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https://catrockcap.sharepoint.com/sites/allstaff/Shared Documents/Portfolio/Internet - PDD/Model/"/>
    </mc:Choice>
  </mc:AlternateContent>
  <xr:revisionPtr revIDLastSave="56" documentId="8_{0BBF00C2-E4DC-4EE9-B267-AC59B45C92EE}" xr6:coauthVersionLast="47" xr6:coauthVersionMax="47" xr10:uidLastSave="{B4EEF0DB-7E59-4670-B8EA-B5AF40C29FC9}"/>
  <bookViews>
    <workbookView xWindow="28680" yWindow="-120" windowWidth="29040" windowHeight="15840" tabRatio="742" firstSheet="1" activeTab="1" xr2:uid="{7FC46A93-2823-48AE-B75E-83BE2461E885}"/>
  </bookViews>
  <sheets>
    <sheet name="_CIQHiddenCacheSheet" sheetId="298" state="veryHidden" r:id="rId1"/>
    <sheet name="Simple Model - Case 1" sheetId="2" r:id="rId2"/>
    <sheet name="TAM_Penetration - Case 1" sheetId="7" r:id="rId3"/>
    <sheet name="Historical Financials" sheetId="1" r:id="rId4"/>
    <sheet name="Temu Ad Spend" sheetId="278" r:id="rId5"/>
    <sheet name="Sheet4" sheetId="285" r:id="rId6"/>
    <sheet name="CRC vs. Consensus" sheetId="194" r:id="rId7"/>
    <sheet name="Variance Analysis" sheetId="13" r:id="rId8"/>
    <sheet name="2023 Cash Analysis" sheetId="273" r:id="rId9"/>
    <sheet name="Offshore Cash_Int Income" sheetId="216" r:id="rId10"/>
    <sheet name="Sheet1" sheetId="56" r:id="rId11"/>
    <sheet name="Sheet9" sheetId="258" r:id="rId12"/>
    <sheet name="Sheet2" sheetId="60" r:id="rId13"/>
    <sheet name="Profit Commentary" sheetId="92" r:id="rId14"/>
    <sheet name="OTR" sheetId="220" r:id="rId15"/>
  </sheets>
  <definedNames>
    <definedName name="CIQWBGuid" hidden="1">"1e519a65-f857-47a6-bd62-f313b71362c5"</definedName>
    <definedName name="CIQWBInfo" hidden="1">"{ ""CIQVersion"":""9.49.2423.4439""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45271.910162037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8">'2023 Cash Analysis'!$B$2:$H$48</definedName>
    <definedName name="_xlnm.Print_Area" localSheetId="6">'CRC vs. Consensus'!$B$2:$O$59</definedName>
    <definedName name="_xlnm.Print_Area" localSheetId="3">'Historical Financials'!$B$2:$AX$843</definedName>
    <definedName name="_xlnm.Print_Area" localSheetId="9">'Offshore Cash_Int Income'!$B$2:$Z$110</definedName>
    <definedName name="_xlnm.Print_Area" localSheetId="13">'Profit Commentary'!$B$2:$F$19</definedName>
    <definedName name="_xlnm.Print_Area" localSheetId="1">'Simple Model - Case 1'!$B$2:$U$129</definedName>
    <definedName name="_xlnm.Print_Area" localSheetId="2">'TAM_Penetration - Case 1'!$B$2:$U$53</definedName>
    <definedName name="_xlnm.Print_Area" localSheetId="4">'Temu Ad Spend'!$B$2:$P$68</definedName>
    <definedName name="_xlnm.Print_Titles" localSheetId="3">'Historical Financials'!$2:$9</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2" i="2" l="1"/>
  <c r="G62" i="2"/>
  <c r="H62" i="2"/>
  <c r="I62" i="2"/>
  <c r="J62" i="2"/>
  <c r="K62" i="2"/>
  <c r="L62" i="2"/>
  <c r="M62" i="2"/>
  <c r="N62" i="2"/>
  <c r="O62" i="2"/>
  <c r="P62" i="2"/>
  <c r="Q62" i="2"/>
  <c r="R62" i="2"/>
  <c r="S62" i="2"/>
  <c r="T62" i="2"/>
  <c r="U62" i="2"/>
  <c r="E62" i="2"/>
  <c r="Y440" i="1"/>
  <c r="AF441" i="1"/>
  <c r="AE441" i="1"/>
  <c r="AD441" i="1"/>
  <c r="AB441" i="1"/>
  <c r="AA441" i="1"/>
  <c r="Z441" i="1"/>
  <c r="AF440" i="1"/>
  <c r="AB440" i="1"/>
  <c r="AA440" i="1"/>
  <c r="AE440" i="1" s="1"/>
  <c r="Z440" i="1"/>
  <c r="AD440" i="1" s="1"/>
  <c r="F123" i="2" a="1"/>
  <c r="F123" i="2" l="1"/>
  <c r="AG541" i="1" a="1"/>
  <c r="AG541" i="1" l="1"/>
  <c r="AF541" i="1" a="1"/>
  <c r="AF541" i="1" l="1"/>
  <c r="H541" i="1" a="1"/>
  <c r="H541" i="1" l="1"/>
  <c r="I541" i="1" a="1"/>
  <c r="I541" i="1" l="1"/>
  <c r="G541" i="1" a="1"/>
  <c r="G541" i="1" l="1"/>
  <c r="AD541" i="1" a="1"/>
  <c r="AD541" i="1" l="1"/>
  <c r="J541" i="1" a="1"/>
  <c r="J541" i="1" l="1"/>
  <c r="K541" i="1" a="1"/>
  <c r="K541" i="1" l="1"/>
  <c r="R541" i="1" a="1"/>
  <c r="R541" i="1" l="1"/>
  <c r="N541" i="1" a="1"/>
  <c r="N541" i="1" l="1"/>
  <c r="E541" i="1" a="1"/>
  <c r="E541" i="1" l="1"/>
  <c r="F541" i="1" a="1"/>
  <c r="F541" i="1" l="1"/>
  <c r="W541" i="1" a="1"/>
  <c r="W541" i="1" l="1"/>
  <c r="S541" i="1" a="1"/>
  <c r="S541" i="1" l="1"/>
  <c r="Z541" i="1" a="1"/>
  <c r="Z541" i="1" l="1"/>
  <c r="V541" i="1" a="1"/>
  <c r="V541" i="1" l="1"/>
  <c r="X541" i="1" a="1"/>
  <c r="X541" i="1" l="1"/>
  <c r="T541" i="1" a="1"/>
  <c r="T541" i="1" l="1"/>
  <c r="AE541" i="1" a="1"/>
  <c r="AE541" i="1" l="1"/>
  <c r="AA541" i="1" a="1"/>
  <c r="AA541" i="1" l="1"/>
  <c r="AC541" i="1" a="1"/>
  <c r="AC541" i="1" l="1"/>
  <c r="Y541" i="1" a="1"/>
  <c r="Y541" i="1" l="1"/>
  <c r="O541" i="1" a="1"/>
  <c r="O541" i="1" l="1"/>
  <c r="AB541" i="1" a="1"/>
  <c r="AB541" i="1" l="1"/>
  <c r="Q541" i="1" a="1"/>
  <c r="Q541" i="1" l="1"/>
  <c r="M541" i="1" a="1"/>
  <c r="M541" i="1" l="1"/>
  <c r="P541" i="1" a="1"/>
  <c r="P541" i="1" l="1"/>
  <c r="L541" i="1" a="1"/>
  <c r="L541" i="1" l="1"/>
  <c r="AP541" i="1" a="1"/>
  <c r="AP541" i="1" l="1"/>
  <c r="AQ541" i="1" a="1"/>
  <c r="AQ541" i="1" l="1"/>
  <c r="AR541" i="1" a="1"/>
  <c r="AR541" i="1" l="1"/>
  <c r="U541" i="1" a="1"/>
  <c r="U541" i="1" l="1"/>
  <c r="AS541" i="1" a="1"/>
  <c r="AS541" i="1" l="1"/>
  <c r="AT541" i="1" a="1"/>
  <c r="AT541" i="1" l="1"/>
  <c r="AU541" i="1" a="1"/>
  <c r="AU541" i="1" l="1"/>
  <c r="AV541" i="1" a="1"/>
  <c r="AV541" i="1" l="1"/>
  <c r="J110" i="2"/>
  <c r="K110" i="2"/>
  <c r="L110" i="2"/>
  <c r="AM541" i="1" a="1"/>
  <c r="AM541" i="1" l="1"/>
  <c r="AI541" i="1" a="1"/>
  <c r="AI541" i="1" l="1"/>
  <c r="AJ541" i="1" a="1"/>
  <c r="AJ541" i="1" l="1"/>
  <c r="AK541" i="1" a="1"/>
  <c r="AK541" i="1" l="1"/>
  <c r="AL541" i="1" a="1"/>
  <c r="AL541" i="1" l="1"/>
  <c r="AH541" i="1" a="1"/>
  <c r="AH541" i="1" l="1"/>
  <c r="AO541" i="1" a="1"/>
  <c r="AO541" i="1" l="1"/>
  <c r="D541" i="1" a="1"/>
  <c r="D541" i="1" l="1"/>
  <c r="C10" i="220"/>
  <c r="D10" i="220"/>
  <c r="E10" i="220"/>
  <c r="F10" i="220"/>
  <c r="G10" i="220"/>
  <c r="H10" i="220"/>
  <c r="I10" i="220"/>
  <c r="J10" i="220"/>
  <c r="K10" i="220"/>
  <c r="L10" i="220"/>
  <c r="M10" i="220"/>
  <c r="N10" i="220"/>
  <c r="O10" i="220"/>
  <c r="P10" i="220"/>
  <c r="C14" i="220"/>
  <c r="D14" i="220"/>
  <c r="E14" i="220"/>
  <c r="F14" i="220"/>
  <c r="G14" i="220"/>
  <c r="H14" i="220"/>
  <c r="I14" i="220"/>
  <c r="J14" i="220"/>
  <c r="K14" i="220"/>
  <c r="L14" i="220"/>
  <c r="M14" i="220"/>
  <c r="N14" i="220"/>
  <c r="O14" i="220"/>
  <c r="P14" i="220"/>
  <c r="F2" i="92"/>
  <c r="U2" i="56"/>
  <c r="E15" i="56"/>
  <c r="F15" i="56"/>
  <c r="G15" i="56"/>
  <c r="H15" i="56"/>
  <c r="I15" i="56"/>
  <c r="Z2" i="216"/>
  <c r="E43" i="216"/>
  <c r="E45" i="216"/>
  <c r="F43" i="216"/>
  <c r="F45" i="216"/>
  <c r="G43" i="216"/>
  <c r="G45" i="216"/>
  <c r="G9" i="216"/>
  <c r="H43" i="216"/>
  <c r="H45" i="216"/>
  <c r="H53" i="216"/>
  <c r="H60" i="216" s="1"/>
  <c r="H58" i="216"/>
  <c r="H61" i="216" s="1"/>
  <c r="I43" i="216"/>
  <c r="I9" i="216" s="1"/>
  <c r="I45" i="216"/>
  <c r="J43" i="216"/>
  <c r="J45" i="216"/>
  <c r="J64" i="216"/>
  <c r="L53" i="216"/>
  <c r="L60" i="216"/>
  <c r="L58" i="216"/>
  <c r="L61" i="216"/>
  <c r="L46" i="216" s="1"/>
  <c r="L64" i="216"/>
  <c r="K64" i="216"/>
  <c r="K43" i="216"/>
  <c r="K45" i="216"/>
  <c r="L43" i="216"/>
  <c r="L45" i="216"/>
  <c r="M43" i="216"/>
  <c r="M45" i="216"/>
  <c r="P53" i="216"/>
  <c r="P60" i="216"/>
  <c r="P58" i="216"/>
  <c r="P61" i="216" s="1"/>
  <c r="P64" i="216"/>
  <c r="M64" i="216"/>
  <c r="N43" i="216"/>
  <c r="N45" i="216"/>
  <c r="N64" i="216"/>
  <c r="O43" i="216"/>
  <c r="O45" i="216"/>
  <c r="O64" i="216"/>
  <c r="P43" i="216"/>
  <c r="P45" i="216"/>
  <c r="Q43" i="216"/>
  <c r="Q45" i="216"/>
  <c r="T53" i="216"/>
  <c r="T60" i="216" s="1"/>
  <c r="T58" i="216"/>
  <c r="T61" i="216"/>
  <c r="T64" i="216"/>
  <c r="Q64" i="216"/>
  <c r="R43" i="216"/>
  <c r="R45" i="216"/>
  <c r="R64" i="216"/>
  <c r="S43" i="216"/>
  <c r="S45" i="216"/>
  <c r="S64" i="216"/>
  <c r="T43" i="216"/>
  <c r="T45" i="216"/>
  <c r="U43" i="216"/>
  <c r="U45" i="216"/>
  <c r="X53" i="216"/>
  <c r="X60" i="216"/>
  <c r="X58" i="216"/>
  <c r="X61" i="216" s="1"/>
  <c r="X64" i="216"/>
  <c r="U64" i="216"/>
  <c r="V43" i="216"/>
  <c r="V45" i="216"/>
  <c r="V64" i="216"/>
  <c r="W43" i="216"/>
  <c r="W45" i="216"/>
  <c r="W64" i="216"/>
  <c r="X43" i="216"/>
  <c r="X45" i="216"/>
  <c r="Y43" i="216"/>
  <c r="Y45" i="216"/>
  <c r="Y64" i="216"/>
  <c r="Z43" i="216"/>
  <c r="Z45" i="216"/>
  <c r="Z64" i="216"/>
  <c r="E12" i="216"/>
  <c r="F12" i="216"/>
  <c r="G12" i="216"/>
  <c r="E17" i="216"/>
  <c r="F17" i="216"/>
  <c r="G17" i="216"/>
  <c r="E19" i="216"/>
  <c r="F19" i="216"/>
  <c r="G19" i="216"/>
  <c r="H19" i="216"/>
  <c r="I19" i="216"/>
  <c r="J19" i="216"/>
  <c r="K19" i="216"/>
  <c r="L19" i="216"/>
  <c r="M19" i="216"/>
  <c r="N19" i="216"/>
  <c r="O19" i="216"/>
  <c r="P19" i="216"/>
  <c r="Q19" i="216"/>
  <c r="H23" i="216"/>
  <c r="L23" i="216"/>
  <c r="P23" i="216"/>
  <c r="T23" i="216"/>
  <c r="X23" i="216"/>
  <c r="Z27" i="216"/>
  <c r="F32" i="216"/>
  <c r="F34" i="216" s="1"/>
  <c r="G32" i="216"/>
  <c r="G34" i="216" s="1"/>
  <c r="H32" i="216"/>
  <c r="H34" i="216" s="1"/>
  <c r="I32" i="216"/>
  <c r="J32" i="216"/>
  <c r="J34" i="216" s="1"/>
  <c r="K32" i="216"/>
  <c r="K34" i="216" s="1"/>
  <c r="L32" i="216"/>
  <c r="L34" i="216" s="1"/>
  <c r="M32" i="216"/>
  <c r="N32" i="216"/>
  <c r="N34" i="216" s="1"/>
  <c r="O32" i="216"/>
  <c r="O34" i="216" s="1"/>
  <c r="P32" i="216"/>
  <c r="P34" i="216" s="1"/>
  <c r="Q32" i="216"/>
  <c r="R32" i="216"/>
  <c r="R34" i="216" s="1"/>
  <c r="S32" i="216"/>
  <c r="S34" i="216" s="1"/>
  <c r="T32" i="216"/>
  <c r="T34" i="216" s="1"/>
  <c r="U32" i="216"/>
  <c r="U34" i="216" s="1"/>
  <c r="V32" i="216"/>
  <c r="V34" i="216" s="1"/>
  <c r="W32" i="216"/>
  <c r="W34" i="216" s="1"/>
  <c r="X32" i="216"/>
  <c r="X34" i="216" s="1"/>
  <c r="Y32" i="216"/>
  <c r="Z32" i="216"/>
  <c r="Z34" i="216" s="1"/>
  <c r="E34" i="216"/>
  <c r="I34" i="216"/>
  <c r="M34" i="216"/>
  <c r="Q34" i="216"/>
  <c r="Y34" i="216"/>
  <c r="E38" i="216"/>
  <c r="F38" i="216"/>
  <c r="G38" i="216"/>
  <c r="H38" i="216"/>
  <c r="I38" i="216"/>
  <c r="J38" i="216"/>
  <c r="K38" i="216"/>
  <c r="L38" i="216"/>
  <c r="M38" i="216"/>
  <c r="N38" i="216"/>
  <c r="O38" i="216"/>
  <c r="P38" i="216"/>
  <c r="Q38" i="216"/>
  <c r="R38" i="216"/>
  <c r="S38" i="216"/>
  <c r="T38" i="216"/>
  <c r="U38" i="216"/>
  <c r="V38" i="216"/>
  <c r="W38" i="216"/>
  <c r="X38" i="216"/>
  <c r="Y38" i="216"/>
  <c r="Z38" i="216"/>
  <c r="D43" i="216"/>
  <c r="D44" i="216"/>
  <c r="D45" i="216"/>
  <c r="E44" i="216"/>
  <c r="F44" i="216"/>
  <c r="F47" i="216" s="1"/>
  <c r="G44" i="216"/>
  <c r="G47" i="216" s="1"/>
  <c r="H44" i="216"/>
  <c r="I44" i="216"/>
  <c r="I47" i="216" s="1"/>
  <c r="J44" i="216"/>
  <c r="K44" i="216"/>
  <c r="L44" i="216"/>
  <c r="M44" i="216"/>
  <c r="N44" i="216"/>
  <c r="O44" i="216"/>
  <c r="P44" i="216"/>
  <c r="Q44" i="216"/>
  <c r="R44" i="216"/>
  <c r="S44" i="216"/>
  <c r="T44" i="216"/>
  <c r="U44" i="216"/>
  <c r="V44" i="216"/>
  <c r="W44" i="216"/>
  <c r="X44" i="216"/>
  <c r="Y44" i="216"/>
  <c r="Z44" i="216"/>
  <c r="E53" i="216"/>
  <c r="F53" i="216"/>
  <c r="F60" i="216" s="1"/>
  <c r="G53" i="216"/>
  <c r="I53" i="216"/>
  <c r="I60" i="216" s="1"/>
  <c r="J53" i="216"/>
  <c r="K53" i="216"/>
  <c r="K60" i="216" s="1"/>
  <c r="M53" i="216"/>
  <c r="N53" i="216"/>
  <c r="O53" i="216"/>
  <c r="Q53" i="216"/>
  <c r="R53" i="216"/>
  <c r="S53" i="216"/>
  <c r="S60" i="216" s="1"/>
  <c r="S63" i="216" s="1"/>
  <c r="U53" i="216"/>
  <c r="V53" i="216"/>
  <c r="W53" i="216"/>
  <c r="Y53" i="216"/>
  <c r="Z53" i="216"/>
  <c r="Z60" i="216" s="1"/>
  <c r="E58" i="216"/>
  <c r="E61" i="216" s="1"/>
  <c r="F58" i="216"/>
  <c r="F61" i="216" s="1"/>
  <c r="G58" i="216"/>
  <c r="G61" i="216" s="1"/>
  <c r="I58" i="216"/>
  <c r="I61" i="216" s="1"/>
  <c r="J58" i="216"/>
  <c r="J61" i="216" s="1"/>
  <c r="K58" i="216"/>
  <c r="M58" i="216"/>
  <c r="N58" i="216"/>
  <c r="N61" i="216" s="1"/>
  <c r="N63" i="216" s="1"/>
  <c r="O58" i="216"/>
  <c r="O61" i="216" s="1"/>
  <c r="O63" i="216" s="1"/>
  <c r="Q58" i="216"/>
  <c r="Q61" i="216" s="1"/>
  <c r="Q63" i="216" s="1"/>
  <c r="R58" i="216"/>
  <c r="R61" i="216" s="1"/>
  <c r="R63" i="216" s="1"/>
  <c r="S58" i="216"/>
  <c r="S61" i="216" s="1"/>
  <c r="U58" i="216"/>
  <c r="U61" i="216" s="1"/>
  <c r="U63" i="216" s="1"/>
  <c r="V58" i="216"/>
  <c r="V61" i="216" s="1"/>
  <c r="V63" i="216" s="1"/>
  <c r="W58" i="216"/>
  <c r="W61" i="216" s="1"/>
  <c r="Y58" i="216"/>
  <c r="Y61" i="216" s="1"/>
  <c r="Z58" i="216"/>
  <c r="Z61" i="216" s="1"/>
  <c r="E60" i="216"/>
  <c r="G60" i="216"/>
  <c r="J60" i="216"/>
  <c r="J63" i="216" s="1"/>
  <c r="M60" i="216"/>
  <c r="N60" i="216"/>
  <c r="O60" i="216"/>
  <c r="Q60" i="216"/>
  <c r="R60" i="216"/>
  <c r="U60" i="216"/>
  <c r="V60" i="216"/>
  <c r="W60" i="216"/>
  <c r="Y60" i="216"/>
  <c r="K61" i="216"/>
  <c r="M61" i="216"/>
  <c r="M63" i="216" s="1"/>
  <c r="E64" i="216"/>
  <c r="F64" i="216"/>
  <c r="G64" i="216"/>
  <c r="H64" i="216"/>
  <c r="I64" i="216"/>
  <c r="L63" i="216"/>
  <c r="H2" i="273"/>
  <c r="E10" i="273"/>
  <c r="F10" i="273" s="1"/>
  <c r="H10" i="273" s="1"/>
  <c r="C11" i="273"/>
  <c r="D11" i="273"/>
  <c r="E11" i="273"/>
  <c r="G11" i="273" s="1"/>
  <c r="E14" i="273"/>
  <c r="F14" i="273" s="1"/>
  <c r="H14" i="273" s="1"/>
  <c r="G14" i="273"/>
  <c r="C15" i="273"/>
  <c r="D15" i="273"/>
  <c r="E15" i="273"/>
  <c r="G15" i="273" s="1"/>
  <c r="D18" i="273"/>
  <c r="D20" i="273" s="1"/>
  <c r="F20" i="273" s="1"/>
  <c r="H20" i="273" s="1"/>
  <c r="G18" i="273"/>
  <c r="D19" i="273"/>
  <c r="F19" i="273" s="1"/>
  <c r="H19" i="273" s="1"/>
  <c r="G19" i="273"/>
  <c r="G20" i="273"/>
  <c r="C21" i="273"/>
  <c r="E21" i="273"/>
  <c r="F21" i="273" s="1"/>
  <c r="G21" i="273"/>
  <c r="D24" i="273"/>
  <c r="F24" i="273"/>
  <c r="D25" i="273"/>
  <c r="F25" i="273" s="1"/>
  <c r="H25" i="273"/>
  <c r="D26" i="273"/>
  <c r="H26" i="273" s="1"/>
  <c r="F26" i="273"/>
  <c r="C27" i="273"/>
  <c r="C33" i="273" s="1"/>
  <c r="C34" i="273" s="1"/>
  <c r="E34" i="273"/>
  <c r="E33" i="273" s="1"/>
  <c r="G34" i="273"/>
  <c r="H34" i="273" s="1"/>
  <c r="G27" i="273"/>
  <c r="F28" i="273"/>
  <c r="H28" i="273"/>
  <c r="F29" i="273"/>
  <c r="H29" i="273"/>
  <c r="F30" i="273"/>
  <c r="H30" i="273"/>
  <c r="F31" i="273"/>
  <c r="H31" i="273"/>
  <c r="F32" i="273"/>
  <c r="H32" i="273"/>
  <c r="I2" i="13"/>
  <c r="I1" i="13" s="1"/>
  <c r="G9" i="13"/>
  <c r="L9" i="216" l="1"/>
  <c r="L47" i="216"/>
  <c r="W63" i="216"/>
  <c r="E63" i="216"/>
  <c r="F18" i="273"/>
  <c r="H18" i="273" s="1"/>
  <c r="F34" i="273"/>
  <c r="F15" i="273"/>
  <c r="F9" i="216"/>
  <c r="D27" i="273"/>
  <c r="H27" i="273" s="1"/>
  <c r="H39" i="273" s="1"/>
  <c r="E47" i="216"/>
  <c r="F48" i="216" s="1"/>
  <c r="F39" i="216" s="1"/>
  <c r="F40" i="216" s="1"/>
  <c r="F95" i="216" s="1"/>
  <c r="P63" i="216"/>
  <c r="D47" i="216"/>
  <c r="F11" i="273"/>
  <c r="H11" i="273" s="1"/>
  <c r="H41" i="273" s="1"/>
  <c r="X63" i="216"/>
  <c r="K63" i="216"/>
  <c r="G63" i="216"/>
  <c r="H46" i="216"/>
  <c r="H9" i="216" s="1"/>
  <c r="H21" i="273"/>
  <c r="H38" i="273" s="1"/>
  <c r="F38" i="273"/>
  <c r="P46" i="216"/>
  <c r="P47" i="216" s="1"/>
  <c r="Y63" i="216"/>
  <c r="I63" i="216"/>
  <c r="X47" i="216"/>
  <c r="G89" i="216"/>
  <c r="E48" i="216"/>
  <c r="E39" i="216" s="1"/>
  <c r="E40" i="216" s="1"/>
  <c r="E95" i="216" s="1"/>
  <c r="D48" i="216"/>
  <c r="H15" i="273"/>
  <c r="H37" i="273" s="1"/>
  <c r="F37" i="273"/>
  <c r="H47" i="216"/>
  <c r="F89" i="216"/>
  <c r="G48" i="216"/>
  <c r="G39" i="216" s="1"/>
  <c r="G40" i="216" s="1"/>
  <c r="G95" i="216" s="1"/>
  <c r="Z63" i="216"/>
  <c r="H63" i="216"/>
  <c r="L88" i="216"/>
  <c r="L89" i="216" s="1"/>
  <c r="K46" i="216"/>
  <c r="J46" i="216" s="1"/>
  <c r="J9" i="216" s="1"/>
  <c r="F63" i="216"/>
  <c r="X46" i="216"/>
  <c r="T46" i="216"/>
  <c r="T63" i="216"/>
  <c r="E89" i="216"/>
  <c r="H24" i="273"/>
  <c r="E27" i="273"/>
  <c r="F27" i="273" s="1"/>
  <c r="F39" i="273" s="1"/>
  <c r="G10" i="273"/>
  <c r="I89" i="216"/>
  <c r="E9" i="216"/>
  <c r="K9" i="13"/>
  <c r="F41" i="273" l="1"/>
  <c r="D33" i="273"/>
  <c r="L81" i="216"/>
  <c r="L83" i="216" s="1"/>
  <c r="L94" i="216" s="1"/>
  <c r="L73" i="216"/>
  <c r="L75" i="216" s="1"/>
  <c r="L93" i="216" s="1"/>
  <c r="F73" i="216"/>
  <c r="F75" i="216" s="1"/>
  <c r="F93" i="216" s="1"/>
  <c r="F81" i="216"/>
  <c r="F83" i="216" s="1"/>
  <c r="F94" i="216" s="1"/>
  <c r="S46" i="216"/>
  <c r="Q46" i="216"/>
  <c r="R46" i="216"/>
  <c r="T88" i="216"/>
  <c r="H40" i="273"/>
  <c r="K47" i="216"/>
  <c r="F98" i="216"/>
  <c r="E81" i="216"/>
  <c r="E83" i="216" s="1"/>
  <c r="E94" i="216" s="1"/>
  <c r="E73" i="216"/>
  <c r="E75" i="216" s="1"/>
  <c r="E93" i="216" s="1"/>
  <c r="J88" i="216"/>
  <c r="K88" i="216"/>
  <c r="Y46" i="216"/>
  <c r="V46" i="216"/>
  <c r="Z46" i="216"/>
  <c r="U46" i="216"/>
  <c r="X88" i="216"/>
  <c r="X89" i="216" s="1"/>
  <c r="W46" i="216"/>
  <c r="P88" i="216"/>
  <c r="N46" i="216"/>
  <c r="M46" i="216"/>
  <c r="O46" i="216"/>
  <c r="T47" i="216"/>
  <c r="I48" i="216"/>
  <c r="I39" i="216" s="1"/>
  <c r="I40" i="216" s="1"/>
  <c r="I95" i="216" s="1"/>
  <c r="I105" i="216" s="1"/>
  <c r="H89" i="216"/>
  <c r="J47" i="216"/>
  <c r="K9" i="216"/>
  <c r="X9" i="216"/>
  <c r="T9" i="216"/>
  <c r="P9" i="216"/>
  <c r="I81" i="216"/>
  <c r="I83" i="216" s="1"/>
  <c r="I94" i="216" s="1"/>
  <c r="I73" i="216"/>
  <c r="I75" i="216" s="1"/>
  <c r="I93" i="216" s="1"/>
  <c r="H48" i="216"/>
  <c r="H39" i="216" s="1"/>
  <c r="H40" i="216" s="1"/>
  <c r="H95" i="216" s="1"/>
  <c r="H105" i="216" s="1"/>
  <c r="G73" i="216"/>
  <c r="G75" i="216" s="1"/>
  <c r="G93" i="216" s="1"/>
  <c r="G81" i="216"/>
  <c r="G83" i="216" s="1"/>
  <c r="G94" i="216" s="1"/>
  <c r="H33" i="273"/>
  <c r="H42" i="273" s="1"/>
  <c r="H43" i="273" s="1"/>
  <c r="F33" i="273"/>
  <c r="F42" i="273" s="1"/>
  <c r="F43" i="273" s="1"/>
  <c r="F40" i="273"/>
  <c r="G13" i="13"/>
  <c r="X73" i="216" l="1"/>
  <c r="X75" i="216" s="1"/>
  <c r="X93" i="216" s="1"/>
  <c r="X81" i="216"/>
  <c r="X83" i="216" s="1"/>
  <c r="X94" i="216" s="1"/>
  <c r="T89" i="216"/>
  <c r="N9" i="216"/>
  <c r="N47" i="216"/>
  <c r="R88" i="216"/>
  <c r="S88" i="216"/>
  <c r="Q88" i="216"/>
  <c r="W9" i="216"/>
  <c r="W47" i="216"/>
  <c r="P89" i="216"/>
  <c r="R9" i="216"/>
  <c r="R47" i="216"/>
  <c r="Z9" i="216"/>
  <c r="Z47" i="216"/>
  <c r="Q47" i="216"/>
  <c r="Q9" i="216"/>
  <c r="K89" i="216"/>
  <c r="L48" i="216"/>
  <c r="L39" i="216" s="1"/>
  <c r="L40" i="216" s="1"/>
  <c r="L95" i="216" s="1"/>
  <c r="U9" i="216"/>
  <c r="U47" i="216"/>
  <c r="U48" i="216" s="1"/>
  <c r="U39" i="216" s="1"/>
  <c r="U40" i="216" s="1"/>
  <c r="U95" i="216" s="1"/>
  <c r="V47" i="216"/>
  <c r="V9" i="216"/>
  <c r="S9" i="216"/>
  <c r="S47" i="216"/>
  <c r="I104" i="216"/>
  <c r="Y47" i="216"/>
  <c r="Y9" i="216"/>
  <c r="K48" i="216"/>
  <c r="K39" i="216" s="1"/>
  <c r="K40" i="216" s="1"/>
  <c r="K95" i="216" s="1"/>
  <c r="L105" i="216" s="1"/>
  <c r="J89" i="216"/>
  <c r="J48" i="216"/>
  <c r="J39" i="216" s="1"/>
  <c r="J40" i="216" s="1"/>
  <c r="J95" i="216" s="1"/>
  <c r="O88" i="216"/>
  <c r="H81" i="216"/>
  <c r="H83" i="216" s="1"/>
  <c r="H94" i="216" s="1"/>
  <c r="H104" i="216" s="1"/>
  <c r="H73" i="216"/>
  <c r="H75" i="216" s="1"/>
  <c r="H93" i="216" s="1"/>
  <c r="I103" i="216" s="1"/>
  <c r="N88" i="216"/>
  <c r="I98" i="216"/>
  <c r="M88" i="216"/>
  <c r="E98" i="216"/>
  <c r="F44" i="273"/>
  <c r="O9" i="216"/>
  <c r="O47" i="216"/>
  <c r="M9" i="216"/>
  <c r="M47" i="216"/>
  <c r="G98" i="216"/>
  <c r="F99" i="216"/>
  <c r="F100" i="216"/>
  <c r="H44" i="273"/>
  <c r="Y88" i="216"/>
  <c r="Z88" i="216"/>
  <c r="W88" i="216"/>
  <c r="U88" i="216"/>
  <c r="V88" i="216"/>
  <c r="G11" i="13"/>
  <c r="G10" i="13" s="1"/>
  <c r="F11" i="13"/>
  <c r="F13" i="13"/>
  <c r="G22" i="13"/>
  <c r="K105" i="216" l="1"/>
  <c r="I108" i="216"/>
  <c r="H103" i="216"/>
  <c r="H108" i="216" s="1"/>
  <c r="H109" i="216" s="1"/>
  <c r="H110" i="216" s="1"/>
  <c r="I109" i="216"/>
  <c r="I110" i="216" s="1"/>
  <c r="I99" i="216"/>
  <c r="I100" i="216"/>
  <c r="R89" i="216"/>
  <c r="S48" i="216"/>
  <c r="S39" i="216" s="1"/>
  <c r="S40" i="216" s="1"/>
  <c r="S95" i="216" s="1"/>
  <c r="S89" i="216"/>
  <c r="T48" i="216"/>
  <c r="T39" i="216" s="1"/>
  <c r="T40" i="216" s="1"/>
  <c r="T95" i="216" s="1"/>
  <c r="P73" i="216"/>
  <c r="P75" i="216" s="1"/>
  <c r="P93" i="216" s="1"/>
  <c r="P81" i="216"/>
  <c r="P83" i="216" s="1"/>
  <c r="P94" i="216" s="1"/>
  <c r="W89" i="216"/>
  <c r="X48" i="216"/>
  <c r="X39" i="216" s="1"/>
  <c r="X40" i="216" s="1"/>
  <c r="X95" i="216" s="1"/>
  <c r="X98" i="216" s="1"/>
  <c r="J105" i="216"/>
  <c r="W48" i="216"/>
  <c r="W39" i="216" s="1"/>
  <c r="W40" i="216" s="1"/>
  <c r="W95" i="216" s="1"/>
  <c r="V89" i="216"/>
  <c r="J81" i="216"/>
  <c r="J83" i="216" s="1"/>
  <c r="J94" i="216" s="1"/>
  <c r="J98" i="216" s="1"/>
  <c r="J73" i="216"/>
  <c r="J75" i="216" s="1"/>
  <c r="J93" i="216" s="1"/>
  <c r="V48" i="216"/>
  <c r="V39" i="216" s="1"/>
  <c r="V40" i="216" s="1"/>
  <c r="V95" i="216" s="1"/>
  <c r="U89" i="216"/>
  <c r="N48" i="216"/>
  <c r="N39" i="216" s="1"/>
  <c r="N40" i="216" s="1"/>
  <c r="N95" i="216" s="1"/>
  <c r="M89" i="216"/>
  <c r="M48" i="216"/>
  <c r="M39" i="216" s="1"/>
  <c r="M40" i="216" s="1"/>
  <c r="M95" i="216" s="1"/>
  <c r="N105" i="216" s="1"/>
  <c r="T73" i="216"/>
  <c r="T75" i="216" s="1"/>
  <c r="T93" i="216" s="1"/>
  <c r="T81" i="216"/>
  <c r="T83" i="216" s="1"/>
  <c r="T94" i="216" s="1"/>
  <c r="K103" i="216"/>
  <c r="G99" i="216"/>
  <c r="G100" i="216" s="1"/>
  <c r="O89" i="216"/>
  <c r="P48" i="216"/>
  <c r="P39" i="216" s="1"/>
  <c r="P40" i="216" s="1"/>
  <c r="P95" i="216" s="1"/>
  <c r="L98" i="216"/>
  <c r="N89" i="216"/>
  <c r="O48" i="216"/>
  <c r="O39" i="216" s="1"/>
  <c r="O40" i="216" s="1"/>
  <c r="O95" i="216" s="1"/>
  <c r="Z48" i="216"/>
  <c r="Z39" i="216" s="1"/>
  <c r="Z40" i="216" s="1"/>
  <c r="Z95" i="216" s="1"/>
  <c r="Y89" i="216"/>
  <c r="Y48" i="216"/>
  <c r="Y39" i="216" s="1"/>
  <c r="Y40" i="216" s="1"/>
  <c r="Y95" i="216" s="1"/>
  <c r="K81" i="216"/>
  <c r="K83" i="216" s="1"/>
  <c r="K94" i="216" s="1"/>
  <c r="K104" i="216" s="1"/>
  <c r="K73" i="216"/>
  <c r="K75" i="216" s="1"/>
  <c r="K93" i="216" s="1"/>
  <c r="E99" i="216"/>
  <c r="E100" i="216"/>
  <c r="R48" i="216"/>
  <c r="R39" i="216" s="1"/>
  <c r="R40" i="216" s="1"/>
  <c r="R95" i="216" s="1"/>
  <c r="Q89" i="216"/>
  <c r="Q48" i="216"/>
  <c r="Q39" i="216" s="1"/>
  <c r="Q40" i="216" s="1"/>
  <c r="Q95" i="216" s="1"/>
  <c r="H98" i="216"/>
  <c r="Z89" i="216"/>
  <c r="F24" i="13"/>
  <c r="G24" i="13"/>
  <c r="G26" i="13"/>
  <c r="K108" i="216" l="1"/>
  <c r="M105" i="216"/>
  <c r="K109" i="216"/>
  <c r="K110" i="216" s="1"/>
  <c r="Y81" i="216"/>
  <c r="Y83" i="216" s="1"/>
  <c r="Y94" i="216" s="1"/>
  <c r="Y73" i="216"/>
  <c r="Y75" i="216" s="1"/>
  <c r="Y93" i="216" s="1"/>
  <c r="M73" i="216"/>
  <c r="M75" i="216" s="1"/>
  <c r="M93" i="216" s="1"/>
  <c r="M103" i="216" s="1"/>
  <c r="M81" i="216"/>
  <c r="M83" i="216" s="1"/>
  <c r="M94" i="216" s="1"/>
  <c r="W105" i="216"/>
  <c r="T98" i="216"/>
  <c r="X99" i="216"/>
  <c r="X100" i="216" s="1"/>
  <c r="X105" i="216"/>
  <c r="O105" i="216"/>
  <c r="N103" i="216"/>
  <c r="R105" i="216"/>
  <c r="Q105" i="216"/>
  <c r="S73" i="216"/>
  <c r="S75" i="216" s="1"/>
  <c r="S93" i="216" s="1"/>
  <c r="S98" i="216" s="1"/>
  <c r="S81" i="216"/>
  <c r="S83" i="216" s="1"/>
  <c r="S94" i="216" s="1"/>
  <c r="Z81" i="216"/>
  <c r="Z83" i="216" s="1"/>
  <c r="Z94" i="216" s="1"/>
  <c r="Z73" i="216"/>
  <c r="Z75" i="216" s="1"/>
  <c r="Z93" i="216" s="1"/>
  <c r="V105" i="216"/>
  <c r="L103" i="216"/>
  <c r="J103" i="216"/>
  <c r="M104" i="216"/>
  <c r="J104" i="216"/>
  <c r="L104" i="216"/>
  <c r="T105" i="216"/>
  <c r="V81" i="216"/>
  <c r="V83" i="216" s="1"/>
  <c r="V94" i="216" s="1"/>
  <c r="Y104" i="216" s="1"/>
  <c r="V73" i="216"/>
  <c r="V75" i="216" s="1"/>
  <c r="V93" i="216" s="1"/>
  <c r="Y103" i="216" s="1"/>
  <c r="J99" i="216"/>
  <c r="J100" i="216"/>
  <c r="W73" i="216"/>
  <c r="W75" i="216" s="1"/>
  <c r="W93" i="216" s="1"/>
  <c r="W81" i="216"/>
  <c r="W83" i="216" s="1"/>
  <c r="W94" i="216" s="1"/>
  <c r="P105" i="216"/>
  <c r="N73" i="216"/>
  <c r="N75" i="216" s="1"/>
  <c r="N93" i="216" s="1"/>
  <c r="N81" i="216"/>
  <c r="N83" i="216" s="1"/>
  <c r="N94" i="216" s="1"/>
  <c r="U81" i="216"/>
  <c r="U83" i="216" s="1"/>
  <c r="U94" i="216" s="1"/>
  <c r="U73" i="216"/>
  <c r="U75" i="216" s="1"/>
  <c r="U93" i="216" s="1"/>
  <c r="L99" i="216"/>
  <c r="L100" i="216" s="1"/>
  <c r="Y105" i="216"/>
  <c r="H99" i="216"/>
  <c r="H100" i="216"/>
  <c r="S105" i="216"/>
  <c r="P98" i="216"/>
  <c r="R73" i="216"/>
  <c r="R75" i="216" s="1"/>
  <c r="R93" i="216" s="1"/>
  <c r="R81" i="216"/>
  <c r="R83" i="216" s="1"/>
  <c r="R94" i="216" s="1"/>
  <c r="O73" i="216"/>
  <c r="O75" i="216" s="1"/>
  <c r="O93" i="216" s="1"/>
  <c r="O81" i="216"/>
  <c r="O83" i="216" s="1"/>
  <c r="O94" i="216" s="1"/>
  <c r="Q73" i="216"/>
  <c r="Q75" i="216" s="1"/>
  <c r="Q93" i="216" s="1"/>
  <c r="Q81" i="216"/>
  <c r="Q83" i="216" s="1"/>
  <c r="Q94" i="216" s="1"/>
  <c r="K98" i="216"/>
  <c r="W98" i="216"/>
  <c r="Z105" i="216"/>
  <c r="U105" i="216"/>
  <c r="R98" i="216"/>
  <c r="J108" i="216"/>
  <c r="F28" i="13"/>
  <c r="G28" i="13"/>
  <c r="O2" i="194"/>
  <c r="P1" i="194" s="1"/>
  <c r="I30" i="194"/>
  <c r="J30" i="194"/>
  <c r="K30" i="194"/>
  <c r="X103" i="216" l="1"/>
  <c r="Y98" i="216"/>
  <c r="M108" i="216"/>
  <c r="N104" i="216"/>
  <c r="N108" i="216" s="1"/>
  <c r="W103" i="216"/>
  <c r="R104" i="216"/>
  <c r="R108" i="216" s="1"/>
  <c r="M98" i="216"/>
  <c r="Z98" i="216"/>
  <c r="Z99" i="216" s="1"/>
  <c r="Z100" i="216" s="1"/>
  <c r="R103" i="216"/>
  <c r="U104" i="216"/>
  <c r="M109" i="216"/>
  <c r="M110" i="216"/>
  <c r="N109" i="216"/>
  <c r="N110" i="216" s="1"/>
  <c r="Y99" i="216"/>
  <c r="Y100" i="216"/>
  <c r="T104" i="216"/>
  <c r="Q104" i="216"/>
  <c r="T103" i="216"/>
  <c r="Q103" i="216"/>
  <c r="Q108" i="216" s="1"/>
  <c r="S103" i="216"/>
  <c r="M99" i="216"/>
  <c r="M100" i="216" s="1"/>
  <c r="Z104" i="216"/>
  <c r="P99" i="216"/>
  <c r="P100" i="216"/>
  <c r="Z103" i="216"/>
  <c r="S104" i="216"/>
  <c r="S108" i="216" s="1"/>
  <c r="V104" i="216"/>
  <c r="V108" i="216" s="1"/>
  <c r="P103" i="216"/>
  <c r="O103" i="216"/>
  <c r="S99" i="216"/>
  <c r="S100" i="216"/>
  <c r="U103" i="216"/>
  <c r="T99" i="216"/>
  <c r="T100" i="216"/>
  <c r="W108" i="216"/>
  <c r="P104" i="216"/>
  <c r="O104" i="216"/>
  <c r="O108" i="216" s="1"/>
  <c r="V103" i="216"/>
  <c r="J109" i="216"/>
  <c r="J110" i="216" s="1"/>
  <c r="Y108" i="216"/>
  <c r="N98" i="216"/>
  <c r="R99" i="216"/>
  <c r="R100" i="216"/>
  <c r="V98" i="216"/>
  <c r="Q98" i="216"/>
  <c r="O98" i="216"/>
  <c r="W104" i="216"/>
  <c r="W99" i="216"/>
  <c r="W100" i="216"/>
  <c r="T108" i="216"/>
  <c r="L108" i="216"/>
  <c r="K99" i="216"/>
  <c r="K100" i="216" s="1"/>
  <c r="X104" i="216"/>
  <c r="X108" i="216" s="1"/>
  <c r="U98" i="216"/>
  <c r="O30" i="194"/>
  <c r="Z108" i="216" l="1"/>
  <c r="P108" i="216"/>
  <c r="U108" i="216"/>
  <c r="S109" i="216"/>
  <c r="S110" i="216"/>
  <c r="O109" i="216"/>
  <c r="O110" i="216"/>
  <c r="Z109" i="216"/>
  <c r="Z110" i="216" s="1"/>
  <c r="P109" i="216"/>
  <c r="P110" i="216"/>
  <c r="Q109" i="216"/>
  <c r="Q110" i="216"/>
  <c r="U109" i="216"/>
  <c r="U110" i="216" s="1"/>
  <c r="V109" i="216"/>
  <c r="V110" i="216"/>
  <c r="T109" i="216"/>
  <c r="T110" i="216" s="1"/>
  <c r="R109" i="216"/>
  <c r="R110" i="216"/>
  <c r="N99" i="216"/>
  <c r="N100" i="216" s="1"/>
  <c r="W109" i="216"/>
  <c r="W110" i="216"/>
  <c r="O99" i="216"/>
  <c r="O100" i="216" s="1"/>
  <c r="X109" i="216"/>
  <c r="X110" i="216"/>
  <c r="Q99" i="216"/>
  <c r="Q100" i="216"/>
  <c r="U99" i="216"/>
  <c r="U100" i="216"/>
  <c r="V99" i="216"/>
  <c r="V100" i="216"/>
  <c r="L109" i="216"/>
  <c r="L110" i="216" s="1"/>
  <c r="Y109" i="216"/>
  <c r="Y110" i="216" s="1"/>
  <c r="I34" i="194"/>
  <c r="I32" i="194"/>
  <c r="I31" i="194" s="1"/>
  <c r="J34" i="194"/>
  <c r="J32" i="194"/>
  <c r="J31" i="194" s="1"/>
  <c r="K34" i="194"/>
  <c r="K32" i="194"/>
  <c r="K31" i="194" s="1"/>
  <c r="O34" i="194"/>
  <c r="O32" i="194"/>
  <c r="O31" i="194" s="1"/>
  <c r="I43" i="194"/>
  <c r="J43" i="194"/>
  <c r="K43" i="194"/>
  <c r="O43" i="194"/>
  <c r="I45" i="194"/>
  <c r="J45" i="194"/>
  <c r="K45" i="194"/>
  <c r="O45" i="194"/>
  <c r="P2" i="278"/>
  <c r="E9" i="278"/>
  <c r="F9" i="278"/>
  <c r="F10" i="278" s="1"/>
  <c r="G9" i="278"/>
  <c r="H9" i="278"/>
  <c r="I9" i="278"/>
  <c r="J9" i="278"/>
  <c r="J10" i="278" s="1"/>
  <c r="K9" i="278"/>
  <c r="M9" i="278"/>
  <c r="N9" i="278"/>
  <c r="D11" i="278"/>
  <c r="D10" i="278" s="1"/>
  <c r="E11" i="278"/>
  <c r="E10" i="278" s="1"/>
  <c r="F11" i="278"/>
  <c r="G11" i="278"/>
  <c r="H11" i="278"/>
  <c r="I11" i="278"/>
  <c r="J11" i="278"/>
  <c r="K11" i="278"/>
  <c r="D14" i="278"/>
  <c r="E14" i="278"/>
  <c r="F14" i="278"/>
  <c r="G14" i="278"/>
  <c r="H14" i="278"/>
  <c r="I14" i="278"/>
  <c r="J14" i="278"/>
  <c r="K14" i="278"/>
  <c r="M14" i="278"/>
  <c r="D21" i="278"/>
  <c r="D35" i="278"/>
  <c r="D22" i="278" s="1"/>
  <c r="E21" i="278"/>
  <c r="E35" i="278"/>
  <c r="E22" i="278" s="1"/>
  <c r="E23" i="278" s="1"/>
  <c r="F21" i="278"/>
  <c r="F35" i="278"/>
  <c r="F22" i="278"/>
  <c r="F23" i="278"/>
  <c r="F28" i="278" s="1"/>
  <c r="G21" i="278"/>
  <c r="G35" i="278"/>
  <c r="G22" i="278" s="1"/>
  <c r="H20" i="278"/>
  <c r="H21" i="278" s="1"/>
  <c r="H35" i="278"/>
  <c r="I35" i="278"/>
  <c r="D31" i="278"/>
  <c r="E31" i="278"/>
  <c r="F31" i="278"/>
  <c r="G31" i="278"/>
  <c r="H31" i="278"/>
  <c r="I31" i="278"/>
  <c r="J31" i="278"/>
  <c r="K31" i="278"/>
  <c r="G23" i="278" l="1"/>
  <c r="K10" i="278"/>
  <c r="H10" i="278"/>
  <c r="N11" i="278"/>
  <c r="E12" i="278" s="1"/>
  <c r="E13" i="278" s="1"/>
  <c r="E15" i="278" s="1"/>
  <c r="H22" i="278"/>
  <c r="H23" i="278"/>
  <c r="G28" i="278"/>
  <c r="M10" i="278"/>
  <c r="E28" i="278"/>
  <c r="I13" i="278"/>
  <c r="I15" i="278" s="1"/>
  <c r="M22" i="278"/>
  <c r="M20" i="278" s="1"/>
  <c r="D23" i="278"/>
  <c r="F12" i="278"/>
  <c r="F13" i="278" s="1"/>
  <c r="F15" i="278" s="1"/>
  <c r="D12" i="278"/>
  <c r="D13" i="278" s="1"/>
  <c r="D15" i="278" s="1"/>
  <c r="J12" i="278"/>
  <c r="J13" i="278" s="1"/>
  <c r="J15" i="278" s="1"/>
  <c r="I12" i="278"/>
  <c r="M12" i="278"/>
  <c r="K12" i="278"/>
  <c r="K13" i="278" s="1"/>
  <c r="K15" i="278" s="1"/>
  <c r="N12" i="278"/>
  <c r="N13" i="278" s="1"/>
  <c r="N15" i="278" s="1"/>
  <c r="I10" i="278"/>
  <c r="I20" i="278"/>
  <c r="G10" i="278"/>
  <c r="N10" i="278" s="1"/>
  <c r="M11" i="278"/>
  <c r="M31" i="278"/>
  <c r="N31" i="278"/>
  <c r="M35" i="278"/>
  <c r="N35" i="278"/>
  <c r="D52" i="278"/>
  <c r="D61" i="278"/>
  <c r="D63" i="278"/>
  <c r="D66" i="278"/>
  <c r="D67" i="278"/>
  <c r="D68" i="278" s="1"/>
  <c r="AX2"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P7" i="1"/>
  <c r="AQ7" i="1"/>
  <c r="AR7" i="1"/>
  <c r="AS7" i="1"/>
  <c r="AT7" i="1"/>
  <c r="AU7" i="1"/>
  <c r="AV7" i="1"/>
  <c r="AW7" i="1"/>
  <c r="AX7" i="1"/>
  <c r="H118" i="1"/>
  <c r="H12" i="1"/>
  <c r="I118" i="1"/>
  <c r="I12" i="1"/>
  <c r="J118" i="1"/>
  <c r="J12" i="1"/>
  <c r="K118" i="1"/>
  <c r="K12" i="1"/>
  <c r="L118" i="1"/>
  <c r="L12" i="1"/>
  <c r="M118" i="1"/>
  <c r="M12" i="1"/>
  <c r="N118" i="1"/>
  <c r="N12" i="1" s="1"/>
  <c r="O118" i="1"/>
  <c r="O12" i="1"/>
  <c r="P118" i="1"/>
  <c r="P12" i="1"/>
  <c r="Q118" i="1"/>
  <c r="Q12" i="1"/>
  <c r="R118" i="1"/>
  <c r="R12" i="1"/>
  <c r="S118" i="1"/>
  <c r="S12" i="1"/>
  <c r="T118" i="1"/>
  <c r="T12" i="1"/>
  <c r="D20" i="56" s="1"/>
  <c r="U118" i="1"/>
  <c r="U12" i="1"/>
  <c r="E20" i="56" s="1"/>
  <c r="E21" i="56" s="1"/>
  <c r="V118" i="1"/>
  <c r="V12" i="1" s="1"/>
  <c r="F20" i="56" s="1"/>
  <c r="F21" i="56" s="1"/>
  <c r="W118" i="1"/>
  <c r="W12" i="1"/>
  <c r="G20" i="56" s="1"/>
  <c r="X118" i="1"/>
  <c r="X12" i="1"/>
  <c r="H20" i="56" s="1"/>
  <c r="H21" i="56" s="1"/>
  <c r="Y118" i="1"/>
  <c r="Y12" i="1" s="1"/>
  <c r="I20" i="56" s="1"/>
  <c r="I21" i="56" s="1"/>
  <c r="Z118" i="1"/>
  <c r="Z12" i="1"/>
  <c r="J20" i="56" s="1"/>
  <c r="AA118" i="1"/>
  <c r="AA12" i="1"/>
  <c r="K20" i="56" s="1"/>
  <c r="AB118" i="1"/>
  <c r="AB12" i="1"/>
  <c r="AC118" i="1"/>
  <c r="AC12" i="1"/>
  <c r="AD118" i="1"/>
  <c r="AD12" i="1" s="1"/>
  <c r="AE118" i="1"/>
  <c r="AE12" i="1"/>
  <c r="AF118" i="1"/>
  <c r="AF12" i="1" s="1"/>
  <c r="AG118" i="1"/>
  <c r="AG12" i="1"/>
  <c r="AG192" i="1"/>
  <c r="AG216" i="1"/>
  <c r="AG162" i="1" s="1"/>
  <c r="AG218" i="1" l="1"/>
  <c r="AH218" i="1" s="1"/>
  <c r="H12" i="278"/>
  <c r="H13" i="278" s="1"/>
  <c r="H15" i="278" s="1"/>
  <c r="J21" i="56"/>
  <c r="G12" i="278"/>
  <c r="G13" i="278" s="1"/>
  <c r="G15" i="278" s="1"/>
  <c r="J20" i="278"/>
  <c r="I21" i="278"/>
  <c r="F27" i="278"/>
  <c r="G27" i="278"/>
  <c r="G29" i="278" s="1"/>
  <c r="D27" i="278"/>
  <c r="D28" i="278"/>
  <c r="M28" i="278" s="1"/>
  <c r="M23" i="278"/>
  <c r="K21" i="56"/>
  <c r="P20" i="56"/>
  <c r="P21" i="56" s="1"/>
  <c r="H11" i="194"/>
  <c r="I27" i="278"/>
  <c r="K27" i="278"/>
  <c r="G21" i="56"/>
  <c r="O20" i="56"/>
  <c r="G11" i="194"/>
  <c r="Q20" i="56"/>
  <c r="E9" i="13"/>
  <c r="I11" i="194"/>
  <c r="H27" i="278"/>
  <c r="H29" i="278" s="1"/>
  <c r="N20" i="56"/>
  <c r="F11" i="194"/>
  <c r="D9" i="13"/>
  <c r="M20" i="56"/>
  <c r="M21" i="56" s="1"/>
  <c r="E11" i="194"/>
  <c r="J27" i="278"/>
  <c r="L20" i="56"/>
  <c r="L21" i="56" s="1"/>
  <c r="D11" i="194"/>
  <c r="E27" i="278"/>
  <c r="E29" i="278" s="1"/>
  <c r="H28" i="278"/>
  <c r="M13" i="278"/>
  <c r="M15" i="278" s="1"/>
  <c r="K36" i="278"/>
  <c r="K16" i="278" s="1"/>
  <c r="AG121" i="1"/>
  <c r="AG195" i="1" s="1"/>
  <c r="AH215" i="1"/>
  <c r="AH195" i="1"/>
  <c r="AH121" i="1" s="1"/>
  <c r="AD216" i="1"/>
  <c r="AH216" i="1"/>
  <c r="AH162" i="1" s="1"/>
  <c r="AI215" i="1"/>
  <c r="AI195" i="1"/>
  <c r="AI121" i="1" s="1"/>
  <c r="AE216" i="1"/>
  <c r="AI216" i="1" s="1"/>
  <c r="AI162" i="1" s="1"/>
  <c r="AJ215" i="1"/>
  <c r="AJ195" i="1"/>
  <c r="AJ121" i="1" s="1"/>
  <c r="AF216" i="1"/>
  <c r="AJ216" i="1" s="1"/>
  <c r="AJ162" i="1" s="1"/>
  <c r="AI218" i="1" l="1"/>
  <c r="AI177" i="1" s="1"/>
  <c r="AH177" i="1"/>
  <c r="H30" i="194"/>
  <c r="H18" i="194"/>
  <c r="F16" i="13"/>
  <c r="G16" i="13"/>
  <c r="N21" i="56"/>
  <c r="H9" i="13"/>
  <c r="I9" i="13"/>
  <c r="E16" i="13"/>
  <c r="M27" i="278"/>
  <c r="D29" i="278"/>
  <c r="M29" i="278" s="1"/>
  <c r="F30" i="194"/>
  <c r="J37" i="194" s="1"/>
  <c r="Q21" i="56"/>
  <c r="AG177" i="1"/>
  <c r="AG141" i="1" s="1"/>
  <c r="AG268" i="1" s="1"/>
  <c r="AH268" i="1" s="1"/>
  <c r="G30" i="194"/>
  <c r="K37" i="194" s="1"/>
  <c r="E30" i="194"/>
  <c r="I37" i="194" s="1"/>
  <c r="I18" i="194"/>
  <c r="O21" i="56"/>
  <c r="D30" i="194"/>
  <c r="F29" i="278"/>
  <c r="N27" i="278"/>
  <c r="I22" i="278"/>
  <c r="I23" i="278" s="1"/>
  <c r="M21" i="278"/>
  <c r="M19" i="278" s="1"/>
  <c r="K20" i="278"/>
  <c r="K21" i="278" s="1"/>
  <c r="J21" i="278"/>
  <c r="J36" i="278"/>
  <c r="J16" i="278" s="1"/>
  <c r="AF218" i="1"/>
  <c r="AJ218" i="1" s="1"/>
  <c r="AJ177" i="1" s="1"/>
  <c r="AK215" i="1"/>
  <c r="AK195" i="1"/>
  <c r="AK121" i="1" s="1"/>
  <c r="AK15" i="1" s="1"/>
  <c r="AK29" i="1" s="1"/>
  <c r="AK216" i="1"/>
  <c r="AK162" i="1"/>
  <c r="AK218" i="1"/>
  <c r="AK177" i="1" s="1"/>
  <c r="AL215" i="1"/>
  <c r="AL195" i="1"/>
  <c r="AL121" i="1" s="1"/>
  <c r="AL15" i="1" s="1"/>
  <c r="AL216" i="1"/>
  <c r="AL162" i="1" s="1"/>
  <c r="AL218" i="1"/>
  <c r="AL177" i="1" s="1"/>
  <c r="AM215" i="1"/>
  <c r="AM195" i="1"/>
  <c r="AM121" i="1" s="1"/>
  <c r="AM15" i="1" s="1"/>
  <c r="AM216" i="1"/>
  <c r="AM162" i="1" s="1"/>
  <c r="AO118" i="1"/>
  <c r="AO12" i="1" s="1"/>
  <c r="AP19" i="1" s="1"/>
  <c r="AP118" i="1"/>
  <c r="AP12" i="1"/>
  <c r="AQ118" i="1"/>
  <c r="AQ12" i="1"/>
  <c r="AQ19" i="1" s="1"/>
  <c r="AR118" i="1"/>
  <c r="AR120" i="1" s="1"/>
  <c r="AR14" i="1" s="1"/>
  <c r="AR12" i="1"/>
  <c r="AR19" i="1" s="1"/>
  <c r="AS118" i="1"/>
  <c r="AS120" i="1" s="1"/>
  <c r="AS14" i="1" s="1"/>
  <c r="AT118" i="1"/>
  <c r="AT120" i="1" s="1"/>
  <c r="AT14" i="1" s="1"/>
  <c r="AT21" i="1" s="1"/>
  <c r="AU118" i="1"/>
  <c r="AU12" i="1"/>
  <c r="AV548" i="1"/>
  <c r="AV118" i="1"/>
  <c r="AV12" i="1" s="1"/>
  <c r="H119" i="1"/>
  <c r="H13" i="1" s="1"/>
  <c r="I119" i="1"/>
  <c r="I13" i="1"/>
  <c r="J119" i="1"/>
  <c r="J120" i="1" s="1"/>
  <c r="J14" i="1" s="1"/>
  <c r="J13" i="1"/>
  <c r="J27" i="1" s="1"/>
  <c r="K119" i="1"/>
  <c r="K120" i="1" s="1"/>
  <c r="K14" i="1" s="1"/>
  <c r="L119" i="1"/>
  <c r="L13" i="1"/>
  <c r="L20" i="1" s="1"/>
  <c r="M119" i="1"/>
  <c r="M13" i="1"/>
  <c r="N119" i="1"/>
  <c r="N13" i="1" s="1"/>
  <c r="O119" i="1"/>
  <c r="O120" i="1" s="1"/>
  <c r="O14" i="1" s="1"/>
  <c r="O21" i="1" s="1"/>
  <c r="O13" i="1"/>
  <c r="P27" i="1" s="1"/>
  <c r="P119" i="1"/>
  <c r="P13" i="1"/>
  <c r="Q119" i="1"/>
  <c r="Q13" i="1"/>
  <c r="R119" i="1"/>
  <c r="R120" i="1" s="1"/>
  <c r="R14" i="1" s="1"/>
  <c r="R13" i="1"/>
  <c r="S119" i="1"/>
  <c r="S120" i="1" s="1"/>
  <c r="S14" i="1" s="1"/>
  <c r="S13" i="1"/>
  <c r="T119" i="1"/>
  <c r="T13" i="1" s="1"/>
  <c r="T20" i="1" s="1"/>
  <c r="U119" i="1"/>
  <c r="U120" i="1" s="1"/>
  <c r="U14" i="1" s="1"/>
  <c r="U28" i="1" s="1"/>
  <c r="V119" i="1"/>
  <c r="V13" i="1" s="1"/>
  <c r="W119" i="1"/>
  <c r="W120" i="1" s="1"/>
  <c r="W14" i="1" s="1"/>
  <c r="W21" i="1" s="1"/>
  <c r="X119" i="1"/>
  <c r="X120" i="1" s="1"/>
  <c r="X14" i="1" s="1"/>
  <c r="Y119" i="1"/>
  <c r="Y120" i="1" s="1"/>
  <c r="Y14" i="1" s="1"/>
  <c r="Z119" i="1"/>
  <c r="Z120" i="1" s="1"/>
  <c r="Z14" i="1" s="1"/>
  <c r="Z13" i="1"/>
  <c r="AA119" i="1"/>
  <c r="AA120" i="1" s="1"/>
  <c r="AA14" i="1" s="1"/>
  <c r="AA13" i="1"/>
  <c r="AB119" i="1"/>
  <c r="AB13" i="1" s="1"/>
  <c r="AC119" i="1"/>
  <c r="AC120" i="1" s="1"/>
  <c r="AC14" i="1" s="1"/>
  <c r="AC13" i="1"/>
  <c r="AC27" i="1" s="1"/>
  <c r="AD119" i="1"/>
  <c r="AD13" i="1" s="1"/>
  <c r="AE119" i="1"/>
  <c r="AE13" i="1" s="1"/>
  <c r="G12" i="194" s="1"/>
  <c r="G31" i="194" s="1"/>
  <c r="K38" i="194" s="1"/>
  <c r="AF119" i="1"/>
  <c r="AF13" i="1"/>
  <c r="H12" i="194" s="1"/>
  <c r="AG119" i="1"/>
  <c r="AG13" i="1"/>
  <c r="AG193" i="1"/>
  <c r="AG163" i="1"/>
  <c r="AG178" i="1"/>
  <c r="AH290" i="1"/>
  <c r="AH163" i="1"/>
  <c r="AH305" i="1"/>
  <c r="AH178" i="1" s="1"/>
  <c r="AI290" i="1"/>
  <c r="AJ290" i="1" s="1"/>
  <c r="AI163" i="1"/>
  <c r="AO119" i="1"/>
  <c r="AO13" i="1" s="1"/>
  <c r="AP119" i="1"/>
  <c r="AP13" i="1"/>
  <c r="AQ20" i="1" s="1"/>
  <c r="AQ119" i="1"/>
  <c r="AQ13" i="1"/>
  <c r="AR119" i="1"/>
  <c r="AR13" i="1" s="1"/>
  <c r="AS119" i="1"/>
  <c r="AS13" i="1" s="1"/>
  <c r="AS20" i="1" s="1"/>
  <c r="AT119" i="1"/>
  <c r="AT13" i="1" s="1"/>
  <c r="AU119" i="1"/>
  <c r="AU13" i="1"/>
  <c r="AV549" i="1"/>
  <c r="AV119" i="1" s="1"/>
  <c r="AV13" i="1" s="1"/>
  <c r="H120" i="1"/>
  <c r="H14" i="1" s="1"/>
  <c r="I120" i="1"/>
  <c r="I14" i="1" s="1"/>
  <c r="L120" i="1"/>
  <c r="L14" i="1" s="1"/>
  <c r="M120" i="1"/>
  <c r="M14" i="1" s="1"/>
  <c r="M28" i="1" s="1"/>
  <c r="P120" i="1"/>
  <c r="P14" i="1"/>
  <c r="Q120" i="1"/>
  <c r="Q14" i="1" s="1"/>
  <c r="T120" i="1"/>
  <c r="T14" i="1" s="1"/>
  <c r="T21" i="1" s="1"/>
  <c r="AD120" i="1"/>
  <c r="AD14" i="1" s="1"/>
  <c r="AE120" i="1"/>
  <c r="AE14" i="1"/>
  <c r="AF120" i="1"/>
  <c r="AF14" i="1" s="1"/>
  <c r="AG120" i="1"/>
  <c r="AG14" i="1" s="1"/>
  <c r="AP120" i="1"/>
  <c r="AP14" i="1" s="1"/>
  <c r="AQ120" i="1"/>
  <c r="AQ14" i="1" s="1"/>
  <c r="AU120" i="1"/>
  <c r="AU14" i="1" s="1"/>
  <c r="AU21" i="1" s="1"/>
  <c r="H121" i="1"/>
  <c r="H15" i="1" s="1"/>
  <c r="I121" i="1"/>
  <c r="I15" i="1" s="1"/>
  <c r="I29" i="1" s="1"/>
  <c r="J121" i="1"/>
  <c r="J15" i="1" s="1"/>
  <c r="K121" i="1"/>
  <c r="K15" i="1"/>
  <c r="L121" i="1"/>
  <c r="L15" i="1" s="1"/>
  <c r="L29" i="1" s="1"/>
  <c r="M121" i="1"/>
  <c r="M15" i="1" s="1"/>
  <c r="N121" i="1"/>
  <c r="N15" i="1" s="1"/>
  <c r="O121" i="1"/>
  <c r="O15" i="1"/>
  <c r="P121" i="1"/>
  <c r="P15" i="1" s="1"/>
  <c r="Q121" i="1"/>
  <c r="Q15" i="1" s="1"/>
  <c r="R121" i="1"/>
  <c r="R15" i="1" s="1"/>
  <c r="S121" i="1"/>
  <c r="S15" i="1" s="1"/>
  <c r="T29" i="1" s="1"/>
  <c r="T121" i="1"/>
  <c r="T15" i="1"/>
  <c r="U121" i="1"/>
  <c r="U15" i="1" s="1"/>
  <c r="V121" i="1"/>
  <c r="V15" i="1"/>
  <c r="W121" i="1"/>
  <c r="W15" i="1" s="1"/>
  <c r="X121" i="1"/>
  <c r="X15" i="1" s="1"/>
  <c r="Y121" i="1"/>
  <c r="Y15" i="1" s="1"/>
  <c r="Z121" i="1"/>
  <c r="Z15" i="1" s="1"/>
  <c r="AA121" i="1"/>
  <c r="AA15" i="1" s="1"/>
  <c r="AB121" i="1"/>
  <c r="AB15" i="1" s="1"/>
  <c r="AC121" i="1"/>
  <c r="AC15" i="1" s="1"/>
  <c r="AD121" i="1"/>
  <c r="AD15" i="1"/>
  <c r="F14" i="194" s="1"/>
  <c r="F33" i="194" s="1"/>
  <c r="J40" i="194" s="1"/>
  <c r="AE121" i="1"/>
  <c r="AE15" i="1"/>
  <c r="G14" i="194" s="1"/>
  <c r="G33" i="194" s="1"/>
  <c r="K40" i="194" s="1"/>
  <c r="AF121" i="1"/>
  <c r="AF15" i="1" s="1"/>
  <c r="AG15" i="1"/>
  <c r="AH15" i="1"/>
  <c r="J14" i="194" s="1"/>
  <c r="AI15" i="1"/>
  <c r="K14" i="194" s="1"/>
  <c r="AJ15" i="1"/>
  <c r="AO121" i="1"/>
  <c r="AO15" i="1"/>
  <c r="AP121" i="1"/>
  <c r="AP15" i="1"/>
  <c r="AP22" i="1" s="1"/>
  <c r="AQ121" i="1"/>
  <c r="AQ15" i="1"/>
  <c r="AR121" i="1"/>
  <c r="AR15" i="1"/>
  <c r="AS121" i="1"/>
  <c r="AS15" i="1"/>
  <c r="AT121" i="1"/>
  <c r="AT15" i="1"/>
  <c r="AU121" i="1"/>
  <c r="AU15" i="1" s="1"/>
  <c r="AV550" i="1"/>
  <c r="AV121" i="1" s="1"/>
  <c r="AV15" i="1" s="1"/>
  <c r="H551" i="1"/>
  <c r="H16" i="1" s="1"/>
  <c r="I551" i="1"/>
  <c r="I16" i="1"/>
  <c r="J551" i="1"/>
  <c r="J16" i="1" s="1"/>
  <c r="K551" i="1"/>
  <c r="K16" i="1" s="1"/>
  <c r="K30" i="1" s="1"/>
  <c r="L551" i="1"/>
  <c r="L16" i="1" s="1"/>
  <c r="M551" i="1"/>
  <c r="M16" i="1" s="1"/>
  <c r="N30" i="1" s="1"/>
  <c r="N551" i="1"/>
  <c r="N16" i="1"/>
  <c r="O551" i="1"/>
  <c r="O16" i="1" s="1"/>
  <c r="P551" i="1"/>
  <c r="P16" i="1"/>
  <c r="Q551" i="1"/>
  <c r="Q16" i="1" s="1"/>
  <c r="R551" i="1"/>
  <c r="R16" i="1" s="1"/>
  <c r="S551" i="1"/>
  <c r="S16" i="1" s="1"/>
  <c r="T551" i="1"/>
  <c r="T16" i="1" s="1"/>
  <c r="U551" i="1"/>
  <c r="U16" i="1" s="1"/>
  <c r="V551" i="1"/>
  <c r="V16" i="1" s="1"/>
  <c r="V30" i="1" s="1"/>
  <c r="W551" i="1"/>
  <c r="W16" i="1" s="1"/>
  <c r="X551" i="1"/>
  <c r="X16" i="1"/>
  <c r="Y551" i="1"/>
  <c r="Y16" i="1"/>
  <c r="Y30" i="1" s="1"/>
  <c r="Z551" i="1"/>
  <c r="Z16" i="1" s="1"/>
  <c r="AA551" i="1"/>
  <c r="AA16" i="1" s="1"/>
  <c r="AB551" i="1"/>
  <c r="AB16" i="1" s="1"/>
  <c r="AC551" i="1"/>
  <c r="AC16" i="1" s="1"/>
  <c r="AD551" i="1"/>
  <c r="AD16" i="1" s="1"/>
  <c r="AE551" i="1"/>
  <c r="AE16" i="1" s="1"/>
  <c r="AF551" i="1"/>
  <c r="AF16" i="1" s="1"/>
  <c r="AF30" i="1" s="1"/>
  <c r="AG551" i="1"/>
  <c r="AG16" i="1" s="1"/>
  <c r="AG23" i="1" s="1"/>
  <c r="AO551" i="1"/>
  <c r="AO16" i="1" s="1"/>
  <c r="AP551" i="1"/>
  <c r="AP16" i="1"/>
  <c r="AQ551" i="1"/>
  <c r="AQ16" i="1" s="1"/>
  <c r="AQ23" i="1" s="1"/>
  <c r="AR551" i="1"/>
  <c r="AR16" i="1" s="1"/>
  <c r="AS551" i="1"/>
  <c r="AS16" i="1" s="1"/>
  <c r="AS23" i="1" s="1"/>
  <c r="AT551" i="1"/>
  <c r="AT16" i="1" s="1"/>
  <c r="AT23" i="1" s="1"/>
  <c r="AU551" i="1"/>
  <c r="AU16" i="1" s="1"/>
  <c r="L19" i="1"/>
  <c r="M19" i="1"/>
  <c r="N19" i="1"/>
  <c r="O19" i="1"/>
  <c r="P19" i="1"/>
  <c r="Q19" i="1"/>
  <c r="R19" i="1"/>
  <c r="S19" i="1"/>
  <c r="T19" i="1"/>
  <c r="U19" i="1"/>
  <c r="V19" i="1"/>
  <c r="W19" i="1"/>
  <c r="X19" i="1"/>
  <c r="Y19" i="1"/>
  <c r="Z19" i="1"/>
  <c r="AA19" i="1"/>
  <c r="AB19" i="1"/>
  <c r="AC19" i="1"/>
  <c r="AD19" i="1"/>
  <c r="AE19" i="1"/>
  <c r="AF19" i="1"/>
  <c r="AG19" i="1"/>
  <c r="O22" i="1"/>
  <c r="I26" i="1"/>
  <c r="J26" i="1"/>
  <c r="K26" i="1"/>
  <c r="L26" i="1"/>
  <c r="M26" i="1"/>
  <c r="N26" i="1"/>
  <c r="O26" i="1"/>
  <c r="P26" i="1"/>
  <c r="Q26" i="1"/>
  <c r="R26" i="1"/>
  <c r="S26" i="1"/>
  <c r="T26" i="1"/>
  <c r="U26" i="1"/>
  <c r="V26" i="1"/>
  <c r="W26" i="1"/>
  <c r="X26" i="1"/>
  <c r="Y26" i="1"/>
  <c r="Z26" i="1"/>
  <c r="AA26" i="1"/>
  <c r="AB26" i="1"/>
  <c r="AC26" i="1"/>
  <c r="AD26" i="1"/>
  <c r="AE26" i="1"/>
  <c r="AF26" i="1"/>
  <c r="AG26" i="1"/>
  <c r="M27" i="1"/>
  <c r="Q27" i="1"/>
  <c r="S27" i="1"/>
  <c r="AJ29" i="1"/>
  <c r="W22" i="1" l="1"/>
  <c r="W29" i="1"/>
  <c r="L21" i="1"/>
  <c r="M12" i="194"/>
  <c r="M31" i="194" s="1"/>
  <c r="AV20" i="1"/>
  <c r="D14" i="194"/>
  <c r="D33" i="194" s="1"/>
  <c r="AB29" i="1"/>
  <c r="AC28" i="1"/>
  <c r="D12" i="194"/>
  <c r="M11" i="194"/>
  <c r="AV19" i="1"/>
  <c r="X21" i="1"/>
  <c r="Q23" i="1"/>
  <c r="P20" i="1"/>
  <c r="AT22" i="1"/>
  <c r="AF27" i="1"/>
  <c r="Q20" i="1"/>
  <c r="Y23" i="1"/>
  <c r="L22" i="1"/>
  <c r="AR20" i="1"/>
  <c r="Y13" i="1"/>
  <c r="Z27" i="1" s="1"/>
  <c r="R20" i="1"/>
  <c r="J28" i="1"/>
  <c r="AG27" i="1"/>
  <c r="AP23" i="1"/>
  <c r="M20" i="1"/>
  <c r="AQ22" i="1"/>
  <c r="AB120" i="1"/>
  <c r="AB14" i="1" s="1"/>
  <c r="N120" i="1"/>
  <c r="N14" i="1" s="1"/>
  <c r="R21" i="1" s="1"/>
  <c r="AE22" i="1"/>
  <c r="AV120" i="1"/>
  <c r="AV14" i="1" s="1"/>
  <c r="X13" i="1"/>
  <c r="AB20" i="1" s="1"/>
  <c r="AM218" i="1"/>
  <c r="AM177" i="1" s="1"/>
  <c r="AQ21" i="1"/>
  <c r="W13" i="1"/>
  <c r="AA20" i="1" s="1"/>
  <c r="S22" i="1"/>
  <c r="AP21" i="1"/>
  <c r="AP20" i="1"/>
  <c r="M23" i="1"/>
  <c r="AI29" i="1"/>
  <c r="AF20" i="1"/>
  <c r="AO120" i="1"/>
  <c r="AO14" i="1" s="1"/>
  <c r="V120" i="1"/>
  <c r="V14" i="1" s="1"/>
  <c r="AI305" i="1"/>
  <c r="U13" i="1"/>
  <c r="U27" i="1" s="1"/>
  <c r="AT12" i="1"/>
  <c r="AU19" i="1" s="1"/>
  <c r="AV551" i="1"/>
  <c r="AV16" i="1" s="1"/>
  <c r="AV23" i="1" s="1"/>
  <c r="AU23" i="1"/>
  <c r="AS12" i="1"/>
  <c r="AS19" i="1" s="1"/>
  <c r="AU22" i="1"/>
  <c r="K13" i="1"/>
  <c r="O20" i="1" s="1"/>
  <c r="AS21" i="1"/>
  <c r="AE20" i="1"/>
  <c r="P21" i="1"/>
  <c r="AR22" i="1"/>
  <c r="AG142" i="1"/>
  <c r="AG269" i="1" s="1"/>
  <c r="AH269" i="1" s="1"/>
  <c r="AI269" i="1" s="1"/>
  <c r="N20" i="1"/>
  <c r="N27" i="1"/>
  <c r="O27" i="1"/>
  <c r="AA21" i="1"/>
  <c r="AA28" i="1"/>
  <c r="AB28" i="1"/>
  <c r="T22" i="1"/>
  <c r="P29" i="1"/>
  <c r="P22" i="1"/>
  <c r="Z29" i="1"/>
  <c r="AA29" i="1"/>
  <c r="AD22" i="1"/>
  <c r="Z22" i="1"/>
  <c r="I28" i="1"/>
  <c r="M21" i="1"/>
  <c r="V27" i="1"/>
  <c r="V20" i="1"/>
  <c r="L30" i="1"/>
  <c r="M30" i="1"/>
  <c r="L23" i="1"/>
  <c r="R22" i="1"/>
  <c r="S29" i="1"/>
  <c r="R29" i="1"/>
  <c r="N23" i="1"/>
  <c r="J30" i="1"/>
  <c r="W28" i="1"/>
  <c r="V21" i="1"/>
  <c r="V28" i="1"/>
  <c r="F12" i="194"/>
  <c r="AD20" i="1"/>
  <c r="AD27" i="1"/>
  <c r="AE27" i="1"/>
  <c r="R23" i="1"/>
  <c r="V23" i="1"/>
  <c r="R30" i="1"/>
  <c r="AC23" i="1"/>
  <c r="AC30" i="1"/>
  <c r="AD30" i="1"/>
  <c r="M14" i="194"/>
  <c r="M33" i="194" s="1"/>
  <c r="AV22" i="1"/>
  <c r="M22" i="1"/>
  <c r="M29" i="1"/>
  <c r="N29" i="1"/>
  <c r="AJ163" i="1"/>
  <c r="AK290" i="1"/>
  <c r="O23" i="1"/>
  <c r="O30" i="1"/>
  <c r="Y21" i="1"/>
  <c r="Y28" i="1"/>
  <c r="AC21" i="1"/>
  <c r="Q29" i="1"/>
  <c r="Q22" i="1"/>
  <c r="AM22" i="1"/>
  <c r="AM29" i="1"/>
  <c r="AE23" i="1"/>
  <c r="AE30" i="1"/>
  <c r="Y29" i="1"/>
  <c r="Y22" i="1"/>
  <c r="AG28" i="1"/>
  <c r="AG21" i="1"/>
  <c r="AL22" i="1"/>
  <c r="AX15" i="1"/>
  <c r="AL29" i="1"/>
  <c r="I28" i="278"/>
  <c r="N23" i="278"/>
  <c r="AT20" i="1"/>
  <c r="AU20" i="1"/>
  <c r="AD21" i="1"/>
  <c r="AD28" i="1"/>
  <c r="AE28" i="1"/>
  <c r="J29" i="1"/>
  <c r="K29" i="1"/>
  <c r="N22" i="1"/>
  <c r="Z21" i="1"/>
  <c r="Z28" i="1"/>
  <c r="T30" i="1"/>
  <c r="U30" i="1"/>
  <c r="X23" i="1"/>
  <c r="T23" i="1"/>
  <c r="S30" i="1"/>
  <c r="S23" i="1"/>
  <c r="X29" i="1"/>
  <c r="X22" i="1"/>
  <c r="AB22" i="1"/>
  <c r="AB30" i="1"/>
  <c r="AB23" i="1"/>
  <c r="AA30" i="1"/>
  <c r="AA23" i="1"/>
  <c r="P30" i="1"/>
  <c r="V22" i="1"/>
  <c r="AE21" i="1"/>
  <c r="K28" i="1"/>
  <c r="L28" i="1"/>
  <c r="AR23" i="1"/>
  <c r="Z23" i="1"/>
  <c r="AD23" i="1"/>
  <c r="Z30" i="1"/>
  <c r="H14" i="194"/>
  <c r="AJ22" i="1"/>
  <c r="AW15" i="1"/>
  <c r="AF29" i="1"/>
  <c r="AF22" i="1"/>
  <c r="Q28" i="1"/>
  <c r="Q21" i="1"/>
  <c r="U21" i="1"/>
  <c r="S28" i="1"/>
  <c r="S21" i="1"/>
  <c r="T28" i="1"/>
  <c r="AR21" i="1"/>
  <c r="R28" i="1"/>
  <c r="U29" i="1"/>
  <c r="U22" i="1"/>
  <c r="V29" i="1"/>
  <c r="W23" i="1"/>
  <c r="W30" i="1"/>
  <c r="X30" i="1"/>
  <c r="D12" i="13"/>
  <c r="E14" i="194"/>
  <c r="E33" i="194" s="1"/>
  <c r="I40" i="194" s="1"/>
  <c r="AC29" i="1"/>
  <c r="AD29" i="1"/>
  <c r="AC22" i="1"/>
  <c r="AG22" i="1"/>
  <c r="AV21" i="1"/>
  <c r="E12" i="13"/>
  <c r="I14" i="194"/>
  <c r="T27" i="1"/>
  <c r="Z20" i="1"/>
  <c r="R27" i="1"/>
  <c r="AG29" i="1"/>
  <c r="AF28" i="1"/>
  <c r="P28" i="1"/>
  <c r="AS22" i="1"/>
  <c r="AA22" i="1"/>
  <c r="AF21" i="1"/>
  <c r="U20" i="1"/>
  <c r="H19" i="194"/>
  <c r="H31" i="194"/>
  <c r="AG30" i="1"/>
  <c r="Q30" i="1"/>
  <c r="U23" i="1"/>
  <c r="AE29" i="1"/>
  <c r="O29" i="1"/>
  <c r="S20" i="1"/>
  <c r="AB27" i="1"/>
  <c r="L27" i="1"/>
  <c r="G13" i="194"/>
  <c r="E10" i="13"/>
  <c r="I12" i="194"/>
  <c r="AA27" i="1"/>
  <c r="K27" i="1"/>
  <c r="AB21" i="1"/>
  <c r="AG20" i="1"/>
  <c r="AH29" i="1"/>
  <c r="M30" i="194"/>
  <c r="AI268" i="1"/>
  <c r="AH141" i="1"/>
  <c r="AH192" i="1" s="1"/>
  <c r="AH118" i="1" s="1"/>
  <c r="H13" i="194"/>
  <c r="I27" i="1"/>
  <c r="AF23" i="1"/>
  <c r="P23" i="1"/>
  <c r="AK22" i="1"/>
  <c r="D10" i="13"/>
  <c r="E12" i="194"/>
  <c r="N30" i="194"/>
  <c r="H37" i="194"/>
  <c r="N22" i="278"/>
  <c r="N20" i="278"/>
  <c r="X28" i="1"/>
  <c r="AI22" i="1"/>
  <c r="K21" i="194"/>
  <c r="K52" i="194"/>
  <c r="I30" i="1"/>
  <c r="AH22" i="1"/>
  <c r="J21" i="194"/>
  <c r="J52" i="194"/>
  <c r="H218" i="1"/>
  <c r="H217" i="1" s="1"/>
  <c r="H215" i="1" s="1"/>
  <c r="H237" i="1" s="1"/>
  <c r="H239" i="1" s="1"/>
  <c r="H33" i="1" s="1"/>
  <c r="I219" i="1"/>
  <c r="O28" i="1" l="1"/>
  <c r="AJ305" i="1"/>
  <c r="AI178" i="1"/>
  <c r="AH142" i="1"/>
  <c r="AH193" i="1" s="1"/>
  <c r="AH119" i="1" s="1"/>
  <c r="AH13" i="1" s="1"/>
  <c r="AH27" i="1" s="1"/>
  <c r="N28" i="1"/>
  <c r="Y27" i="1"/>
  <c r="M13" i="194"/>
  <c r="M32" i="194" s="1"/>
  <c r="N21" i="1"/>
  <c r="W27" i="1"/>
  <c r="D31" i="194"/>
  <c r="H38" i="194" s="1"/>
  <c r="D13" i="194"/>
  <c r="W20" i="1"/>
  <c r="AC20" i="1"/>
  <c r="Y20" i="1"/>
  <c r="X20" i="1"/>
  <c r="X27" i="1"/>
  <c r="AT19" i="1"/>
  <c r="AH12" i="1"/>
  <c r="AL290" i="1"/>
  <c r="AK163" i="1"/>
  <c r="F31" i="194"/>
  <c r="J38" i="194" s="1"/>
  <c r="F13" i="194"/>
  <c r="M15" i="194"/>
  <c r="M34" i="194" s="1"/>
  <c r="G15" i="194"/>
  <c r="G34" i="194" s="1"/>
  <c r="K41" i="194" s="1"/>
  <c r="G32" i="194"/>
  <c r="K39" i="194" s="1"/>
  <c r="AI141" i="1"/>
  <c r="AI192" i="1" s="1"/>
  <c r="AI118" i="1" s="1"/>
  <c r="AW118" i="1" s="1"/>
  <c r="AW12" i="1" s="1"/>
  <c r="AJ268" i="1"/>
  <c r="G19" i="13"/>
  <c r="F19" i="13"/>
  <c r="N14" i="194"/>
  <c r="AW22" i="1"/>
  <c r="O14" i="194"/>
  <c r="AX22" i="1"/>
  <c r="N37" i="194"/>
  <c r="O37" i="194"/>
  <c r="I21" i="194"/>
  <c r="AH20" i="1"/>
  <c r="AJ269" i="1"/>
  <c r="AI142" i="1"/>
  <c r="AI193" i="1" s="1"/>
  <c r="AI119" i="1" s="1"/>
  <c r="E31" i="194"/>
  <c r="I38" i="194" s="1"/>
  <c r="E13" i="194"/>
  <c r="H12" i="13"/>
  <c r="E19" i="13"/>
  <c r="I12" i="13"/>
  <c r="H21" i="194"/>
  <c r="H33" i="194"/>
  <c r="F17" i="13"/>
  <c r="G17" i="13"/>
  <c r="D11" i="13"/>
  <c r="I19" i="194"/>
  <c r="I13" i="194"/>
  <c r="N31" i="194"/>
  <c r="H10" i="13"/>
  <c r="I10" i="13"/>
  <c r="E17" i="13"/>
  <c r="E11" i="13"/>
  <c r="N21" i="278"/>
  <c r="N19" i="278" s="1"/>
  <c r="N28" i="278"/>
  <c r="I29" i="278"/>
  <c r="N29" i="278" s="1"/>
  <c r="H15" i="194"/>
  <c r="H20" i="194"/>
  <c r="H32" i="194"/>
  <c r="I218" i="1"/>
  <c r="I217" i="1" s="1"/>
  <c r="I215" i="1" s="1"/>
  <c r="I237" i="1" s="1"/>
  <c r="I239" i="1" s="1"/>
  <c r="I33" i="1" s="1"/>
  <c r="J219" i="1"/>
  <c r="J12" i="194" l="1"/>
  <c r="AK305" i="1"/>
  <c r="AJ178" i="1"/>
  <c r="D32" i="194"/>
  <c r="D15" i="194"/>
  <c r="D34" i="194" s="1"/>
  <c r="AH120" i="1"/>
  <c r="AH14" i="1" s="1"/>
  <c r="E13" i="13"/>
  <c r="H11" i="13"/>
  <c r="E18" i="13"/>
  <c r="I11" i="13"/>
  <c r="N21" i="194"/>
  <c r="E15" i="194"/>
  <c r="E34" i="194" s="1"/>
  <c r="I41" i="194" s="1"/>
  <c r="E32" i="194"/>
  <c r="I39" i="194" s="1"/>
  <c r="O21" i="194"/>
  <c r="O52" i="194"/>
  <c r="AJ141" i="1"/>
  <c r="AJ192" i="1" s="1"/>
  <c r="AJ118" i="1" s="1"/>
  <c r="AK268" i="1"/>
  <c r="AI13" i="1"/>
  <c r="AW119" i="1"/>
  <c r="AW13" i="1" s="1"/>
  <c r="AK269" i="1"/>
  <c r="AJ142" i="1"/>
  <c r="AJ193" i="1" s="1"/>
  <c r="AJ119" i="1" s="1"/>
  <c r="AJ13" i="1" s="1"/>
  <c r="J19" i="194"/>
  <c r="J50" i="194"/>
  <c r="F15" i="194"/>
  <c r="F34" i="194" s="1"/>
  <c r="J41" i="194" s="1"/>
  <c r="F32" i="194"/>
  <c r="J39" i="194" s="1"/>
  <c r="H40" i="194"/>
  <c r="N33" i="194"/>
  <c r="N38" i="194"/>
  <c r="O38" i="194"/>
  <c r="I15" i="194"/>
  <c r="I22" i="194" s="1"/>
  <c r="I20" i="194"/>
  <c r="H39" i="194"/>
  <c r="N32" i="194"/>
  <c r="F18" i="13"/>
  <c r="D13" i="13"/>
  <c r="G18" i="13"/>
  <c r="H22" i="194"/>
  <c r="H34" i="194"/>
  <c r="AM290" i="1"/>
  <c r="AM163" i="1" s="1"/>
  <c r="AL163" i="1"/>
  <c r="AI12" i="1"/>
  <c r="AI120" i="1"/>
  <c r="N11" i="194"/>
  <c r="AW19" i="1"/>
  <c r="J11" i="194"/>
  <c r="AH19" i="1"/>
  <c r="AH26" i="1"/>
  <c r="J218" i="1"/>
  <c r="J217" i="1" s="1"/>
  <c r="J215" i="1" s="1"/>
  <c r="J237" i="1" s="1"/>
  <c r="J239" i="1" s="1"/>
  <c r="J33" i="1" s="1"/>
  <c r="K219" i="1"/>
  <c r="AH122" i="1" l="1"/>
  <c r="AH16" i="1" s="1"/>
  <c r="AH30" i="1" s="1"/>
  <c r="AK178" i="1"/>
  <c r="AL305" i="1"/>
  <c r="AJ20" i="1"/>
  <c r="AJ27" i="1"/>
  <c r="G20" i="13"/>
  <c r="F20" i="13"/>
  <c r="AK142" i="1"/>
  <c r="AL269" i="1"/>
  <c r="N12" i="194"/>
  <c r="AW20" i="1"/>
  <c r="AJ120" i="1"/>
  <c r="AJ12" i="1"/>
  <c r="N34" i="194"/>
  <c r="H41" i="194"/>
  <c r="K12" i="194"/>
  <c r="AI27" i="1"/>
  <c r="AI20" i="1"/>
  <c r="N39" i="194"/>
  <c r="O39" i="194"/>
  <c r="AK141" i="1"/>
  <c r="AK192" i="1" s="1"/>
  <c r="AK118" i="1" s="1"/>
  <c r="AL268" i="1"/>
  <c r="AH23" i="1"/>
  <c r="AH21" i="1"/>
  <c r="AH28" i="1"/>
  <c r="AI14" i="1"/>
  <c r="AW14" i="1" s="1"/>
  <c r="AW21" i="1" s="1"/>
  <c r="AI122" i="1"/>
  <c r="AI16" i="1" s="1"/>
  <c r="J18" i="194"/>
  <c r="J13" i="194"/>
  <c r="J49" i="194"/>
  <c r="N18" i="194"/>
  <c r="N13" i="194"/>
  <c r="N49" i="194"/>
  <c r="K11" i="194"/>
  <c r="AI19" i="1"/>
  <c r="AI26" i="1"/>
  <c r="N40" i="194"/>
  <c r="O40" i="194"/>
  <c r="N52" i="194"/>
  <c r="H13" i="13"/>
  <c r="I13" i="13"/>
  <c r="E20" i="13"/>
  <c r="K218" i="1"/>
  <c r="K217" i="1" s="1"/>
  <c r="K215" i="1" s="1"/>
  <c r="K237" i="1" s="1"/>
  <c r="K239" i="1" s="1"/>
  <c r="K33" i="1" s="1"/>
  <c r="L239" i="1"/>
  <c r="L33" i="1"/>
  <c r="M239" i="1"/>
  <c r="M33" i="1"/>
  <c r="N239" i="1"/>
  <c r="N33" i="1"/>
  <c r="O239" i="1"/>
  <c r="O33" i="1" s="1"/>
  <c r="P239" i="1"/>
  <c r="P33" i="1"/>
  <c r="Q239" i="1"/>
  <c r="Q33" i="1" s="1"/>
  <c r="R239" i="1"/>
  <c r="R33" i="1"/>
  <c r="S239" i="1"/>
  <c r="S33" i="1"/>
  <c r="T239" i="1"/>
  <c r="T33" i="1"/>
  <c r="U239" i="1"/>
  <c r="U33" i="1" s="1"/>
  <c r="V239" i="1"/>
  <c r="V33" i="1"/>
  <c r="W239" i="1"/>
  <c r="W33" i="1" s="1"/>
  <c r="X239" i="1"/>
  <c r="X33" i="1"/>
  <c r="Y239" i="1"/>
  <c r="Y33" i="1" s="1"/>
  <c r="Z239" i="1"/>
  <c r="Z33" i="1"/>
  <c r="AA239" i="1"/>
  <c r="AA33" i="1"/>
  <c r="AB239" i="1"/>
  <c r="AB33" i="1"/>
  <c r="AC239" i="1"/>
  <c r="AC33" i="1"/>
  <c r="AD239" i="1"/>
  <c r="AD33" i="1"/>
  <c r="AE239" i="1"/>
  <c r="AE33" i="1"/>
  <c r="AF239" i="1"/>
  <c r="AF33" i="1" s="1"/>
  <c r="AG239" i="1"/>
  <c r="AG33" i="1" s="1"/>
  <c r="AH237" i="1"/>
  <c r="AH239" i="1" s="1"/>
  <c r="AH33" i="1" s="1"/>
  <c r="AH238" i="1"/>
  <c r="AI237" i="1"/>
  <c r="AI238" i="1"/>
  <c r="AI239" i="1"/>
  <c r="AI33" i="1"/>
  <c r="AJ237" i="1"/>
  <c r="AJ239" i="1" s="1"/>
  <c r="AJ33" i="1" s="1"/>
  <c r="AJ238" i="1"/>
  <c r="AK237" i="1"/>
  <c r="AK239" i="1" s="1"/>
  <c r="AK33" i="1" s="1"/>
  <c r="AK238" i="1"/>
  <c r="AL237" i="1"/>
  <c r="AL239" i="1" s="1"/>
  <c r="AL33" i="1" s="1"/>
  <c r="AL238" i="1"/>
  <c r="AM237" i="1"/>
  <c r="AM238" i="1"/>
  <c r="AM239" i="1"/>
  <c r="AM33" i="1"/>
  <c r="AM305" i="1" l="1"/>
  <c r="AM178" i="1" s="1"/>
  <c r="AL178" i="1"/>
  <c r="AK193" i="1"/>
  <c r="AK119" i="1" s="1"/>
  <c r="AK13" i="1" s="1"/>
  <c r="AK20" i="1" s="1"/>
  <c r="N15" i="194"/>
  <c r="N20" i="194"/>
  <c r="N51" i="194"/>
  <c r="J15" i="194"/>
  <c r="J20" i="194"/>
  <c r="J51" i="194"/>
  <c r="K19" i="194"/>
  <c r="K50" i="194"/>
  <c r="AI30" i="1"/>
  <c r="AI23" i="1"/>
  <c r="O41" i="194"/>
  <c r="N41" i="194"/>
  <c r="AI21" i="1"/>
  <c r="AI28" i="1"/>
  <c r="AJ19" i="1"/>
  <c r="AJ26" i="1"/>
  <c r="AJ122" i="1"/>
  <c r="AJ16" i="1" s="1"/>
  <c r="AJ14" i="1"/>
  <c r="N19" i="194"/>
  <c r="N50" i="194"/>
  <c r="AW16" i="1"/>
  <c r="AW23" i="1" s="1"/>
  <c r="AL142" i="1"/>
  <c r="AM269" i="1"/>
  <c r="AM142" i="1" s="1"/>
  <c r="AL141" i="1"/>
  <c r="AL192" i="1" s="1"/>
  <c r="AL118" i="1" s="1"/>
  <c r="AM268" i="1"/>
  <c r="AM141" i="1" s="1"/>
  <c r="AM192" i="1" s="1"/>
  <c r="AM118" i="1" s="1"/>
  <c r="K13" i="194"/>
  <c r="K18" i="194"/>
  <c r="K49" i="194"/>
  <c r="AK12" i="1"/>
  <c r="AO218" i="1"/>
  <c r="AO217" i="1"/>
  <c r="AO215" i="1" s="1"/>
  <c r="AO237" i="1" s="1"/>
  <c r="AO239" i="1" s="1"/>
  <c r="AO33" i="1" s="1"/>
  <c r="AK120" i="1" l="1"/>
  <c r="AK27" i="1"/>
  <c r="AM193" i="1"/>
  <c r="AM119" i="1" s="1"/>
  <c r="AM13" i="1" s="1"/>
  <c r="AM20" i="1" s="1"/>
  <c r="AL193" i="1"/>
  <c r="AL119" i="1" s="1"/>
  <c r="AL13" i="1" s="1"/>
  <c r="AL27" i="1" s="1"/>
  <c r="N22" i="194"/>
  <c r="N53" i="194"/>
  <c r="J22" i="194"/>
  <c r="J53" i="194"/>
  <c r="AJ30" i="1"/>
  <c r="AJ23" i="1"/>
  <c r="AK122" i="1"/>
  <c r="AK16" i="1" s="1"/>
  <c r="AK14" i="1"/>
  <c r="AK26" i="1"/>
  <c r="AK19" i="1"/>
  <c r="K15" i="194"/>
  <c r="K20" i="194"/>
  <c r="K51" i="194"/>
  <c r="AM12" i="1"/>
  <c r="AL12" i="1"/>
  <c r="AL120" i="1"/>
  <c r="AM27" i="1"/>
  <c r="AJ21" i="1"/>
  <c r="AJ28" i="1"/>
  <c r="D218" i="1"/>
  <c r="D217" i="1" s="1"/>
  <c r="D215" i="1" s="1"/>
  <c r="D237" i="1" s="1"/>
  <c r="D239" i="1" s="1"/>
  <c r="AL20" i="1" l="1"/>
  <c r="AM120" i="1"/>
  <c r="AX13" i="1"/>
  <c r="O12" i="194" s="1"/>
  <c r="AL122" i="1"/>
  <c r="AL16" i="1" s="1"/>
  <c r="AL14" i="1"/>
  <c r="AL26" i="1"/>
  <c r="AL19" i="1"/>
  <c r="AM122" i="1"/>
  <c r="AM16" i="1" s="1"/>
  <c r="AM14" i="1"/>
  <c r="AX12" i="1"/>
  <c r="AM26" i="1"/>
  <c r="AM19" i="1"/>
  <c r="K22" i="194"/>
  <c r="K53" i="194"/>
  <c r="AK21" i="1"/>
  <c r="AK28" i="1"/>
  <c r="AK23" i="1"/>
  <c r="AK30" i="1"/>
  <c r="AX20" i="1"/>
  <c r="E218" i="1"/>
  <c r="E217" i="1" s="1"/>
  <c r="E215" i="1" s="1"/>
  <c r="E237" i="1" s="1"/>
  <c r="E239" i="1" s="1"/>
  <c r="O11" i="194" l="1"/>
  <c r="AX19" i="1"/>
  <c r="AM23" i="1"/>
  <c r="AM30" i="1"/>
  <c r="AL21" i="1"/>
  <c r="AL28" i="1"/>
  <c r="AX14" i="1"/>
  <c r="AX21" i="1" s="1"/>
  <c r="AL30" i="1"/>
  <c r="AL23" i="1"/>
  <c r="AX16" i="1"/>
  <c r="AX23" i="1" s="1"/>
  <c r="AM21" i="1"/>
  <c r="AM28" i="1"/>
  <c r="O19" i="194"/>
  <c r="O50" i="194"/>
  <c r="F218" i="1"/>
  <c r="F217" i="1"/>
  <c r="F215" i="1" s="1"/>
  <c r="F237" i="1" s="1"/>
  <c r="F239" i="1" s="1"/>
  <c r="O13" i="194" l="1"/>
  <c r="O18" i="194"/>
  <c r="O49" i="194"/>
  <c r="G218" i="1"/>
  <c r="G217" i="1" s="1"/>
  <c r="G215" i="1" s="1"/>
  <c r="G237" i="1" s="1"/>
  <c r="G239" i="1" s="1"/>
  <c r="AP239" i="1" s="1"/>
  <c r="AP33" i="1" s="1"/>
  <c r="AQ239" i="1"/>
  <c r="AQ33" i="1" s="1"/>
  <c r="AR239" i="1"/>
  <c r="AR33" i="1" s="1"/>
  <c r="AS239" i="1"/>
  <c r="AS33" i="1"/>
  <c r="AS34" i="1" s="1"/>
  <c r="AT239" i="1"/>
  <c r="AT33" i="1"/>
  <c r="AT34" i="1" s="1"/>
  <c r="AU239" i="1"/>
  <c r="AU33" i="1" s="1"/>
  <c r="AV239" i="1"/>
  <c r="AV33" i="1" s="1"/>
  <c r="AW239" i="1"/>
  <c r="AW33" i="1"/>
  <c r="AX33" i="1"/>
  <c r="AX36" i="1" s="1"/>
  <c r="L34" i="1"/>
  <c r="M34" i="1"/>
  <c r="N34" i="1"/>
  <c r="O34" i="1"/>
  <c r="P34" i="1"/>
  <c r="Q34" i="1"/>
  <c r="R34" i="1"/>
  <c r="S34" i="1"/>
  <c r="T34" i="1"/>
  <c r="U34" i="1"/>
  <c r="V34" i="1"/>
  <c r="W34" i="1"/>
  <c r="X34" i="1"/>
  <c r="Y34" i="1"/>
  <c r="Z34" i="1"/>
  <c r="AA34" i="1"/>
  <c r="AB34" i="1"/>
  <c r="AC34" i="1"/>
  <c r="AD34" i="1"/>
  <c r="AE34" i="1"/>
  <c r="AF34" i="1"/>
  <c r="AG34" i="1"/>
  <c r="AH34" i="1"/>
  <c r="AI34" i="1"/>
  <c r="AJ34" i="1"/>
  <c r="AK34" i="1"/>
  <c r="AL34" i="1"/>
  <c r="AM34" i="1"/>
  <c r="I35" i="1"/>
  <c r="J35" i="1"/>
  <c r="K35" i="1"/>
  <c r="L35" i="1"/>
  <c r="M35" i="1"/>
  <c r="N35" i="1"/>
  <c r="O35" i="1"/>
  <c r="P35" i="1"/>
  <c r="Q35" i="1"/>
  <c r="R35" i="1"/>
  <c r="S35" i="1"/>
  <c r="T35" i="1"/>
  <c r="U35" i="1"/>
  <c r="V35" i="1"/>
  <c r="W35" i="1"/>
  <c r="X35" i="1"/>
  <c r="Y35" i="1"/>
  <c r="Z35" i="1"/>
  <c r="AA35" i="1"/>
  <c r="AB35" i="1"/>
  <c r="AC35" i="1"/>
  <c r="AD35" i="1"/>
  <c r="AE35" i="1"/>
  <c r="AF35" i="1"/>
  <c r="AG35" i="1"/>
  <c r="AH35" i="1"/>
  <c r="AI35" i="1"/>
  <c r="AJ35" i="1"/>
  <c r="AK35" i="1"/>
  <c r="AL35" i="1"/>
  <c r="AM35" i="1"/>
  <c r="H36" i="1"/>
  <c r="I36" i="1"/>
  <c r="I38" i="1" s="1"/>
  <c r="J36" i="1"/>
  <c r="N37" i="1" s="1"/>
  <c r="K36" i="1"/>
  <c r="K38" i="1" s="1"/>
  <c r="L36" i="1"/>
  <c r="P37" i="1" s="1"/>
  <c r="M36" i="1"/>
  <c r="N36" i="1"/>
  <c r="O36" i="1"/>
  <c r="P36" i="1"/>
  <c r="Q36" i="1"/>
  <c r="Q37" i="1" s="1"/>
  <c r="R36" i="1"/>
  <c r="R37" i="1" s="1"/>
  <c r="S36" i="1"/>
  <c r="S38" i="1" s="1"/>
  <c r="T36" i="1"/>
  <c r="T38" i="1" s="1"/>
  <c r="U36" i="1"/>
  <c r="U37" i="1" s="1"/>
  <c r="V36" i="1"/>
  <c r="W36" i="1"/>
  <c r="W37" i="1" s="1"/>
  <c r="X36" i="1"/>
  <c r="X37" i="1" s="1"/>
  <c r="Y36" i="1"/>
  <c r="Y38" i="1" s="1"/>
  <c r="Z36" i="1"/>
  <c r="Z38" i="1" s="1"/>
  <c r="AA36" i="1"/>
  <c r="AA37" i="1" s="1"/>
  <c r="AB36" i="1"/>
  <c r="AC38" i="1" s="1"/>
  <c r="AC36" i="1"/>
  <c r="AD36" i="1"/>
  <c r="AE36" i="1"/>
  <c r="AF36" i="1"/>
  <c r="AG36" i="1"/>
  <c r="AG38" i="1" s="1"/>
  <c r="AH36" i="1"/>
  <c r="AH38" i="1" s="1"/>
  <c r="AI36" i="1"/>
  <c r="AI38" i="1" s="1"/>
  <c r="AJ36" i="1"/>
  <c r="AJ38" i="1" s="1"/>
  <c r="AK36" i="1"/>
  <c r="AK38" i="1" s="1"/>
  <c r="AL36" i="1"/>
  <c r="AL38" i="1" s="1"/>
  <c r="AM36" i="1"/>
  <c r="AM37" i="1" s="1"/>
  <c r="AO36" i="1"/>
  <c r="AS36" i="1"/>
  <c r="AT36" i="1"/>
  <c r="AT37" i="1" s="1"/>
  <c r="AW36" i="1"/>
  <c r="O37" i="1"/>
  <c r="AG37" i="1"/>
  <c r="N38" i="1"/>
  <c r="O38" i="1"/>
  <c r="Q38" i="1"/>
  <c r="R38" i="1"/>
  <c r="AD38" i="1"/>
  <c r="AE38" i="1"/>
  <c r="H556" i="1"/>
  <c r="H558" i="1"/>
  <c r="H40" i="1"/>
  <c r="I558" i="1"/>
  <c r="I40" i="1"/>
  <c r="J558" i="1"/>
  <c r="J40" i="1"/>
  <c r="K558" i="1"/>
  <c r="K40" i="1" s="1"/>
  <c r="L558" i="1"/>
  <c r="L40" i="1"/>
  <c r="M558" i="1"/>
  <c r="M40" i="1"/>
  <c r="N558" i="1"/>
  <c r="N40" i="1"/>
  <c r="O558" i="1"/>
  <c r="O40" i="1" s="1"/>
  <c r="P558" i="1"/>
  <c r="P40" i="1"/>
  <c r="Q558" i="1"/>
  <c r="Q40" i="1"/>
  <c r="R558" i="1"/>
  <c r="R40" i="1"/>
  <c r="S558" i="1"/>
  <c r="S40" i="1" s="1"/>
  <c r="T558" i="1"/>
  <c r="T40" i="1"/>
  <c r="U558" i="1"/>
  <c r="U40" i="1"/>
  <c r="V558" i="1"/>
  <c r="V40" i="1"/>
  <c r="W558" i="1"/>
  <c r="W40" i="1"/>
  <c r="X558" i="1"/>
  <c r="X40" i="1"/>
  <c r="Y558" i="1"/>
  <c r="Y40" i="1"/>
  <c r="Z558" i="1"/>
  <c r="Z40" i="1"/>
  <c r="AA558" i="1"/>
  <c r="AA40" i="1" s="1"/>
  <c r="AB558" i="1"/>
  <c r="AB40" i="1"/>
  <c r="AC558" i="1"/>
  <c r="AC40" i="1"/>
  <c r="AD558" i="1"/>
  <c r="AD40" i="1"/>
  <c r="AE558" i="1"/>
  <c r="AE40" i="1"/>
  <c r="AF558" i="1"/>
  <c r="AF40" i="1" s="1"/>
  <c r="AG558" i="1"/>
  <c r="AG40" i="1"/>
  <c r="AH374" i="1"/>
  <c r="AD192" i="1"/>
  <c r="AD162" i="1"/>
  <c r="AH37" i="1" l="1"/>
  <c r="AX34" i="1"/>
  <c r="AE37" i="1"/>
  <c r="Z37" i="1"/>
  <c r="AF37" i="1"/>
  <c r="AF38" i="1"/>
  <c r="P38" i="1"/>
  <c r="AD37" i="1"/>
  <c r="V37" i="1"/>
  <c r="AC37" i="1"/>
  <c r="AL37" i="1"/>
  <c r="AX37" i="1"/>
  <c r="J38" i="1"/>
  <c r="M37" i="1"/>
  <c r="AR34" i="1"/>
  <c r="AR36" i="1"/>
  <c r="AQ34" i="1"/>
  <c r="AQ36" i="1"/>
  <c r="AU36" i="1"/>
  <c r="AU37" i="1" s="1"/>
  <c r="AU34" i="1"/>
  <c r="AP34" i="1"/>
  <c r="AP36" i="1"/>
  <c r="AP37" i="1" s="1"/>
  <c r="AV36" i="1"/>
  <c r="AV34" i="1"/>
  <c r="AW34" i="1"/>
  <c r="M38" i="1"/>
  <c r="AK37" i="1"/>
  <c r="AB38" i="1"/>
  <c r="L38" i="1"/>
  <c r="AJ37" i="1"/>
  <c r="T37" i="1"/>
  <c r="AA38" i="1"/>
  <c r="AI37" i="1"/>
  <c r="S37" i="1"/>
  <c r="X38" i="1"/>
  <c r="AM38" i="1"/>
  <c r="V38" i="1"/>
  <c r="W38" i="1"/>
  <c r="U38" i="1"/>
  <c r="L37" i="1"/>
  <c r="AB37" i="1"/>
  <c r="Y37" i="1"/>
  <c r="O20" i="194"/>
  <c r="O15" i="194"/>
  <c r="O51" i="194"/>
  <c r="H36" i="278"/>
  <c r="AD218" i="1"/>
  <c r="AD177" i="1" s="1"/>
  <c r="AD141" i="1" s="1"/>
  <c r="AD374" i="1" s="1"/>
  <c r="Z192" i="1"/>
  <c r="Z216" i="1"/>
  <c r="Z162" i="1" s="1"/>
  <c r="AR37" i="1" l="1"/>
  <c r="O22" i="194"/>
  <c r="O53" i="194"/>
  <c r="H16" i="278"/>
  <c r="H24" i="278"/>
  <c r="AW37" i="1"/>
  <c r="AV37" i="1"/>
  <c r="AS37" i="1"/>
  <c r="AQ37" i="1"/>
  <c r="D36" i="278"/>
  <c r="Z218" i="1"/>
  <c r="Z177" i="1" s="1"/>
  <c r="Z141" i="1" s="1"/>
  <c r="Z374" i="1" s="1"/>
  <c r="V192" i="1"/>
  <c r="V216" i="1"/>
  <c r="V162" i="1"/>
  <c r="D24" i="278" l="1"/>
  <c r="D16" i="278"/>
  <c r="H30" i="278"/>
  <c r="V218" i="1"/>
  <c r="V177" i="1" s="1"/>
  <c r="V141" i="1" s="1"/>
  <c r="V374" i="1" s="1"/>
  <c r="R192" i="1"/>
  <c r="R162" i="1"/>
  <c r="D30" i="278" l="1"/>
  <c r="R218" i="1"/>
  <c r="R177" i="1" s="1"/>
  <c r="R141" i="1" s="1"/>
  <c r="R374" i="1" s="1"/>
  <c r="R404" i="1"/>
  <c r="R402" i="1"/>
  <c r="R400" i="1"/>
  <c r="R195" i="1"/>
  <c r="R144" i="1"/>
  <c r="R377" i="1"/>
  <c r="R399" i="1"/>
  <c r="R398" i="1"/>
  <c r="R193" i="1"/>
  <c r="R163" i="1"/>
  <c r="N193" i="1"/>
  <c r="N163" i="1"/>
  <c r="R178" i="1" l="1"/>
  <c r="R142" i="1" s="1"/>
  <c r="R375" i="1" s="1"/>
  <c r="N218" i="1"/>
  <c r="N178" i="1" s="1"/>
  <c r="N142" i="1" s="1"/>
  <c r="N375" i="1" s="1"/>
  <c r="J193" i="1"/>
  <c r="J163" i="1"/>
  <c r="J178" i="1"/>
  <c r="J142" i="1"/>
  <c r="J375" i="1"/>
  <c r="J397" i="1"/>
  <c r="AH375" i="1"/>
  <c r="AD193" i="1"/>
  <c r="AD163" i="1"/>
  <c r="AD178" i="1"/>
  <c r="AD142" i="1" s="1"/>
  <c r="AD375" i="1" s="1"/>
  <c r="Z193" i="1"/>
  <c r="Z163" i="1"/>
  <c r="Z178" i="1"/>
  <c r="Z142" i="1" s="1"/>
  <c r="Z375" i="1" s="1"/>
  <c r="V193" i="1"/>
  <c r="V163" i="1"/>
  <c r="V178" i="1"/>
  <c r="AH164" i="1"/>
  <c r="AH379" i="1"/>
  <c r="AH401" i="1"/>
  <c r="AH179" i="1"/>
  <c r="AH381" i="1" s="1"/>
  <c r="AH441" i="1" s="1"/>
  <c r="AH403" i="1" s="1"/>
  <c r="AI374" i="1"/>
  <c r="AE192" i="1"/>
  <c r="AE162" i="1"/>
  <c r="V142" i="1" l="1"/>
  <c r="V375" i="1" s="1"/>
  <c r="N397" i="1"/>
  <c r="R397" i="1"/>
  <c r="R396" i="1" s="1"/>
  <c r="V396" i="1" s="1"/>
  <c r="Z396" i="1" s="1"/>
  <c r="AD396" i="1" s="1"/>
  <c r="AH396" i="1" s="1"/>
  <c r="I36" i="278"/>
  <c r="AE218" i="1"/>
  <c r="AE177" i="1" s="1"/>
  <c r="AE141" i="1" s="1"/>
  <c r="AE374" i="1" s="1"/>
  <c r="AA192" i="1"/>
  <c r="AA216" i="1"/>
  <c r="AA162" i="1"/>
  <c r="V397" i="1" l="1"/>
  <c r="Z397" i="1" s="1"/>
  <c r="AD397" i="1" s="1"/>
  <c r="AH397" i="1" s="1"/>
  <c r="AH398" i="1" s="1"/>
  <c r="AH400" i="1" s="1"/>
  <c r="AH402" i="1" s="1"/>
  <c r="AH404" i="1" s="1"/>
  <c r="AH40" i="1" s="1"/>
  <c r="I16" i="278"/>
  <c r="I24" i="278"/>
  <c r="E36" i="278"/>
  <c r="AA218" i="1"/>
  <c r="AA177" i="1" s="1"/>
  <c r="AA141" i="1" s="1"/>
  <c r="AA374" i="1" s="1"/>
  <c r="W192" i="1"/>
  <c r="W216" i="1"/>
  <c r="W162" i="1"/>
  <c r="I30" i="278" l="1"/>
  <c r="E24" i="278"/>
  <c r="E16" i="278"/>
  <c r="M16" i="278" s="1"/>
  <c r="W218" i="1"/>
  <c r="W177" i="1" s="1"/>
  <c r="W141" i="1" s="1"/>
  <c r="W374" i="1" s="1"/>
  <c r="S192" i="1"/>
  <c r="S216" i="1"/>
  <c r="S162" i="1"/>
  <c r="E30" i="278" l="1"/>
  <c r="M30" i="278" s="1"/>
  <c r="S218" i="1"/>
  <c r="S177" i="1" s="1"/>
  <c r="S141" i="1" s="1"/>
  <c r="S374" i="1" s="1"/>
  <c r="O192" i="1"/>
  <c r="O162" i="1"/>
  <c r="O218" i="1"/>
  <c r="O177" i="1"/>
  <c r="O141" i="1"/>
  <c r="O374" i="1"/>
  <c r="O404" i="1"/>
  <c r="O402" i="1"/>
  <c r="O400" i="1"/>
  <c r="O398" i="1"/>
  <c r="O193" i="1"/>
  <c r="O163" i="1"/>
  <c r="O178" i="1"/>
  <c r="O142" i="1" s="1"/>
  <c r="O375" i="1" s="1"/>
  <c r="K193" i="1"/>
  <c r="K142" i="1" s="1"/>
  <c r="K375" i="1" s="1"/>
  <c r="K397" i="1" s="1"/>
  <c r="K163" i="1"/>
  <c r="K178" i="1"/>
  <c r="AI375" i="1"/>
  <c r="AE193" i="1"/>
  <c r="AE163" i="1"/>
  <c r="AE178" i="1"/>
  <c r="AE142" i="1" s="1"/>
  <c r="AE375" i="1" s="1"/>
  <c r="AA193" i="1"/>
  <c r="AA163" i="1"/>
  <c r="AA178" i="1"/>
  <c r="AA142" i="1" s="1"/>
  <c r="AA375" i="1" s="1"/>
  <c r="W193" i="1"/>
  <c r="W163" i="1"/>
  <c r="W178" i="1"/>
  <c r="W142" i="1"/>
  <c r="W375" i="1" s="1"/>
  <c r="S193" i="1"/>
  <c r="S163" i="1"/>
  <c r="S178" i="1"/>
  <c r="S142" i="1" s="1"/>
  <c r="S375" i="1" s="1"/>
  <c r="AI164" i="1"/>
  <c r="AI379" i="1"/>
  <c r="AI401" i="1"/>
  <c r="AI179" i="1"/>
  <c r="AI381" i="1" s="1"/>
  <c r="AI441" i="1" s="1"/>
  <c r="AI403" i="1" s="1"/>
  <c r="AJ374" i="1"/>
  <c r="AF192" i="1"/>
  <c r="AF162" i="1"/>
  <c r="AF177" i="1"/>
  <c r="AF141" i="1"/>
  <c r="AF374" i="1" s="1"/>
  <c r="AB192" i="1"/>
  <c r="AB216" i="1"/>
  <c r="AB162" i="1"/>
  <c r="O397" i="1" l="1"/>
  <c r="S397" i="1" s="1"/>
  <c r="W397" i="1" s="1"/>
  <c r="AA397" i="1" s="1"/>
  <c r="AE397" i="1" s="1"/>
  <c r="AI397" i="1" s="1"/>
  <c r="F36" i="278"/>
  <c r="AB218" i="1"/>
  <c r="AB177" i="1" s="1"/>
  <c r="AB141" i="1" s="1"/>
  <c r="AB374" i="1" s="1"/>
  <c r="X192" i="1"/>
  <c r="X216" i="1"/>
  <c r="X162" i="1" s="1"/>
  <c r="O396" i="1" l="1"/>
  <c r="S396" i="1" s="1"/>
  <c r="W396" i="1" s="1"/>
  <c r="AA396" i="1" s="1"/>
  <c r="AE396" i="1" s="1"/>
  <c r="AI396" i="1" s="1"/>
  <c r="AI398" i="1" s="1"/>
  <c r="AI400" i="1" s="1"/>
  <c r="AI402" i="1" s="1"/>
  <c r="AI404" i="1" s="1"/>
  <c r="AI40" i="1" s="1"/>
  <c r="F24" i="278"/>
  <c r="F16" i="278"/>
  <c r="X218" i="1"/>
  <c r="X177" i="1" s="1"/>
  <c r="X141" i="1" s="1"/>
  <c r="X374" i="1" s="1"/>
  <c r="T192" i="1"/>
  <c r="T216" i="1"/>
  <c r="T162" i="1"/>
  <c r="F30" i="278" l="1"/>
  <c r="T218" i="1"/>
  <c r="T177" i="1"/>
  <c r="T141" i="1" s="1"/>
  <c r="T374" i="1" s="1"/>
  <c r="P192" i="1"/>
  <c r="P162" i="1"/>
  <c r="P218" i="1"/>
  <c r="P177" i="1" s="1"/>
  <c r="P141" i="1" s="1"/>
  <c r="P374" i="1" s="1"/>
  <c r="P404" i="1"/>
  <c r="P402" i="1"/>
  <c r="P400" i="1"/>
  <c r="P398" i="1"/>
  <c r="P193" i="1"/>
  <c r="P163" i="1"/>
  <c r="P178" i="1"/>
  <c r="L193" i="1"/>
  <c r="L163" i="1"/>
  <c r="L218" i="1"/>
  <c r="L178" i="1" s="1"/>
  <c r="H193" i="1"/>
  <c r="H163" i="1"/>
  <c r="H178" i="1"/>
  <c r="H142" i="1" s="1"/>
  <c r="H375" i="1" s="1"/>
  <c r="AJ375" i="1"/>
  <c r="AF193" i="1"/>
  <c r="AF163" i="1"/>
  <c r="AF178" i="1"/>
  <c r="AF142" i="1"/>
  <c r="AF375" i="1" s="1"/>
  <c r="AB193" i="1"/>
  <c r="AB163" i="1"/>
  <c r="AB178" i="1"/>
  <c r="AB142" i="1" s="1"/>
  <c r="AB375" i="1" s="1"/>
  <c r="X193" i="1"/>
  <c r="X163" i="1"/>
  <c r="X178" i="1"/>
  <c r="T193" i="1"/>
  <c r="T163" i="1"/>
  <c r="T178" i="1"/>
  <c r="T142" i="1"/>
  <c r="T375" i="1"/>
  <c r="AJ164" i="1"/>
  <c r="AJ379" i="1" s="1"/>
  <c r="AJ401" i="1" s="1"/>
  <c r="AJ179" i="1"/>
  <c r="AJ381" i="1"/>
  <c r="AJ441" i="1"/>
  <c r="AJ403" i="1" s="1"/>
  <c r="AK374" i="1"/>
  <c r="AG374" i="1"/>
  <c r="AC192" i="1"/>
  <c r="AC216" i="1"/>
  <c r="AC162" i="1"/>
  <c r="L142" i="1" l="1"/>
  <c r="L375" i="1" s="1"/>
  <c r="P142" i="1"/>
  <c r="P375" i="1" s="1"/>
  <c r="X142" i="1"/>
  <c r="X375" i="1" s="1"/>
  <c r="H397" i="1"/>
  <c r="L397" i="1"/>
  <c r="P397" i="1" s="1"/>
  <c r="G36" i="278"/>
  <c r="AC218" i="1"/>
  <c r="AC177" i="1" s="1"/>
  <c r="AC141" i="1" s="1"/>
  <c r="AC374" i="1" s="1"/>
  <c r="Y192" i="1"/>
  <c r="Y216" i="1"/>
  <c r="Y162" i="1" s="1"/>
  <c r="T397" i="1" l="1"/>
  <c r="X397" i="1" s="1"/>
  <c r="AB397" i="1" s="1"/>
  <c r="AF397" i="1" s="1"/>
  <c r="AJ397" i="1" s="1"/>
  <c r="P396" i="1"/>
  <c r="T396" i="1" s="1"/>
  <c r="X396" i="1" s="1"/>
  <c r="AB396" i="1" s="1"/>
  <c r="AF396" i="1" s="1"/>
  <c r="AJ396" i="1" s="1"/>
  <c r="AJ398" i="1" s="1"/>
  <c r="AJ400" i="1" s="1"/>
  <c r="AJ402" i="1" s="1"/>
  <c r="AJ404" i="1" s="1"/>
  <c r="AJ40" i="1" s="1"/>
  <c r="G24" i="278"/>
  <c r="G16" i="278"/>
  <c r="Y218" i="1"/>
  <c r="Y178" i="1" s="1"/>
  <c r="Y177" i="1"/>
  <c r="Y141" i="1" s="1"/>
  <c r="Y374" i="1" s="1"/>
  <c r="U192" i="1"/>
  <c r="U216" i="1"/>
  <c r="U163" i="1" s="1"/>
  <c r="U162" i="1"/>
  <c r="U218" i="1"/>
  <c r="U178" i="1" s="1"/>
  <c r="U177" i="1"/>
  <c r="U141" i="1" s="1"/>
  <c r="Q192" i="1"/>
  <c r="Q162" i="1"/>
  <c r="Q218" i="1"/>
  <c r="Q178" i="1" s="1"/>
  <c r="Q177" i="1"/>
  <c r="Q141" i="1" s="1"/>
  <c r="Q404" i="1"/>
  <c r="Q402" i="1" s="1"/>
  <c r="Q400" i="1" s="1"/>
  <c r="Q398" i="1" s="1"/>
  <c r="Q193" i="1"/>
  <c r="Q163" i="1"/>
  <c r="M193" i="1"/>
  <c r="M163" i="1"/>
  <c r="M218" i="1"/>
  <c r="M178" i="1" s="1"/>
  <c r="I193" i="1"/>
  <c r="I163" i="1"/>
  <c r="I178" i="1"/>
  <c r="I142" i="1" s="1"/>
  <c r="I375" i="1" s="1"/>
  <c r="I397" i="1" s="1"/>
  <c r="AK375" i="1"/>
  <c r="AG375" i="1"/>
  <c r="AC193" i="1"/>
  <c r="AC163" i="1"/>
  <c r="AC178" i="1"/>
  <c r="AC142" i="1" s="1"/>
  <c r="AC375" i="1" s="1"/>
  <c r="Y193" i="1"/>
  <c r="Y163" i="1"/>
  <c r="U193" i="1"/>
  <c r="AK164" i="1"/>
  <c r="AK379" i="1"/>
  <c r="AK401" i="1"/>
  <c r="AK179" i="1"/>
  <c r="AK381" i="1" s="1"/>
  <c r="AK441" i="1" s="1"/>
  <c r="AK403" i="1" s="1"/>
  <c r="AL374" i="1"/>
  <c r="AL396" i="1" s="1"/>
  <c r="AL375" i="1"/>
  <c r="AL397" i="1" s="1"/>
  <c r="AL164" i="1"/>
  <c r="AL379" i="1"/>
  <c r="AL401" i="1"/>
  <c r="AL179" i="1"/>
  <c r="AL381" i="1" s="1"/>
  <c r="AL441" i="1" s="1"/>
  <c r="AL403" i="1" s="1"/>
  <c r="AM374" i="1"/>
  <c r="AM396" i="1" s="1"/>
  <c r="AM375" i="1"/>
  <c r="AM397" i="1" s="1"/>
  <c r="AM164" i="1"/>
  <c r="AM379" i="1"/>
  <c r="AM401" i="1"/>
  <c r="AM179" i="1"/>
  <c r="AM381" i="1" s="1"/>
  <c r="AM441" i="1" s="1"/>
  <c r="AM403" i="1" s="1"/>
  <c r="AO556" i="1"/>
  <c r="AO558" i="1"/>
  <c r="AO40" i="1"/>
  <c r="AO42" i="1" s="1"/>
  <c r="AP556" i="1"/>
  <c r="AP558" i="1"/>
  <c r="AP40" i="1"/>
  <c r="AP42" i="1" s="1"/>
  <c r="AQ556" i="1"/>
  <c r="AQ558" i="1"/>
  <c r="AQ40" i="1"/>
  <c r="AQ42" i="1" s="1"/>
  <c r="AR556" i="1"/>
  <c r="AR558" i="1"/>
  <c r="AR40" i="1" s="1"/>
  <c r="AS556" i="1"/>
  <c r="AS558" i="1"/>
  <c r="AS40" i="1"/>
  <c r="AT556" i="1"/>
  <c r="AT558" i="1"/>
  <c r="AT40" i="1"/>
  <c r="AU556" i="1"/>
  <c r="AU558" i="1" s="1"/>
  <c r="AV558" i="1"/>
  <c r="AV595" i="1"/>
  <c r="AV40" i="1"/>
  <c r="AW40" i="1"/>
  <c r="AW41" i="1" s="1"/>
  <c r="L41" i="1"/>
  <c r="M41" i="1"/>
  <c r="N41" i="1"/>
  <c r="O41" i="1"/>
  <c r="P41" i="1"/>
  <c r="Q41" i="1"/>
  <c r="R41" i="1"/>
  <c r="S41" i="1"/>
  <c r="T41" i="1"/>
  <c r="U41" i="1"/>
  <c r="V41" i="1"/>
  <c r="W41" i="1"/>
  <c r="X41" i="1"/>
  <c r="Y41" i="1"/>
  <c r="Z41" i="1"/>
  <c r="AA41" i="1"/>
  <c r="AB41" i="1"/>
  <c r="AC41" i="1"/>
  <c r="AD41" i="1"/>
  <c r="AE41" i="1"/>
  <c r="AF41" i="1"/>
  <c r="AG41" i="1"/>
  <c r="AH41" i="1"/>
  <c r="AI41" i="1"/>
  <c r="AJ41" i="1"/>
  <c r="AT41" i="1"/>
  <c r="H42" i="1"/>
  <c r="I42" i="1"/>
  <c r="J42" i="1"/>
  <c r="K42" i="1"/>
  <c r="L42" i="1"/>
  <c r="M42" i="1"/>
  <c r="N42" i="1"/>
  <c r="O42" i="1"/>
  <c r="P42" i="1"/>
  <c r="Q42" i="1"/>
  <c r="R42" i="1"/>
  <c r="S42" i="1"/>
  <c r="T42" i="1"/>
  <c r="U42" i="1"/>
  <c r="V42" i="1"/>
  <c r="W42" i="1"/>
  <c r="X42" i="1"/>
  <c r="Y42" i="1"/>
  <c r="Z42" i="1"/>
  <c r="AA42" i="1"/>
  <c r="AB42" i="1"/>
  <c r="AC42" i="1"/>
  <c r="AD42" i="1"/>
  <c r="AE42" i="1"/>
  <c r="AF42" i="1"/>
  <c r="AG42" i="1"/>
  <c r="AH42" i="1"/>
  <c r="AI42" i="1"/>
  <c r="AJ42" i="1"/>
  <c r="AS42" i="1"/>
  <c r="AT42" i="1"/>
  <c r="H44" i="1"/>
  <c r="I44" i="1"/>
  <c r="J44" i="1"/>
  <c r="J47" i="1" s="1"/>
  <c r="K44" i="1"/>
  <c r="L44" i="1"/>
  <c r="L47" i="1" s="1"/>
  <c r="M44" i="1"/>
  <c r="M47" i="1" s="1"/>
  <c r="M59" i="1" s="1"/>
  <c r="N44" i="1"/>
  <c r="N47" i="1" s="1"/>
  <c r="N53" i="1" s="1"/>
  <c r="O44" i="1"/>
  <c r="P44" i="1"/>
  <c r="Q44" i="1"/>
  <c r="R44" i="1"/>
  <c r="S44" i="1"/>
  <c r="T44" i="1"/>
  <c r="T56" i="1" s="1"/>
  <c r="U44" i="1"/>
  <c r="U56" i="1" s="1"/>
  <c r="V44" i="1"/>
  <c r="V56" i="1" s="1"/>
  <c r="W44" i="1"/>
  <c r="W56" i="1" s="1"/>
  <c r="X44" i="1"/>
  <c r="Y44" i="1"/>
  <c r="Z44" i="1"/>
  <c r="Z50" i="1" s="1"/>
  <c r="AA44" i="1"/>
  <c r="AA50" i="1" s="1"/>
  <c r="AB44" i="1"/>
  <c r="AB56" i="1" s="1"/>
  <c r="AC44" i="1"/>
  <c r="AC56" i="1" s="1"/>
  <c r="AD44" i="1"/>
  <c r="AD442" i="1" s="1"/>
  <c r="AE44" i="1"/>
  <c r="AF44" i="1"/>
  <c r="AG44" i="1"/>
  <c r="AE442" i="1"/>
  <c r="AO44" i="1"/>
  <c r="AO56" i="1" s="1"/>
  <c r="AP44" i="1"/>
  <c r="AP56" i="1" s="1"/>
  <c r="AQ44" i="1"/>
  <c r="AR44" i="1"/>
  <c r="AR50" i="1" s="1"/>
  <c r="AS44" i="1"/>
  <c r="AT44" i="1"/>
  <c r="AT50" i="1" s="1"/>
  <c r="AU44" i="1"/>
  <c r="AU50" i="1" s="1"/>
  <c r="AV560" i="1"/>
  <c r="AV44" i="1" s="1"/>
  <c r="AV50" i="1" s="1"/>
  <c r="AV596" i="1"/>
  <c r="H45" i="1"/>
  <c r="I45" i="1"/>
  <c r="J45" i="1"/>
  <c r="K45" i="1"/>
  <c r="K57" i="1" s="1"/>
  <c r="L45" i="1"/>
  <c r="L57" i="1" s="1"/>
  <c r="M45" i="1"/>
  <c r="M57" i="1" s="1"/>
  <c r="N45" i="1"/>
  <c r="N57" i="1" s="1"/>
  <c r="O45" i="1"/>
  <c r="O57" i="1" s="1"/>
  <c r="P45" i="1"/>
  <c r="P57" i="1" s="1"/>
  <c r="Q45" i="1"/>
  <c r="Q51" i="1" s="1"/>
  <c r="R45" i="1"/>
  <c r="R57" i="1" s="1"/>
  <c r="S45" i="1"/>
  <c r="W51" i="1" s="1"/>
  <c r="T45" i="1"/>
  <c r="X51" i="1" s="1"/>
  <c r="U45" i="1"/>
  <c r="Y51" i="1" s="1"/>
  <c r="V45" i="1"/>
  <c r="V51" i="1" s="1"/>
  <c r="W45" i="1"/>
  <c r="X45" i="1"/>
  <c r="Y45" i="1"/>
  <c r="Z45" i="1"/>
  <c r="Z51" i="1" s="1"/>
  <c r="AA45" i="1"/>
  <c r="AA57" i="1" s="1"/>
  <c r="AB45" i="1"/>
  <c r="AB57" i="1" s="1"/>
  <c r="AC45" i="1"/>
  <c r="AC57" i="1" s="1"/>
  <c r="AD45" i="1"/>
  <c r="AD57" i="1" s="1"/>
  <c r="AE45" i="1"/>
  <c r="AE51" i="1" s="1"/>
  <c r="AF45" i="1"/>
  <c r="AG45" i="1"/>
  <c r="AG51" i="1" s="1"/>
  <c r="AH462" i="1"/>
  <c r="AH45" i="1"/>
  <c r="AH57" i="1" s="1"/>
  <c r="AI462" i="1"/>
  <c r="AI45" i="1"/>
  <c r="AI57" i="1" s="1"/>
  <c r="AJ462" i="1"/>
  <c r="AJ45" i="1" s="1"/>
  <c r="AK462" i="1"/>
  <c r="AK45" i="1"/>
  <c r="AL462" i="1"/>
  <c r="AL45" i="1"/>
  <c r="AM462" i="1"/>
  <c r="AM45" i="1"/>
  <c r="AO45" i="1"/>
  <c r="AO47" i="1" s="1"/>
  <c r="AP45" i="1"/>
  <c r="AQ45" i="1"/>
  <c r="AQ57" i="1" s="1"/>
  <c r="AR45" i="1"/>
  <c r="AR57" i="1" s="1"/>
  <c r="AS45" i="1"/>
  <c r="AS57" i="1" s="1"/>
  <c r="AT45" i="1"/>
  <c r="AT57" i="1" s="1"/>
  <c r="AU45" i="1"/>
  <c r="AU57" i="1" s="1"/>
  <c r="AV562" i="1"/>
  <c r="AV598" i="1"/>
  <c r="H46" i="1"/>
  <c r="I46" i="1"/>
  <c r="J46" i="1"/>
  <c r="K46" i="1"/>
  <c r="L46" i="1"/>
  <c r="M46" i="1"/>
  <c r="N46" i="1"/>
  <c r="O46" i="1"/>
  <c r="P46" i="1"/>
  <c r="P58" i="1" s="1"/>
  <c r="Q46" i="1"/>
  <c r="Q58" i="1" s="1"/>
  <c r="R46" i="1"/>
  <c r="R52" i="1" s="1"/>
  <c r="S46" i="1"/>
  <c r="S52" i="1" s="1"/>
  <c r="T46" i="1"/>
  <c r="U46" i="1"/>
  <c r="Y52" i="1" s="1"/>
  <c r="V46" i="1"/>
  <c r="Z52" i="1" s="1"/>
  <c r="W46" i="1"/>
  <c r="X46" i="1"/>
  <c r="Y46" i="1"/>
  <c r="Z46" i="1"/>
  <c r="AA46" i="1"/>
  <c r="AB46" i="1"/>
  <c r="AB52" i="1" s="1"/>
  <c r="AC46" i="1"/>
  <c r="AC52" i="1" s="1"/>
  <c r="AD46" i="1"/>
  <c r="AD52" i="1" s="1"/>
  <c r="AE46" i="1"/>
  <c r="AF46" i="1"/>
  <c r="AF58" i="1" s="1"/>
  <c r="AG46" i="1"/>
  <c r="AG58" i="1" s="1"/>
  <c r="AH469" i="1"/>
  <c r="AH46" i="1" s="1"/>
  <c r="AH52" i="1" s="1"/>
  <c r="AI469" i="1"/>
  <c r="AI46" i="1"/>
  <c r="AI58" i="1" s="1"/>
  <c r="AJ469" i="1"/>
  <c r="AJ46" i="1"/>
  <c r="AJ58" i="1" s="1"/>
  <c r="AK469" i="1"/>
  <c r="AK46" i="1"/>
  <c r="AL469" i="1"/>
  <c r="AL46" i="1"/>
  <c r="AM469" i="1"/>
  <c r="AM46" i="1"/>
  <c r="AO46" i="1"/>
  <c r="AP46" i="1"/>
  <c r="AP52" i="1" s="1"/>
  <c r="AQ46" i="1"/>
  <c r="AR46" i="1"/>
  <c r="AR52" i="1" s="1"/>
  <c r="AS46" i="1"/>
  <c r="AS52" i="1" s="1"/>
  <c r="AT46" i="1"/>
  <c r="AU46" i="1"/>
  <c r="AV561" i="1"/>
  <c r="AV597" i="1"/>
  <c r="AV46" i="1"/>
  <c r="AV58" i="1" s="1"/>
  <c r="AE47" i="1"/>
  <c r="AF47" i="1"/>
  <c r="AG47" i="1"/>
  <c r="N50" i="1"/>
  <c r="R50" i="1"/>
  <c r="AQ50" i="1"/>
  <c r="AS50" i="1"/>
  <c r="L51" i="1"/>
  <c r="N51" i="1"/>
  <c r="O51" i="1"/>
  <c r="P51" i="1"/>
  <c r="R51" i="1"/>
  <c r="S51" i="1"/>
  <c r="L52" i="1"/>
  <c r="M52" i="1"/>
  <c r="N52" i="1"/>
  <c r="O52" i="1"/>
  <c r="P52" i="1"/>
  <c r="Q52" i="1"/>
  <c r="X52" i="1"/>
  <c r="AG52" i="1"/>
  <c r="AQ52" i="1"/>
  <c r="J56" i="1"/>
  <c r="K56" i="1"/>
  <c r="L56" i="1"/>
  <c r="M56" i="1"/>
  <c r="N56" i="1"/>
  <c r="O56" i="1"/>
  <c r="P56" i="1"/>
  <c r="Q56" i="1"/>
  <c r="R56" i="1"/>
  <c r="S56" i="1"/>
  <c r="AE56" i="1"/>
  <c r="AF56" i="1"/>
  <c r="AG56" i="1"/>
  <c r="AQ56" i="1"/>
  <c r="AR56" i="1"/>
  <c r="AS56" i="1"/>
  <c r="H57" i="1"/>
  <c r="I57" i="1"/>
  <c r="J57" i="1"/>
  <c r="W57" i="1"/>
  <c r="X57" i="1"/>
  <c r="Y57" i="1"/>
  <c r="Z57" i="1"/>
  <c r="AE57" i="1"/>
  <c r="AF57" i="1"/>
  <c r="AG57" i="1"/>
  <c r="AK57" i="1"/>
  <c r="AL57" i="1"/>
  <c r="H58" i="1"/>
  <c r="I58" i="1"/>
  <c r="J58" i="1"/>
  <c r="K58" i="1"/>
  <c r="L58" i="1"/>
  <c r="M58" i="1"/>
  <c r="N58" i="1"/>
  <c r="O58" i="1"/>
  <c r="T58" i="1"/>
  <c r="U58" i="1"/>
  <c r="W58" i="1"/>
  <c r="X58" i="1"/>
  <c r="Y58" i="1"/>
  <c r="Z58" i="1"/>
  <c r="AA58" i="1"/>
  <c r="AB58" i="1"/>
  <c r="AC58" i="1"/>
  <c r="AK58" i="1"/>
  <c r="AM58" i="1"/>
  <c r="AO58" i="1"/>
  <c r="AQ58" i="1"/>
  <c r="AR58" i="1"/>
  <c r="AS58" i="1"/>
  <c r="AU58" i="1"/>
  <c r="L240" i="1"/>
  <c r="L241" i="1" s="1"/>
  <c r="M240" i="1"/>
  <c r="M241" i="1" s="1"/>
  <c r="N240" i="1"/>
  <c r="N241" i="1" s="1"/>
  <c r="O240" i="1"/>
  <c r="O241" i="1" s="1"/>
  <c r="P240" i="1"/>
  <c r="P241" i="1" s="1"/>
  <c r="Q240" i="1"/>
  <c r="Q241" i="1" s="1"/>
  <c r="R240" i="1"/>
  <c r="R241" i="1" s="1"/>
  <c r="S240" i="1"/>
  <c r="S241" i="1" s="1"/>
  <c r="T240" i="1"/>
  <c r="T241" i="1" s="1"/>
  <c r="U240" i="1"/>
  <c r="U241" i="1"/>
  <c r="V240" i="1"/>
  <c r="V241" i="1"/>
  <c r="W240" i="1"/>
  <c r="W241" i="1" s="1"/>
  <c r="X240" i="1"/>
  <c r="X241" i="1" s="1"/>
  <c r="Y240" i="1"/>
  <c r="Y241" i="1" s="1"/>
  <c r="Z240" i="1"/>
  <c r="Z241" i="1" s="1"/>
  <c r="AA240" i="1"/>
  <c r="AA241" i="1" s="1"/>
  <c r="AB240" i="1"/>
  <c r="AB241" i="1"/>
  <c r="AC240" i="1"/>
  <c r="AC241" i="1" s="1"/>
  <c r="AD240" i="1"/>
  <c r="AD241" i="1" s="1"/>
  <c r="AE240" i="1"/>
  <c r="AE241" i="1"/>
  <c r="AF242" i="1"/>
  <c r="J35" i="278" s="1"/>
  <c r="J22" i="278" s="1"/>
  <c r="J23" i="278" s="1"/>
  <c r="AG242" i="1"/>
  <c r="K35" i="278" s="1"/>
  <c r="K22" i="278" s="1"/>
  <c r="K23" i="278" s="1"/>
  <c r="AG240" i="1"/>
  <c r="AG241" i="1" s="1"/>
  <c r="AH240" i="1"/>
  <c r="AH241" i="1" s="1"/>
  <c r="AI240" i="1"/>
  <c r="AI241" i="1" s="1"/>
  <c r="AJ240" i="1"/>
  <c r="AJ241" i="1" s="1"/>
  <c r="AK240" i="1"/>
  <c r="AK241" i="1" s="1"/>
  <c r="AL240" i="1"/>
  <c r="AL241" i="1" s="1"/>
  <c r="AM240" i="1"/>
  <c r="AM241" i="1" s="1"/>
  <c r="AO240" i="1"/>
  <c r="AO241" i="1"/>
  <c r="D240" i="1"/>
  <c r="D241" i="1" s="1"/>
  <c r="E240" i="1"/>
  <c r="E241" i="1" s="1"/>
  <c r="F240" i="1"/>
  <c r="F241" i="1" s="1"/>
  <c r="G240" i="1"/>
  <c r="G241" i="1" s="1"/>
  <c r="H240" i="1"/>
  <c r="H241" i="1"/>
  <c r="I240" i="1"/>
  <c r="I241" i="1"/>
  <c r="J240" i="1"/>
  <c r="J241" i="1" s="1"/>
  <c r="K240" i="1"/>
  <c r="K241" i="1"/>
  <c r="H599" i="1"/>
  <c r="H66" i="1"/>
  <c r="I599" i="1"/>
  <c r="I66" i="1"/>
  <c r="J599" i="1"/>
  <c r="J66" i="1" s="1"/>
  <c r="J102" i="1" s="1"/>
  <c r="K599" i="1"/>
  <c r="K66" i="1" s="1"/>
  <c r="K102" i="1" s="1"/>
  <c r="L599" i="1"/>
  <c r="L66" i="1"/>
  <c r="M599" i="1"/>
  <c r="M66" i="1"/>
  <c r="N599" i="1"/>
  <c r="N66" i="1" s="1"/>
  <c r="N102" i="1" s="1"/>
  <c r="O599" i="1"/>
  <c r="O609" i="1" s="1"/>
  <c r="O66" i="1"/>
  <c r="P599" i="1"/>
  <c r="P609" i="1" s="1"/>
  <c r="P66" i="1"/>
  <c r="Q599" i="1"/>
  <c r="Q609" i="1" s="1"/>
  <c r="Q66" i="1"/>
  <c r="Q102" i="1" s="1"/>
  <c r="R599" i="1"/>
  <c r="R66" i="1" s="1"/>
  <c r="R102" i="1" s="1"/>
  <c r="S599" i="1"/>
  <c r="S66" i="1" s="1"/>
  <c r="S102" i="1" s="1"/>
  <c r="T599" i="1"/>
  <c r="T66" i="1"/>
  <c r="U599" i="1"/>
  <c r="U66" i="1"/>
  <c r="V599" i="1"/>
  <c r="V66" i="1" s="1"/>
  <c r="V102" i="1" s="1"/>
  <c r="W599" i="1"/>
  <c r="W66" i="1"/>
  <c r="X599" i="1"/>
  <c r="X609" i="1" s="1"/>
  <c r="X66" i="1"/>
  <c r="Y599" i="1"/>
  <c r="Y609" i="1" s="1"/>
  <c r="Y66" i="1"/>
  <c r="Z599" i="1"/>
  <c r="Z66" i="1" s="1"/>
  <c r="Z102" i="1" s="1"/>
  <c r="AA599" i="1"/>
  <c r="AA66" i="1" s="1"/>
  <c r="AA102" i="1" s="1"/>
  <c r="AB599" i="1"/>
  <c r="AB66" i="1"/>
  <c r="AC599" i="1"/>
  <c r="AC66" i="1"/>
  <c r="AD599" i="1"/>
  <c r="AD609" i="1" s="1"/>
  <c r="AE599" i="1"/>
  <c r="AE609" i="1" s="1"/>
  <c r="AE66" i="1"/>
  <c r="AF599" i="1"/>
  <c r="AF66" i="1"/>
  <c r="AG599" i="1"/>
  <c r="AG66" i="1"/>
  <c r="AG102" i="1" s="1"/>
  <c r="AO599" i="1"/>
  <c r="AO66" i="1" s="1"/>
  <c r="AO102" i="1" s="1"/>
  <c r="AP599" i="1"/>
  <c r="AP66" i="1"/>
  <c r="AQ599" i="1"/>
  <c r="AQ66" i="1"/>
  <c r="AR599" i="1"/>
  <c r="AR66" i="1" s="1"/>
  <c r="AR102" i="1" s="1"/>
  <c r="AS599" i="1"/>
  <c r="AS66" i="1"/>
  <c r="AT599" i="1"/>
  <c r="AT66" i="1"/>
  <c r="AU599" i="1"/>
  <c r="AU66" i="1"/>
  <c r="AU102" i="1" s="1"/>
  <c r="AX66" i="1"/>
  <c r="H71" i="1"/>
  <c r="I71" i="1"/>
  <c r="J71" i="1"/>
  <c r="K71" i="1"/>
  <c r="L71" i="1"/>
  <c r="M71" i="1"/>
  <c r="N71" i="1"/>
  <c r="O71" i="1"/>
  <c r="P71" i="1"/>
  <c r="Q71" i="1"/>
  <c r="R71" i="1"/>
  <c r="S71" i="1"/>
  <c r="T71" i="1"/>
  <c r="U71" i="1"/>
  <c r="V71" i="1"/>
  <c r="W71" i="1"/>
  <c r="X71" i="1"/>
  <c r="Y71" i="1"/>
  <c r="Z71" i="1"/>
  <c r="AA71" i="1"/>
  <c r="AB71" i="1"/>
  <c r="AC71" i="1"/>
  <c r="AD71" i="1"/>
  <c r="AE71" i="1"/>
  <c r="AF71" i="1"/>
  <c r="AG71" i="1"/>
  <c r="AO71" i="1"/>
  <c r="AP71" i="1"/>
  <c r="AQ71" i="1"/>
  <c r="AQ96" i="1" s="1"/>
  <c r="AR71" i="1"/>
  <c r="AR96" i="1" s="1"/>
  <c r="AS71" i="1"/>
  <c r="AS96" i="1" s="1"/>
  <c r="AT71" i="1"/>
  <c r="AT96" i="1" s="1"/>
  <c r="AU71" i="1"/>
  <c r="AV567" i="1"/>
  <c r="AV568" i="1"/>
  <c r="AV611" i="1"/>
  <c r="AV71" i="1"/>
  <c r="AX71" i="1"/>
  <c r="H72" i="1"/>
  <c r="I72" i="1"/>
  <c r="J72" i="1"/>
  <c r="K72" i="1"/>
  <c r="L72" i="1"/>
  <c r="M72" i="1"/>
  <c r="N72" i="1"/>
  <c r="O72" i="1"/>
  <c r="P72" i="1"/>
  <c r="Q72" i="1"/>
  <c r="R72" i="1"/>
  <c r="S72" i="1"/>
  <c r="T72" i="1"/>
  <c r="U72" i="1"/>
  <c r="V72" i="1"/>
  <c r="W72" i="1"/>
  <c r="X72" i="1"/>
  <c r="Y72" i="1"/>
  <c r="Z72" i="1"/>
  <c r="AA72" i="1"/>
  <c r="AB72" i="1"/>
  <c r="AC72" i="1"/>
  <c r="AD72" i="1"/>
  <c r="AE72" i="1"/>
  <c r="AF72" i="1"/>
  <c r="AW72" i="1" s="1"/>
  <c r="AG72" i="1"/>
  <c r="AO72" i="1"/>
  <c r="AP72" i="1"/>
  <c r="AQ72" i="1"/>
  <c r="AR72" i="1"/>
  <c r="AS72" i="1"/>
  <c r="AT72" i="1"/>
  <c r="AU72" i="1"/>
  <c r="AV569" i="1"/>
  <c r="AV570" i="1"/>
  <c r="AV571" i="1"/>
  <c r="AV610" i="1"/>
  <c r="AV563" i="1"/>
  <c r="AV72" i="1"/>
  <c r="AX72" i="1"/>
  <c r="H74" i="1"/>
  <c r="I74" i="1"/>
  <c r="J74" i="1"/>
  <c r="K74" i="1"/>
  <c r="L74" i="1"/>
  <c r="M74" i="1"/>
  <c r="N74" i="1"/>
  <c r="O74" i="1"/>
  <c r="P74" i="1"/>
  <c r="Q74" i="1"/>
  <c r="R74" i="1"/>
  <c r="S74" i="1"/>
  <c r="T74" i="1"/>
  <c r="D23" i="56" s="1"/>
  <c r="U74" i="1"/>
  <c r="E23" i="56" s="1"/>
  <c r="V74" i="1"/>
  <c r="F23" i="56" s="1"/>
  <c r="F24" i="56" s="1"/>
  <c r="W74" i="1"/>
  <c r="G23" i="56" s="1"/>
  <c r="G24" i="56" s="1"/>
  <c r="X74" i="1"/>
  <c r="H23" i="56" s="1"/>
  <c r="Y74" i="1"/>
  <c r="I23" i="56" s="1"/>
  <c r="Z74" i="1"/>
  <c r="J23" i="56" s="1"/>
  <c r="J24" i="56" s="1"/>
  <c r="AA74" i="1"/>
  <c r="K23" i="56" s="1"/>
  <c r="AB74" i="1"/>
  <c r="L23" i="56" s="1"/>
  <c r="L24" i="56" s="1"/>
  <c r="AC74" i="1"/>
  <c r="M23" i="56" s="1"/>
  <c r="AD74" i="1"/>
  <c r="N23" i="56" s="1"/>
  <c r="AE74" i="1"/>
  <c r="O23" i="56" s="1"/>
  <c r="O24" i="56" s="1"/>
  <c r="AF74" i="1"/>
  <c r="P23" i="56" s="1"/>
  <c r="P24" i="56" s="1"/>
  <c r="AG74" i="1"/>
  <c r="Q23" i="56" s="1"/>
  <c r="AO74" i="1"/>
  <c r="AP74" i="1"/>
  <c r="AQ74" i="1"/>
  <c r="AR74" i="1"/>
  <c r="AS74" i="1"/>
  <c r="AT74" i="1"/>
  <c r="AU74" i="1"/>
  <c r="AV573" i="1"/>
  <c r="AV74" i="1" s="1"/>
  <c r="AV98" i="1" s="1"/>
  <c r="H75" i="1"/>
  <c r="I75" i="1"/>
  <c r="J75" i="1"/>
  <c r="K75" i="1"/>
  <c r="L75" i="1"/>
  <c r="M75" i="1"/>
  <c r="N75" i="1"/>
  <c r="O75" i="1"/>
  <c r="P75" i="1"/>
  <c r="Q75" i="1"/>
  <c r="R75" i="1"/>
  <c r="S75" i="1"/>
  <c r="T75" i="1"/>
  <c r="U75" i="1"/>
  <c r="V75" i="1"/>
  <c r="W75" i="1"/>
  <c r="X75" i="1"/>
  <c r="Y75" i="1"/>
  <c r="Z75" i="1"/>
  <c r="AA75" i="1"/>
  <c r="AB75" i="1"/>
  <c r="AC75" i="1"/>
  <c r="AD75" i="1"/>
  <c r="AE75" i="1"/>
  <c r="AF75" i="1"/>
  <c r="AG75" i="1"/>
  <c r="AO75" i="1"/>
  <c r="AO99" i="1" s="1"/>
  <c r="AP75" i="1"/>
  <c r="AP99" i="1" s="1"/>
  <c r="AQ75" i="1"/>
  <c r="AQ99" i="1" s="1"/>
  <c r="AR75" i="1"/>
  <c r="AR99" i="1" s="1"/>
  <c r="AS75" i="1"/>
  <c r="AT75" i="1"/>
  <c r="AU75" i="1"/>
  <c r="AV574" i="1"/>
  <c r="AV75" i="1" s="1"/>
  <c r="AX75" i="1"/>
  <c r="H77" i="1"/>
  <c r="I77" i="1"/>
  <c r="J77" i="1"/>
  <c r="K77" i="1"/>
  <c r="L77" i="1"/>
  <c r="M77" i="1"/>
  <c r="N77" i="1"/>
  <c r="O77" i="1"/>
  <c r="P77" i="1"/>
  <c r="Q77" i="1"/>
  <c r="R77" i="1"/>
  <c r="S77" i="1"/>
  <c r="T77" i="1"/>
  <c r="U77" i="1"/>
  <c r="V77" i="1"/>
  <c r="W77" i="1"/>
  <c r="X77" i="1"/>
  <c r="Y77" i="1"/>
  <c r="Z77" i="1"/>
  <c r="AA77" i="1"/>
  <c r="AB77" i="1"/>
  <c r="AC77" i="1"/>
  <c r="AD77" i="1"/>
  <c r="AE77" i="1"/>
  <c r="AF77" i="1"/>
  <c r="AG77" i="1"/>
  <c r="AH77" i="1" s="1"/>
  <c r="AO77" i="1"/>
  <c r="AP77" i="1"/>
  <c r="AQ77" i="1"/>
  <c r="AR77" i="1"/>
  <c r="AS77" i="1"/>
  <c r="AT77" i="1"/>
  <c r="AU77" i="1"/>
  <c r="AV77" i="1"/>
  <c r="H564" i="1"/>
  <c r="H566" i="1" s="1"/>
  <c r="H572" i="1" s="1"/>
  <c r="H575" i="1" s="1"/>
  <c r="H578" i="1" s="1"/>
  <c r="H608" i="1" s="1"/>
  <c r="H612" i="1" s="1"/>
  <c r="H609" i="1"/>
  <c r="I564" i="1"/>
  <c r="I566" i="1" s="1"/>
  <c r="I572" i="1" s="1"/>
  <c r="I575" i="1" s="1"/>
  <c r="I578" i="1" s="1"/>
  <c r="I608" i="1" s="1"/>
  <c r="I609" i="1"/>
  <c r="J564" i="1"/>
  <c r="J566" i="1" s="1"/>
  <c r="J572" i="1" s="1"/>
  <c r="J575" i="1" s="1"/>
  <c r="J578" i="1" s="1"/>
  <c r="J608" i="1" s="1"/>
  <c r="J609" i="1"/>
  <c r="K564" i="1"/>
  <c r="K566" i="1"/>
  <c r="K572" i="1"/>
  <c r="K575" i="1" s="1"/>
  <c r="K578" i="1" s="1"/>
  <c r="K608" i="1" s="1"/>
  <c r="K612" i="1" s="1"/>
  <c r="K609" i="1"/>
  <c r="L564" i="1"/>
  <c r="L566" i="1" s="1"/>
  <c r="L572" i="1" s="1"/>
  <c r="L575" i="1" s="1"/>
  <c r="L578" i="1" s="1"/>
  <c r="L608" i="1" s="1"/>
  <c r="L612" i="1" s="1"/>
  <c r="L80" i="1" s="1"/>
  <c r="L609" i="1"/>
  <c r="M564" i="1"/>
  <c r="M566" i="1" s="1"/>
  <c r="M572" i="1" s="1"/>
  <c r="M575" i="1" s="1"/>
  <c r="M578" i="1" s="1"/>
  <c r="M608" i="1" s="1"/>
  <c r="M612" i="1" s="1"/>
  <c r="M609" i="1"/>
  <c r="N564" i="1"/>
  <c r="N566" i="1"/>
  <c r="N572" i="1" s="1"/>
  <c r="N575" i="1" s="1"/>
  <c r="N578" i="1" s="1"/>
  <c r="N608" i="1" s="1"/>
  <c r="N609" i="1"/>
  <c r="N612" i="1"/>
  <c r="N614" i="1" s="1"/>
  <c r="N617" i="1" s="1"/>
  <c r="N81" i="1" s="1"/>
  <c r="O564" i="1"/>
  <c r="O566" i="1" s="1"/>
  <c r="O572" i="1" s="1"/>
  <c r="O575" i="1" s="1"/>
  <c r="O578" i="1" s="1"/>
  <c r="O608" i="1" s="1"/>
  <c r="O612" i="1" s="1"/>
  <c r="P564" i="1"/>
  <c r="P566" i="1" s="1"/>
  <c r="P572" i="1" s="1"/>
  <c r="P575" i="1" s="1"/>
  <c r="P578" i="1" s="1"/>
  <c r="P608" i="1" s="1"/>
  <c r="P612" i="1" s="1"/>
  <c r="Q564" i="1"/>
  <c r="Q566" i="1" s="1"/>
  <c r="Q572" i="1" s="1"/>
  <c r="Q575" i="1" s="1"/>
  <c r="Q578" i="1" s="1"/>
  <c r="Q608" i="1" s="1"/>
  <c r="R564" i="1"/>
  <c r="R566" i="1" s="1"/>
  <c r="R572" i="1" s="1"/>
  <c r="R575" i="1" s="1"/>
  <c r="R578" i="1" s="1"/>
  <c r="R608" i="1" s="1"/>
  <c r="R612" i="1" s="1"/>
  <c r="R609" i="1"/>
  <c r="S564" i="1"/>
  <c r="S566" i="1"/>
  <c r="S572" i="1" s="1"/>
  <c r="S575" i="1" s="1"/>
  <c r="S578" i="1" s="1"/>
  <c r="S608" i="1" s="1"/>
  <c r="S609" i="1"/>
  <c r="T564" i="1"/>
  <c r="T566" i="1" s="1"/>
  <c r="T572" i="1" s="1"/>
  <c r="T575" i="1" s="1"/>
  <c r="T578" i="1" s="1"/>
  <c r="T608" i="1" s="1"/>
  <c r="T612" i="1" s="1"/>
  <c r="T609" i="1"/>
  <c r="U564" i="1"/>
  <c r="U566" i="1"/>
  <c r="U572" i="1" s="1"/>
  <c r="U575" i="1" s="1"/>
  <c r="U578" i="1" s="1"/>
  <c r="U608" i="1" s="1"/>
  <c r="U612" i="1" s="1"/>
  <c r="U609" i="1"/>
  <c r="V564" i="1"/>
  <c r="V566" i="1"/>
  <c r="V572" i="1"/>
  <c r="V575" i="1"/>
  <c r="V578" i="1" s="1"/>
  <c r="V608" i="1" s="1"/>
  <c r="V609" i="1"/>
  <c r="W564" i="1"/>
  <c r="W566" i="1" s="1"/>
  <c r="W572" i="1" s="1"/>
  <c r="W575" i="1" s="1"/>
  <c r="W578" i="1" s="1"/>
  <c r="W608" i="1" s="1"/>
  <c r="W609" i="1"/>
  <c r="X564" i="1"/>
  <c r="X566" i="1" s="1"/>
  <c r="X572" i="1" s="1"/>
  <c r="X575" i="1" s="1"/>
  <c r="X578" i="1" s="1"/>
  <c r="X608" i="1" s="1"/>
  <c r="Y564" i="1"/>
  <c r="Y566" i="1" s="1"/>
  <c r="Y572" i="1" s="1"/>
  <c r="Y575" i="1" s="1"/>
  <c r="Y578" i="1" s="1"/>
  <c r="Y608" i="1" s="1"/>
  <c r="Z564" i="1"/>
  <c r="Z566" i="1" s="1"/>
  <c r="Z572" i="1" s="1"/>
  <c r="Z575" i="1" s="1"/>
  <c r="Z578" i="1" s="1"/>
  <c r="Z608" i="1" s="1"/>
  <c r="AA564" i="1"/>
  <c r="AA566" i="1"/>
  <c r="AA572" i="1" s="1"/>
  <c r="AA575" i="1" s="1"/>
  <c r="AA578" i="1" s="1"/>
  <c r="AA608" i="1" s="1"/>
  <c r="AA612" i="1" s="1"/>
  <c r="AA609" i="1"/>
  <c r="AB564" i="1"/>
  <c r="AB566" i="1" s="1"/>
  <c r="AB572" i="1" s="1"/>
  <c r="AB575" i="1" s="1"/>
  <c r="AB578" i="1" s="1"/>
  <c r="AB608" i="1" s="1"/>
  <c r="AB612" i="1" s="1"/>
  <c r="AB609" i="1"/>
  <c r="AC564" i="1"/>
  <c r="AC566" i="1"/>
  <c r="AC572" i="1"/>
  <c r="AC575" i="1" s="1"/>
  <c r="AC578" i="1" s="1"/>
  <c r="AC608" i="1" s="1"/>
  <c r="AC609" i="1"/>
  <c r="AD564" i="1"/>
  <c r="AD566" i="1" s="1"/>
  <c r="AD572" i="1" s="1"/>
  <c r="AD575" i="1" s="1"/>
  <c r="AD578" i="1" s="1"/>
  <c r="AD608" i="1" s="1"/>
  <c r="AE564" i="1"/>
  <c r="AE566" i="1" s="1"/>
  <c r="AE572" i="1" s="1"/>
  <c r="AE575" i="1" s="1"/>
  <c r="AE578" i="1" s="1"/>
  <c r="AE608" i="1" s="1"/>
  <c r="AE612" i="1" s="1"/>
  <c r="AF564" i="1"/>
  <c r="AF566" i="1"/>
  <c r="AF572" i="1" s="1"/>
  <c r="AF575" i="1" s="1"/>
  <c r="AF578" i="1" s="1"/>
  <c r="AF608" i="1" s="1"/>
  <c r="AF612" i="1" s="1"/>
  <c r="AF614" i="1" s="1"/>
  <c r="AF617" i="1" s="1"/>
  <c r="AF81" i="1" s="1"/>
  <c r="AF609" i="1"/>
  <c r="AG564" i="1"/>
  <c r="AG566" i="1" s="1"/>
  <c r="AG572" i="1" s="1"/>
  <c r="AG575" i="1" s="1"/>
  <c r="AG578" i="1" s="1"/>
  <c r="AG608" i="1" s="1"/>
  <c r="AG609" i="1"/>
  <c r="AO564" i="1"/>
  <c r="AO566" i="1" s="1"/>
  <c r="AO572" i="1" s="1"/>
  <c r="AO575" i="1" s="1"/>
  <c r="AO578" i="1" s="1"/>
  <c r="AO608" i="1" s="1"/>
  <c r="AO609" i="1"/>
  <c r="AP564" i="1"/>
  <c r="AP566" i="1" s="1"/>
  <c r="AP572" i="1" s="1"/>
  <c r="AP575" i="1" s="1"/>
  <c r="AP578" i="1" s="1"/>
  <c r="AP608" i="1" s="1"/>
  <c r="AP612" i="1" s="1"/>
  <c r="AP609" i="1"/>
  <c r="AQ564" i="1"/>
  <c r="AQ566" i="1" s="1"/>
  <c r="AQ572" i="1" s="1"/>
  <c r="AQ575" i="1" s="1"/>
  <c r="AQ578" i="1" s="1"/>
  <c r="AQ608" i="1" s="1"/>
  <c r="AQ612" i="1" s="1"/>
  <c r="AQ609" i="1"/>
  <c r="AR564" i="1"/>
  <c r="AR566" i="1"/>
  <c r="AR572" i="1" s="1"/>
  <c r="AR575" i="1" s="1"/>
  <c r="AR578" i="1" s="1"/>
  <c r="AR608" i="1" s="1"/>
  <c r="AR612" i="1" s="1"/>
  <c r="AR609" i="1"/>
  <c r="AS564" i="1"/>
  <c r="AS566" i="1" s="1"/>
  <c r="AS572" i="1" s="1"/>
  <c r="AS575" i="1" s="1"/>
  <c r="AS578" i="1" s="1"/>
  <c r="AS608" i="1" s="1"/>
  <c r="AS612" i="1" s="1"/>
  <c r="AS609" i="1"/>
  <c r="AT564" i="1"/>
  <c r="AT566" i="1" s="1"/>
  <c r="AT572" i="1" s="1"/>
  <c r="AT575" i="1" s="1"/>
  <c r="AT578" i="1" s="1"/>
  <c r="AT608" i="1" s="1"/>
  <c r="AT612" i="1" s="1"/>
  <c r="AT609" i="1"/>
  <c r="AU564" i="1"/>
  <c r="AU609" i="1"/>
  <c r="AQ86" i="1"/>
  <c r="J86" i="1" s="1"/>
  <c r="I86" i="1"/>
  <c r="AR86" i="1"/>
  <c r="L86" i="1"/>
  <c r="M86" i="1"/>
  <c r="N86" i="1"/>
  <c r="O86" i="1"/>
  <c r="AS86" i="1"/>
  <c r="P86" i="1" s="1"/>
  <c r="Q86" i="1"/>
  <c r="R86" i="1"/>
  <c r="S86" i="1"/>
  <c r="AT86" i="1"/>
  <c r="W86" i="1" s="1"/>
  <c r="AU86" i="1"/>
  <c r="X86" i="1" s="1"/>
  <c r="Y86" i="1"/>
  <c r="AA86" i="1"/>
  <c r="AV642" i="1"/>
  <c r="AV86" i="1" s="1"/>
  <c r="AF86" i="1"/>
  <c r="AG86" i="1"/>
  <c r="AH86" i="1"/>
  <c r="AI86" i="1"/>
  <c r="AJ86" i="1"/>
  <c r="AK86" i="1"/>
  <c r="AL86" i="1"/>
  <c r="AM86" i="1"/>
  <c r="AO86" i="1"/>
  <c r="AP86" i="1"/>
  <c r="AQ91" i="1"/>
  <c r="H91" i="1" s="1"/>
  <c r="AR91" i="1"/>
  <c r="L91" i="1"/>
  <c r="M91" i="1"/>
  <c r="N91" i="1"/>
  <c r="O91" i="1"/>
  <c r="AS91" i="1"/>
  <c r="P91" i="1" s="1"/>
  <c r="Q91" i="1"/>
  <c r="R91" i="1"/>
  <c r="S91" i="1"/>
  <c r="AT91" i="1"/>
  <c r="U91" i="1" s="1"/>
  <c r="AU91" i="1"/>
  <c r="X91" i="1" s="1"/>
  <c r="AV681" i="1"/>
  <c r="AV91" i="1" s="1"/>
  <c r="AF91" i="1"/>
  <c r="AG91" i="1"/>
  <c r="AH91" i="1"/>
  <c r="AI91" i="1"/>
  <c r="AJ91" i="1"/>
  <c r="AK91" i="1"/>
  <c r="AL91" i="1"/>
  <c r="AM91" i="1"/>
  <c r="AO91" i="1"/>
  <c r="AP91"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AJ96" i="1"/>
  <c r="AK96" i="1"/>
  <c r="AL96" i="1"/>
  <c r="AM96" i="1"/>
  <c r="AO96" i="1"/>
  <c r="AP96" i="1"/>
  <c r="AU96" i="1"/>
  <c r="AV96" i="1"/>
  <c r="H97" i="1"/>
  <c r="I97" i="1"/>
  <c r="J97" i="1"/>
  <c r="K97" i="1"/>
  <c r="L97" i="1"/>
  <c r="M97" i="1"/>
  <c r="N97" i="1"/>
  <c r="O97" i="1"/>
  <c r="P97" i="1"/>
  <c r="Q97" i="1"/>
  <c r="R97" i="1"/>
  <c r="S97" i="1"/>
  <c r="T97" i="1"/>
  <c r="U97" i="1"/>
  <c r="V97" i="1"/>
  <c r="W97" i="1"/>
  <c r="X97" i="1"/>
  <c r="Y97" i="1"/>
  <c r="Z97" i="1"/>
  <c r="AA97" i="1"/>
  <c r="AB97" i="1"/>
  <c r="AC97" i="1"/>
  <c r="AD97" i="1"/>
  <c r="AE97" i="1"/>
  <c r="AF97" i="1"/>
  <c r="AG97" i="1"/>
  <c r="AH97" i="1"/>
  <c r="AI97" i="1"/>
  <c r="AJ97" i="1"/>
  <c r="AK97" i="1"/>
  <c r="AL97" i="1"/>
  <c r="AM97" i="1"/>
  <c r="AO97" i="1"/>
  <c r="AP97" i="1"/>
  <c r="AQ97" i="1"/>
  <c r="AR97" i="1"/>
  <c r="AS97" i="1"/>
  <c r="AT97" i="1"/>
  <c r="AU97" i="1"/>
  <c r="AV97" i="1"/>
  <c r="H98" i="1"/>
  <c r="I98" i="1"/>
  <c r="J98" i="1"/>
  <c r="K98" i="1"/>
  <c r="L98" i="1"/>
  <c r="M98" i="1"/>
  <c r="N98" i="1"/>
  <c r="O98" i="1"/>
  <c r="P98" i="1"/>
  <c r="Q98" i="1"/>
  <c r="R98" i="1"/>
  <c r="S98" i="1"/>
  <c r="T98" i="1"/>
  <c r="U98" i="1"/>
  <c r="V98" i="1"/>
  <c r="W98" i="1"/>
  <c r="X98" i="1"/>
  <c r="Y98" i="1"/>
  <c r="Z98" i="1"/>
  <c r="AA98" i="1"/>
  <c r="AB98" i="1"/>
  <c r="AC98" i="1"/>
  <c r="AD98" i="1"/>
  <c r="AE98" i="1"/>
  <c r="AF98" i="1"/>
  <c r="AG98" i="1"/>
  <c r="AO98" i="1"/>
  <c r="AP98" i="1"/>
  <c r="AQ98" i="1"/>
  <c r="AR98" i="1"/>
  <c r="AS98" i="1"/>
  <c r="AT98" i="1"/>
  <c r="AU98"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AJ99" i="1"/>
  <c r="AK99" i="1"/>
  <c r="AL99" i="1"/>
  <c r="AM99" i="1"/>
  <c r="AS99" i="1"/>
  <c r="AT99" i="1"/>
  <c r="AU99" i="1"/>
  <c r="AV99" i="1"/>
  <c r="H102" i="1"/>
  <c r="I102" i="1"/>
  <c r="L102" i="1"/>
  <c r="M102" i="1"/>
  <c r="O102" i="1"/>
  <c r="P102" i="1"/>
  <c r="T102" i="1"/>
  <c r="U102" i="1"/>
  <c r="W102" i="1"/>
  <c r="X102" i="1"/>
  <c r="Y102" i="1"/>
  <c r="AB102" i="1"/>
  <c r="AC102" i="1"/>
  <c r="AE102" i="1"/>
  <c r="AF102" i="1"/>
  <c r="AP102" i="1"/>
  <c r="AQ102" i="1"/>
  <c r="AS102" i="1"/>
  <c r="AT102" i="1"/>
  <c r="AX102" i="1"/>
  <c r="H111" i="1"/>
  <c r="H112" i="1"/>
  <c r="H113" i="1" s="1"/>
  <c r="AP111" i="1"/>
  <c r="AP112" i="1"/>
  <c r="AP113" i="1"/>
  <c r="AP114" i="1" s="1"/>
  <c r="AQ108" i="1"/>
  <c r="H108" i="1" s="1"/>
  <c r="H707" i="1"/>
  <c r="AQ707" i="1"/>
  <c r="I111" i="1"/>
  <c r="I113" i="1" s="1"/>
  <c r="I112" i="1"/>
  <c r="I707" i="1"/>
  <c r="J111" i="1"/>
  <c r="J112" i="1"/>
  <c r="J113" i="1" s="1"/>
  <c r="J114" i="1" s="1"/>
  <c r="J707" i="1"/>
  <c r="AQ671" i="1"/>
  <c r="AQ104" i="1" s="1"/>
  <c r="L111" i="1"/>
  <c r="L112" i="1"/>
  <c r="L113" i="1" s="1"/>
  <c r="K111" i="1"/>
  <c r="K112" i="1"/>
  <c r="AR108" i="1"/>
  <c r="M108" i="1" s="1"/>
  <c r="L707" i="1"/>
  <c r="AR707" i="1"/>
  <c r="M111" i="1"/>
  <c r="M113" i="1" s="1"/>
  <c r="M114" i="1" s="1"/>
  <c r="M112" i="1"/>
  <c r="M707" i="1"/>
  <c r="N111" i="1"/>
  <c r="N113" i="1" s="1"/>
  <c r="N112" i="1"/>
  <c r="N707" i="1"/>
  <c r="AR671" i="1"/>
  <c r="AR104" i="1" s="1"/>
  <c r="P111" i="1"/>
  <c r="P112" i="1"/>
  <c r="O111" i="1"/>
  <c r="O113" i="1" s="1"/>
  <c r="O114" i="1" s="1"/>
  <c r="O112" i="1"/>
  <c r="AS108" i="1"/>
  <c r="P108" i="1" s="1"/>
  <c r="P707" i="1"/>
  <c r="AS707" i="1"/>
  <c r="Q111" i="1"/>
  <c r="Q113" i="1" s="1"/>
  <c r="Q112" i="1"/>
  <c r="Q707" i="1"/>
  <c r="R111" i="1"/>
  <c r="R112" i="1"/>
  <c r="R113" i="1"/>
  <c r="R114" i="1" s="1"/>
  <c r="R707" i="1"/>
  <c r="AS671" i="1"/>
  <c r="AS104" i="1"/>
  <c r="T111" i="1"/>
  <c r="T113" i="1" s="1"/>
  <c r="T114" i="1" s="1"/>
  <c r="T112" i="1"/>
  <c r="S111" i="1"/>
  <c r="S112" i="1"/>
  <c r="S113" i="1"/>
  <c r="AT108" i="1"/>
  <c r="T707" i="1"/>
  <c r="T108" i="1" s="1"/>
  <c r="AT707" i="1"/>
  <c r="U111" i="1"/>
  <c r="U113" i="1" s="1"/>
  <c r="U112" i="1"/>
  <c r="U707" i="1"/>
  <c r="V111" i="1"/>
  <c r="V112" i="1"/>
  <c r="V113" i="1"/>
  <c r="V707" i="1"/>
  <c r="V108" i="1"/>
  <c r="AT671" i="1"/>
  <c r="AT104" i="1" s="1"/>
  <c r="X111" i="1"/>
  <c r="X113" i="1" s="1"/>
  <c r="X112" i="1"/>
  <c r="W111" i="1"/>
  <c r="W112" i="1"/>
  <c r="AU108" i="1"/>
  <c r="X707" i="1"/>
  <c r="X108" i="1" s="1"/>
  <c r="AU707" i="1"/>
  <c r="Z108" i="1" s="1"/>
  <c r="Y111" i="1"/>
  <c r="Y112" i="1"/>
  <c r="Y113" i="1"/>
  <c r="Y707" i="1"/>
  <c r="Y108" i="1"/>
  <c r="Z111" i="1"/>
  <c r="Z113" i="1" s="1"/>
  <c r="Z114" i="1" s="1"/>
  <c r="Z112" i="1"/>
  <c r="Z707" i="1"/>
  <c r="AU671" i="1"/>
  <c r="AU104" i="1" s="1"/>
  <c r="AB111" i="1"/>
  <c r="AB113" i="1" s="1"/>
  <c r="AB114" i="1" s="1"/>
  <c r="AB112" i="1"/>
  <c r="AA111" i="1"/>
  <c r="AA113" i="1" s="1"/>
  <c r="AA114" i="1" s="1"/>
  <c r="AA112" i="1"/>
  <c r="AV692" i="1"/>
  <c r="AV696" i="1"/>
  <c r="AV705" i="1"/>
  <c r="AV697" i="1"/>
  <c r="AV703" i="1"/>
  <c r="AV108" i="1"/>
  <c r="AB707" i="1"/>
  <c r="AV782" i="1"/>
  <c r="AV707" i="1" s="1"/>
  <c r="AC111" i="1"/>
  <c r="AC113" i="1" s="1"/>
  <c r="AC112" i="1"/>
  <c r="AC707" i="1"/>
  <c r="AD111" i="1"/>
  <c r="AD112" i="1"/>
  <c r="AD113" i="1" s="1"/>
  <c r="AD114" i="1" s="1"/>
  <c r="AD707" i="1"/>
  <c r="AV746" i="1"/>
  <c r="AV671" i="1" s="1"/>
  <c r="AV104" i="1" s="1"/>
  <c r="AF111" i="1"/>
  <c r="AF112" i="1"/>
  <c r="AF113" i="1" s="1"/>
  <c r="AE111" i="1"/>
  <c r="AE112" i="1"/>
  <c r="AE113" i="1"/>
  <c r="AE114" i="1" s="1"/>
  <c r="AG111" i="1"/>
  <c r="AG113" i="1" s="1"/>
  <c r="AG114" i="1" s="1"/>
  <c r="AG112" i="1"/>
  <c r="AH103" i="1"/>
  <c r="AJ103" i="1"/>
  <c r="AK103" i="1"/>
  <c r="AL103" i="1"/>
  <c r="AM103" i="1"/>
  <c r="AO671" i="1"/>
  <c r="AO104" i="1" s="1"/>
  <c r="AP671" i="1"/>
  <c r="AP104" i="1"/>
  <c r="AW108" i="1"/>
  <c r="AO108" i="1"/>
  <c r="AP108" i="1"/>
  <c r="AX108" i="1"/>
  <c r="AH111" i="1"/>
  <c r="AO111" i="1"/>
  <c r="AQ111" i="1"/>
  <c r="AR111" i="1"/>
  <c r="AS111" i="1"/>
  <c r="AS113" i="1" s="1"/>
  <c r="AS114" i="1" s="1"/>
  <c r="AT111" i="1"/>
  <c r="AU111" i="1"/>
  <c r="AV111" i="1"/>
  <c r="AO112" i="1"/>
  <c r="AQ112" i="1"/>
  <c r="AR112" i="1"/>
  <c r="AR113" i="1" s="1"/>
  <c r="AR114" i="1" s="1"/>
  <c r="AS112" i="1"/>
  <c r="AT112" i="1"/>
  <c r="AT113" i="1" s="1"/>
  <c r="AT114" i="1" s="1"/>
  <c r="AU112" i="1"/>
  <c r="AU113" i="1" s="1"/>
  <c r="AU114" i="1" s="1"/>
  <c r="AV112" i="1"/>
  <c r="AV113" i="1" s="1"/>
  <c r="AV114" i="1" s="1"/>
  <c r="AO113" i="1"/>
  <c r="AO114" i="1" s="1"/>
  <c r="AQ113" i="1"/>
  <c r="AQ114" i="1" s="1"/>
  <c r="S114" i="1"/>
  <c r="V114" i="1"/>
  <c r="Y114" i="1"/>
  <c r="AW120" i="1"/>
  <c r="AW127" i="1" s="1"/>
  <c r="AW121" i="1"/>
  <c r="H122" i="1"/>
  <c r="I122" i="1"/>
  <c r="J122" i="1"/>
  <c r="K122" i="1"/>
  <c r="O129" i="1" s="1"/>
  <c r="L122" i="1"/>
  <c r="M122" i="1"/>
  <c r="N122" i="1"/>
  <c r="O122" i="1"/>
  <c r="P122" i="1"/>
  <c r="Q122" i="1"/>
  <c r="R122" i="1"/>
  <c r="S122" i="1"/>
  <c r="T122" i="1"/>
  <c r="U122" i="1"/>
  <c r="U129" i="1" s="1"/>
  <c r="V122" i="1"/>
  <c r="W122" i="1"/>
  <c r="W129" i="1" s="1"/>
  <c r="X122" i="1"/>
  <c r="X129" i="1" s="1"/>
  <c r="Y122" i="1"/>
  <c r="Y129" i="1" s="1"/>
  <c r="Z122" i="1"/>
  <c r="Z129" i="1" s="1"/>
  <c r="AA122" i="1"/>
  <c r="AE129" i="1" s="1"/>
  <c r="AB122" i="1"/>
  <c r="AC122" i="1"/>
  <c r="AD122" i="1"/>
  <c r="AE122" i="1"/>
  <c r="AF122" i="1"/>
  <c r="AW122" i="1" s="1"/>
  <c r="AG122" i="1"/>
  <c r="AO122" i="1"/>
  <c r="AP122" i="1"/>
  <c r="AQ122" i="1"/>
  <c r="AR122" i="1"/>
  <c r="AS122" i="1"/>
  <c r="AT122" i="1"/>
  <c r="AU122" i="1"/>
  <c r="AV122" i="1"/>
  <c r="L125" i="1"/>
  <c r="M125" i="1"/>
  <c r="N125" i="1"/>
  <c r="O125" i="1"/>
  <c r="P125" i="1"/>
  <c r="Q125" i="1"/>
  <c r="R125" i="1"/>
  <c r="S125" i="1"/>
  <c r="T125" i="1"/>
  <c r="U125" i="1"/>
  <c r="V125" i="1"/>
  <c r="W125" i="1"/>
  <c r="X125" i="1"/>
  <c r="Y125" i="1"/>
  <c r="Z125" i="1"/>
  <c r="AA125" i="1"/>
  <c r="AB125" i="1"/>
  <c r="AC125" i="1"/>
  <c r="AD125" i="1"/>
  <c r="AE125" i="1"/>
  <c r="AF125" i="1"/>
  <c r="AG125" i="1"/>
  <c r="AH125" i="1"/>
  <c r="AI125" i="1"/>
  <c r="AJ125" i="1"/>
  <c r="AK125" i="1"/>
  <c r="AL125" i="1"/>
  <c r="AM125" i="1"/>
  <c r="AP125" i="1"/>
  <c r="AQ125" i="1"/>
  <c r="AR125" i="1"/>
  <c r="AS125" i="1"/>
  <c r="AT125" i="1"/>
  <c r="AU125" i="1"/>
  <c r="AV125" i="1"/>
  <c r="AW125" i="1"/>
  <c r="L126" i="1"/>
  <c r="M126" i="1"/>
  <c r="N126" i="1"/>
  <c r="O126" i="1"/>
  <c r="P126" i="1"/>
  <c r="Q126" i="1"/>
  <c r="R126" i="1"/>
  <c r="S126" i="1"/>
  <c r="T126" i="1"/>
  <c r="U126" i="1"/>
  <c r="V126" i="1"/>
  <c r="W126" i="1"/>
  <c r="X126" i="1"/>
  <c r="Y126" i="1"/>
  <c r="Z126" i="1"/>
  <c r="AA126" i="1"/>
  <c r="AB126" i="1"/>
  <c r="AC126" i="1"/>
  <c r="AD126" i="1"/>
  <c r="AE126" i="1"/>
  <c r="AF126" i="1"/>
  <c r="AG126" i="1"/>
  <c r="AH126" i="1"/>
  <c r="AI126" i="1"/>
  <c r="AJ126" i="1"/>
  <c r="AK126" i="1"/>
  <c r="AL126" i="1"/>
  <c r="AM126" i="1"/>
  <c r="AP126" i="1"/>
  <c r="AQ126" i="1"/>
  <c r="AR126" i="1"/>
  <c r="AS126" i="1"/>
  <c r="AT126" i="1"/>
  <c r="AU126" i="1"/>
  <c r="AV126" i="1"/>
  <c r="AW126" i="1"/>
  <c r="L127" i="1"/>
  <c r="M127" i="1"/>
  <c r="N127" i="1"/>
  <c r="O127" i="1"/>
  <c r="P127" i="1"/>
  <c r="Q127" i="1"/>
  <c r="R127" i="1"/>
  <c r="S127" i="1"/>
  <c r="T127" i="1"/>
  <c r="U127" i="1"/>
  <c r="V127" i="1"/>
  <c r="W127" i="1"/>
  <c r="X127" i="1"/>
  <c r="Y127" i="1"/>
  <c r="Z127" i="1"/>
  <c r="AA127" i="1"/>
  <c r="AB127" i="1"/>
  <c r="AC127" i="1"/>
  <c r="AD127" i="1"/>
  <c r="AE127" i="1"/>
  <c r="AF127" i="1"/>
  <c r="AG127" i="1"/>
  <c r="AH127" i="1"/>
  <c r="AI127" i="1"/>
  <c r="AJ127" i="1"/>
  <c r="AK127" i="1"/>
  <c r="AL127" i="1"/>
  <c r="AM127" i="1"/>
  <c r="AP127" i="1"/>
  <c r="AQ127" i="1"/>
  <c r="AR127" i="1"/>
  <c r="AS127" i="1"/>
  <c r="AT127" i="1"/>
  <c r="AU127" i="1"/>
  <c r="AV127" i="1"/>
  <c r="L128" i="1"/>
  <c r="M128" i="1"/>
  <c r="N128" i="1"/>
  <c r="O128" i="1"/>
  <c r="P128" i="1"/>
  <c r="Q128" i="1"/>
  <c r="R128" i="1"/>
  <c r="S128" i="1"/>
  <c r="T128" i="1"/>
  <c r="U128" i="1"/>
  <c r="V128" i="1"/>
  <c r="W128" i="1"/>
  <c r="X128" i="1"/>
  <c r="Y128" i="1"/>
  <c r="Z128" i="1"/>
  <c r="AA128" i="1"/>
  <c r="AB128" i="1"/>
  <c r="AC128" i="1"/>
  <c r="AD128" i="1"/>
  <c r="AE128" i="1"/>
  <c r="AF128" i="1"/>
  <c r="AG128" i="1"/>
  <c r="AH128" i="1"/>
  <c r="AI128" i="1"/>
  <c r="AJ128" i="1"/>
  <c r="AK128" i="1"/>
  <c r="AL128" i="1"/>
  <c r="AM128" i="1"/>
  <c r="AP128" i="1"/>
  <c r="AQ128" i="1"/>
  <c r="AR128" i="1"/>
  <c r="AS128" i="1"/>
  <c r="AT128" i="1"/>
  <c r="AU128" i="1"/>
  <c r="AV128" i="1"/>
  <c r="AW128" i="1"/>
  <c r="L129" i="1"/>
  <c r="M129" i="1"/>
  <c r="N129" i="1"/>
  <c r="P129" i="1"/>
  <c r="Q129" i="1"/>
  <c r="R129" i="1"/>
  <c r="S129" i="1"/>
  <c r="T129" i="1"/>
  <c r="V129" i="1"/>
  <c r="AB129" i="1"/>
  <c r="AC129" i="1"/>
  <c r="AD129" i="1"/>
  <c r="AF129" i="1"/>
  <c r="AG129" i="1"/>
  <c r="AH129" i="1"/>
  <c r="AI129" i="1"/>
  <c r="AJ129" i="1"/>
  <c r="AK129" i="1"/>
  <c r="AL129" i="1"/>
  <c r="AM129" i="1"/>
  <c r="AP129" i="1"/>
  <c r="AQ129" i="1"/>
  <c r="AR129" i="1"/>
  <c r="AS129" i="1"/>
  <c r="AT129" i="1"/>
  <c r="AU129" i="1"/>
  <c r="AV129" i="1"/>
  <c r="I132" i="1"/>
  <c r="J132" i="1"/>
  <c r="K132" i="1"/>
  <c r="L132" i="1"/>
  <c r="M132" i="1"/>
  <c r="N132" i="1"/>
  <c r="O132" i="1"/>
  <c r="P132" i="1"/>
  <c r="Q132" i="1"/>
  <c r="R132" i="1"/>
  <c r="S132" i="1"/>
  <c r="T132" i="1"/>
  <c r="U132" i="1"/>
  <c r="V132" i="1"/>
  <c r="W132" i="1"/>
  <c r="X132" i="1"/>
  <c r="Y132" i="1"/>
  <c r="Z132" i="1"/>
  <c r="AA132" i="1"/>
  <c r="AB132" i="1"/>
  <c r="AC132" i="1"/>
  <c r="AD132" i="1"/>
  <c r="AE132" i="1"/>
  <c r="AF132" i="1"/>
  <c r="AG132" i="1"/>
  <c r="AH132" i="1"/>
  <c r="AI132" i="1"/>
  <c r="AJ132" i="1"/>
  <c r="AK132" i="1"/>
  <c r="AL132" i="1"/>
  <c r="AM132" i="1"/>
  <c r="I133" i="1"/>
  <c r="J133" i="1"/>
  <c r="K133" i="1"/>
  <c r="L133" i="1"/>
  <c r="M133" i="1"/>
  <c r="N133" i="1"/>
  <c r="O133" i="1"/>
  <c r="P133" i="1"/>
  <c r="Q133" i="1"/>
  <c r="R133" i="1"/>
  <c r="S133" i="1"/>
  <c r="T133" i="1"/>
  <c r="U133" i="1"/>
  <c r="V133" i="1"/>
  <c r="W133" i="1"/>
  <c r="X133" i="1"/>
  <c r="Y133" i="1"/>
  <c r="Z133" i="1"/>
  <c r="AA133" i="1"/>
  <c r="AB133" i="1"/>
  <c r="AC133" i="1"/>
  <c r="AD133" i="1"/>
  <c r="AE133" i="1"/>
  <c r="AF133" i="1"/>
  <c r="AG133" i="1"/>
  <c r="AH133" i="1"/>
  <c r="AI133" i="1"/>
  <c r="AJ133" i="1"/>
  <c r="AK133" i="1"/>
  <c r="AL133" i="1"/>
  <c r="AM133" i="1"/>
  <c r="I134" i="1"/>
  <c r="J134" i="1"/>
  <c r="K134" i="1"/>
  <c r="L134" i="1"/>
  <c r="M134" i="1"/>
  <c r="N134" i="1"/>
  <c r="O134" i="1"/>
  <c r="P134" i="1"/>
  <c r="Q134" i="1"/>
  <c r="R134" i="1"/>
  <c r="S134" i="1"/>
  <c r="T134" i="1"/>
  <c r="U134" i="1"/>
  <c r="V134" i="1"/>
  <c r="W134" i="1"/>
  <c r="X134" i="1"/>
  <c r="Y134" i="1"/>
  <c r="Z134" i="1"/>
  <c r="AA134" i="1"/>
  <c r="AB134" i="1"/>
  <c r="AC134" i="1"/>
  <c r="AD134" i="1"/>
  <c r="AE134" i="1"/>
  <c r="AF134" i="1"/>
  <c r="AG134" i="1"/>
  <c r="AH134" i="1"/>
  <c r="AI134" i="1"/>
  <c r="AJ134" i="1"/>
  <c r="AK134" i="1"/>
  <c r="AL134" i="1"/>
  <c r="AM134" i="1"/>
  <c r="I135" i="1"/>
  <c r="J135" i="1"/>
  <c r="K135" i="1"/>
  <c r="L135" i="1"/>
  <c r="M135" i="1"/>
  <c r="N135" i="1"/>
  <c r="O135" i="1"/>
  <c r="P135" i="1"/>
  <c r="Q135" i="1"/>
  <c r="R135" i="1"/>
  <c r="S135" i="1"/>
  <c r="T135" i="1"/>
  <c r="U135" i="1"/>
  <c r="V135" i="1"/>
  <c r="W135" i="1"/>
  <c r="X135" i="1"/>
  <c r="Y135" i="1"/>
  <c r="Z135" i="1"/>
  <c r="AA135" i="1"/>
  <c r="AB135" i="1"/>
  <c r="AC135" i="1"/>
  <c r="AD135" i="1"/>
  <c r="AE135" i="1"/>
  <c r="AF135" i="1"/>
  <c r="AG135" i="1"/>
  <c r="AH135" i="1"/>
  <c r="AI135" i="1"/>
  <c r="AJ135" i="1"/>
  <c r="AK135" i="1"/>
  <c r="AL135" i="1"/>
  <c r="AM135" i="1"/>
  <c r="I136" i="1"/>
  <c r="J136" i="1"/>
  <c r="K136" i="1"/>
  <c r="L136" i="1"/>
  <c r="M136" i="1"/>
  <c r="N136" i="1"/>
  <c r="O136" i="1"/>
  <c r="P136" i="1"/>
  <c r="Q136" i="1"/>
  <c r="R136" i="1"/>
  <c r="S136" i="1"/>
  <c r="T136" i="1"/>
  <c r="U136" i="1"/>
  <c r="V136" i="1"/>
  <c r="W136" i="1"/>
  <c r="X136" i="1"/>
  <c r="Y136" i="1"/>
  <c r="Z136" i="1"/>
  <c r="AA136" i="1"/>
  <c r="AB136" i="1"/>
  <c r="AC136" i="1"/>
  <c r="AD136" i="1"/>
  <c r="AE136" i="1"/>
  <c r="AF136" i="1"/>
  <c r="AG136" i="1"/>
  <c r="AH136" i="1"/>
  <c r="AI136" i="1"/>
  <c r="AJ136" i="1"/>
  <c r="AK136" i="1"/>
  <c r="AL136" i="1"/>
  <c r="AM136" i="1"/>
  <c r="H192" i="1"/>
  <c r="H162" i="1"/>
  <c r="AQ162" i="1" s="1"/>
  <c r="AQ167" i="1" s="1"/>
  <c r="H177" i="1"/>
  <c r="H179" i="1" s="1"/>
  <c r="L184" i="1" s="1"/>
  <c r="I192" i="1"/>
  <c r="I162" i="1"/>
  <c r="I164" i="1" s="1"/>
  <c r="I177" i="1"/>
  <c r="J192" i="1"/>
  <c r="J162" i="1"/>
  <c r="J177" i="1"/>
  <c r="J141" i="1" s="1"/>
  <c r="K192" i="1"/>
  <c r="K162" i="1"/>
  <c r="K177" i="1"/>
  <c r="K179" i="1" s="1"/>
  <c r="K189" i="1" s="1"/>
  <c r="L192" i="1"/>
  <c r="L162" i="1"/>
  <c r="L177" i="1"/>
  <c r="M192" i="1"/>
  <c r="M162" i="1"/>
  <c r="M177" i="1"/>
  <c r="M141" i="1"/>
  <c r="N192" i="1"/>
  <c r="N162" i="1"/>
  <c r="N172" i="1" s="1"/>
  <c r="N177" i="1"/>
  <c r="R182" i="1" s="1"/>
  <c r="AO192" i="1"/>
  <c r="AO162" i="1"/>
  <c r="AO177" i="1"/>
  <c r="AO141" i="1" s="1"/>
  <c r="AP192" i="1"/>
  <c r="AP216" i="1"/>
  <c r="AP162" i="1"/>
  <c r="AP218" i="1"/>
  <c r="AP177" i="1" s="1"/>
  <c r="AU141" i="1"/>
  <c r="AV141" i="1"/>
  <c r="AV148" i="1" s="1"/>
  <c r="AW141" i="1"/>
  <c r="AX141" i="1"/>
  <c r="AO193" i="1"/>
  <c r="AO163" i="1"/>
  <c r="AO164" i="1" s="1"/>
  <c r="AP169" i="1" s="1"/>
  <c r="AO178" i="1"/>
  <c r="AP193" i="1"/>
  <c r="AP163" i="1"/>
  <c r="AV142" i="1"/>
  <c r="AW142" i="1"/>
  <c r="AW149" i="1" s="1"/>
  <c r="AX142" i="1"/>
  <c r="O143" i="1"/>
  <c r="P143" i="1"/>
  <c r="P157" i="1" s="1"/>
  <c r="R143" i="1"/>
  <c r="R145" i="1" s="1"/>
  <c r="S143" i="1"/>
  <c r="T143" i="1"/>
  <c r="T145" i="1" s="1"/>
  <c r="V143" i="1"/>
  <c r="W143" i="1"/>
  <c r="W157" i="1" s="1"/>
  <c r="X143" i="1"/>
  <c r="X157" i="1" s="1"/>
  <c r="Z143" i="1"/>
  <c r="AA143" i="1"/>
  <c r="AE150" i="1" s="1"/>
  <c r="AB143" i="1"/>
  <c r="AB150" i="1" s="1"/>
  <c r="AC143" i="1"/>
  <c r="AC157" i="1" s="1"/>
  <c r="AD143" i="1"/>
  <c r="AD157" i="1" s="1"/>
  <c r="AE143" i="1"/>
  <c r="AF143" i="1"/>
  <c r="AG143" i="1"/>
  <c r="AH143" i="1"/>
  <c r="AH145" i="1" s="1"/>
  <c r="AI143" i="1"/>
  <c r="AI145" i="1" s="1"/>
  <c r="AJ143" i="1"/>
  <c r="AK143" i="1"/>
  <c r="AK145" i="1" s="1"/>
  <c r="AL143" i="1"/>
  <c r="AM143" i="1"/>
  <c r="H195" i="1"/>
  <c r="H144" i="1"/>
  <c r="I195" i="1"/>
  <c r="I144" i="1" s="1"/>
  <c r="J195" i="1"/>
  <c r="J144" i="1" s="1"/>
  <c r="K195" i="1"/>
  <c r="K144" i="1"/>
  <c r="L195" i="1"/>
  <c r="L144" i="1" s="1"/>
  <c r="M195" i="1"/>
  <c r="M144" i="1" s="1"/>
  <c r="N195" i="1"/>
  <c r="N144" i="1"/>
  <c r="O195" i="1"/>
  <c r="O144" i="1" s="1"/>
  <c r="P195" i="1"/>
  <c r="P144" i="1"/>
  <c r="Q195" i="1"/>
  <c r="Q144" i="1" s="1"/>
  <c r="S195" i="1"/>
  <c r="S144" i="1"/>
  <c r="S145" i="1" s="1"/>
  <c r="T195" i="1"/>
  <c r="T144" i="1"/>
  <c r="T151" i="1" s="1"/>
  <c r="U195" i="1"/>
  <c r="U144" i="1" s="1"/>
  <c r="U158" i="1" s="1"/>
  <c r="V195" i="1"/>
  <c r="V144" i="1" s="1"/>
  <c r="W195" i="1"/>
  <c r="W144" i="1"/>
  <c r="X195" i="1"/>
  <c r="X144" i="1" s="1"/>
  <c r="Y195" i="1"/>
  <c r="Y144" i="1" s="1"/>
  <c r="Z195" i="1"/>
  <c r="Z144" i="1" s="1"/>
  <c r="AA195" i="1"/>
  <c r="AA144" i="1" s="1"/>
  <c r="AB195" i="1"/>
  <c r="AB144" i="1" s="1"/>
  <c r="AC195" i="1"/>
  <c r="AC144" i="1" s="1"/>
  <c r="AD195" i="1"/>
  <c r="AD144" i="1" s="1"/>
  <c r="AE195" i="1"/>
  <c r="AE144" i="1" s="1"/>
  <c r="AF195" i="1"/>
  <c r="AF144" i="1" s="1"/>
  <c r="AG144" i="1"/>
  <c r="AH158" i="1" s="1"/>
  <c r="AO195" i="1"/>
  <c r="AO144" i="1"/>
  <c r="AP195" i="1"/>
  <c r="AP144" i="1" s="1"/>
  <c r="AX144" i="1"/>
  <c r="AL145" i="1"/>
  <c r="S148" i="1"/>
  <c r="T148" i="1"/>
  <c r="V148" i="1"/>
  <c r="W148" i="1"/>
  <c r="X148" i="1"/>
  <c r="Z148" i="1"/>
  <c r="AA148" i="1"/>
  <c r="AB148" i="1"/>
  <c r="AC148" i="1"/>
  <c r="AD148" i="1"/>
  <c r="AE148" i="1"/>
  <c r="AF148" i="1"/>
  <c r="AG148" i="1"/>
  <c r="AH148" i="1"/>
  <c r="AI148" i="1"/>
  <c r="AJ148" i="1"/>
  <c r="AK148" i="1"/>
  <c r="AL148" i="1"/>
  <c r="AM148" i="1"/>
  <c r="AW148" i="1"/>
  <c r="L149" i="1"/>
  <c r="N149" i="1"/>
  <c r="O149" i="1"/>
  <c r="P149" i="1"/>
  <c r="R149" i="1"/>
  <c r="S149" i="1"/>
  <c r="T149" i="1"/>
  <c r="V149" i="1"/>
  <c r="W149" i="1"/>
  <c r="X149" i="1"/>
  <c r="Z149" i="1"/>
  <c r="AA149" i="1"/>
  <c r="AB149" i="1"/>
  <c r="AD149" i="1"/>
  <c r="AE149" i="1"/>
  <c r="AF149" i="1"/>
  <c r="AG149" i="1"/>
  <c r="AH149" i="1"/>
  <c r="AI149" i="1"/>
  <c r="AJ149" i="1"/>
  <c r="AK149" i="1"/>
  <c r="AL149" i="1"/>
  <c r="AM149" i="1"/>
  <c r="AD150" i="1"/>
  <c r="AL150" i="1"/>
  <c r="R151" i="1"/>
  <c r="AL151" i="1"/>
  <c r="AM151" i="1"/>
  <c r="P155" i="1"/>
  <c r="S155" i="1"/>
  <c r="T155" i="1"/>
  <c r="W155" i="1"/>
  <c r="X155" i="1"/>
  <c r="Y155" i="1"/>
  <c r="Z155" i="1"/>
  <c r="AA155" i="1"/>
  <c r="AB155" i="1"/>
  <c r="AC155" i="1"/>
  <c r="AD155" i="1"/>
  <c r="AE155" i="1"/>
  <c r="AF155" i="1"/>
  <c r="AG155" i="1"/>
  <c r="AH155" i="1"/>
  <c r="AI155" i="1"/>
  <c r="AJ155" i="1"/>
  <c r="AK155" i="1"/>
  <c r="AL155" i="1"/>
  <c r="AM155" i="1"/>
  <c r="K156" i="1"/>
  <c r="L156" i="1"/>
  <c r="O156" i="1"/>
  <c r="P156" i="1"/>
  <c r="S156" i="1"/>
  <c r="T156" i="1"/>
  <c r="W156" i="1"/>
  <c r="X156" i="1"/>
  <c r="AA156" i="1"/>
  <c r="AB156" i="1"/>
  <c r="AC156" i="1"/>
  <c r="AD156" i="1"/>
  <c r="AE156" i="1"/>
  <c r="AF156" i="1"/>
  <c r="AG156" i="1"/>
  <c r="AH156" i="1"/>
  <c r="AI156" i="1"/>
  <c r="AJ156" i="1"/>
  <c r="AK156" i="1"/>
  <c r="AL156" i="1"/>
  <c r="AM156" i="1"/>
  <c r="AE157" i="1"/>
  <c r="AM157" i="1"/>
  <c r="S158" i="1"/>
  <c r="T158" i="1"/>
  <c r="AI158" i="1"/>
  <c r="AJ158" i="1"/>
  <c r="AK158" i="1"/>
  <c r="AL158" i="1"/>
  <c r="AM158" i="1"/>
  <c r="AS162" i="1"/>
  <c r="AT162" i="1"/>
  <c r="AU162" i="1"/>
  <c r="AV162" i="1"/>
  <c r="AW162" i="1"/>
  <c r="AX162" i="1"/>
  <c r="AX167" i="1" s="1"/>
  <c r="AQ163" i="1"/>
  <c r="AR163" i="1"/>
  <c r="AS163" i="1"/>
  <c r="AU163" i="1"/>
  <c r="AV163" i="1"/>
  <c r="AW163" i="1"/>
  <c r="AX163" i="1"/>
  <c r="J164" i="1"/>
  <c r="K164" i="1"/>
  <c r="L164" i="1"/>
  <c r="AR164" i="1" s="1"/>
  <c r="M164" i="1"/>
  <c r="N164" i="1"/>
  <c r="N169" i="1" s="1"/>
  <c r="O164" i="1"/>
  <c r="P174" i="1" s="1"/>
  <c r="P164" i="1"/>
  <c r="Q164" i="1"/>
  <c r="R164" i="1"/>
  <c r="S164" i="1"/>
  <c r="T164" i="1"/>
  <c r="V164" i="1"/>
  <c r="W164" i="1"/>
  <c r="W169" i="1" s="1"/>
  <c r="X164" i="1"/>
  <c r="Y164" i="1"/>
  <c r="AU164" i="1" s="1"/>
  <c r="Z164" i="1"/>
  <c r="AA164" i="1"/>
  <c r="AA169" i="1" s="1"/>
  <c r="AB164" i="1"/>
  <c r="AB169" i="1" s="1"/>
  <c r="AC164" i="1"/>
  <c r="AC169" i="1" s="1"/>
  <c r="AD164" i="1"/>
  <c r="AD169" i="1" s="1"/>
  <c r="AE164" i="1"/>
  <c r="AF174" i="1" s="1"/>
  <c r="AF164" i="1"/>
  <c r="AG164" i="1"/>
  <c r="AP164" i="1"/>
  <c r="AS164" i="1"/>
  <c r="AW164" i="1"/>
  <c r="AX164" i="1"/>
  <c r="L167" i="1"/>
  <c r="M167" i="1"/>
  <c r="N167" i="1"/>
  <c r="O167" i="1"/>
  <c r="P167" i="1"/>
  <c r="Q167" i="1"/>
  <c r="S167" i="1"/>
  <c r="T167" i="1"/>
  <c r="U167" i="1"/>
  <c r="V167" i="1"/>
  <c r="W167" i="1"/>
  <c r="X167" i="1"/>
  <c r="Y167" i="1"/>
  <c r="Z167" i="1"/>
  <c r="AA167" i="1"/>
  <c r="AB167" i="1"/>
  <c r="AC167" i="1"/>
  <c r="AD167" i="1"/>
  <c r="AE167" i="1"/>
  <c r="AF167" i="1"/>
  <c r="AG167" i="1"/>
  <c r="AH167" i="1"/>
  <c r="AI167" i="1"/>
  <c r="AJ167" i="1"/>
  <c r="AK167" i="1"/>
  <c r="AL167" i="1"/>
  <c r="AM167" i="1"/>
  <c r="AP167" i="1"/>
  <c r="AT167" i="1"/>
  <c r="AU167" i="1"/>
  <c r="AV167" i="1"/>
  <c r="AW167" i="1"/>
  <c r="L168" i="1"/>
  <c r="M168" i="1"/>
  <c r="N168" i="1"/>
  <c r="O168" i="1"/>
  <c r="P168" i="1"/>
  <c r="Q168" i="1"/>
  <c r="R168" i="1"/>
  <c r="S168" i="1"/>
  <c r="T168" i="1"/>
  <c r="V168" i="1"/>
  <c r="W168" i="1"/>
  <c r="X168" i="1"/>
  <c r="Z168" i="1"/>
  <c r="AA168" i="1"/>
  <c r="AB168" i="1"/>
  <c r="AC168" i="1"/>
  <c r="AD168" i="1"/>
  <c r="AE168" i="1"/>
  <c r="AF168" i="1"/>
  <c r="AG168" i="1"/>
  <c r="AH168" i="1"/>
  <c r="AI168" i="1"/>
  <c r="AJ168" i="1"/>
  <c r="AK168" i="1"/>
  <c r="AL168" i="1"/>
  <c r="AM168" i="1"/>
  <c r="AP168" i="1"/>
  <c r="AQ168" i="1"/>
  <c r="AR168" i="1"/>
  <c r="AS168" i="1"/>
  <c r="AV168" i="1"/>
  <c r="AW168" i="1"/>
  <c r="AX168" i="1"/>
  <c r="Q169" i="1"/>
  <c r="T169" i="1"/>
  <c r="V169" i="1"/>
  <c r="X169" i="1"/>
  <c r="Z169" i="1"/>
  <c r="AG169" i="1"/>
  <c r="AJ169" i="1"/>
  <c r="AK169" i="1"/>
  <c r="AL169" i="1"/>
  <c r="AM169" i="1"/>
  <c r="AX169" i="1"/>
  <c r="I172" i="1"/>
  <c r="J172" i="1"/>
  <c r="K172" i="1"/>
  <c r="L172" i="1"/>
  <c r="M172" i="1"/>
  <c r="P172" i="1"/>
  <c r="Q172" i="1"/>
  <c r="R172" i="1"/>
  <c r="S172" i="1"/>
  <c r="T172" i="1"/>
  <c r="U172" i="1"/>
  <c r="V172" i="1"/>
  <c r="W172" i="1"/>
  <c r="X172" i="1"/>
  <c r="Y172" i="1"/>
  <c r="Z172" i="1"/>
  <c r="AA172" i="1"/>
  <c r="AB172" i="1"/>
  <c r="AC172" i="1"/>
  <c r="AD172" i="1"/>
  <c r="AE172" i="1"/>
  <c r="AF172" i="1"/>
  <c r="AG172" i="1"/>
  <c r="AH172" i="1"/>
  <c r="AI172" i="1"/>
  <c r="AJ172" i="1"/>
  <c r="AK172" i="1"/>
  <c r="AL172" i="1"/>
  <c r="AM172" i="1"/>
  <c r="I173" i="1"/>
  <c r="J173" i="1"/>
  <c r="K173" i="1"/>
  <c r="L173" i="1"/>
  <c r="M173" i="1"/>
  <c r="N173" i="1"/>
  <c r="O173" i="1"/>
  <c r="P173" i="1"/>
  <c r="Q173" i="1"/>
  <c r="R173" i="1"/>
  <c r="S173" i="1"/>
  <c r="T173" i="1"/>
  <c r="W173" i="1"/>
  <c r="X173" i="1"/>
  <c r="Y173" i="1"/>
  <c r="Z173" i="1"/>
  <c r="AA173" i="1"/>
  <c r="AB173" i="1"/>
  <c r="AC173" i="1"/>
  <c r="AD173" i="1"/>
  <c r="AE173" i="1"/>
  <c r="AF173" i="1"/>
  <c r="AG173" i="1"/>
  <c r="AH173" i="1"/>
  <c r="AI173" i="1"/>
  <c r="AJ173" i="1"/>
  <c r="AK173" i="1"/>
  <c r="AL173" i="1"/>
  <c r="AM173" i="1"/>
  <c r="K174" i="1"/>
  <c r="L174" i="1"/>
  <c r="M174" i="1"/>
  <c r="N174" i="1"/>
  <c r="O174" i="1"/>
  <c r="Q174" i="1"/>
  <c r="R174" i="1"/>
  <c r="S174" i="1"/>
  <c r="T174" i="1"/>
  <c r="W174" i="1"/>
  <c r="X174" i="1"/>
  <c r="Y174" i="1"/>
  <c r="Z174" i="1"/>
  <c r="AA174" i="1"/>
  <c r="AB174" i="1"/>
  <c r="AC174" i="1"/>
  <c r="AD174" i="1"/>
  <c r="AE174" i="1"/>
  <c r="AG174" i="1"/>
  <c r="AH174" i="1"/>
  <c r="AI174" i="1"/>
  <c r="AJ174" i="1"/>
  <c r="AK174" i="1"/>
  <c r="AL174" i="1"/>
  <c r="AM174" i="1"/>
  <c r="AR177" i="1"/>
  <c r="AU177" i="1"/>
  <c r="AV177" i="1"/>
  <c r="AW177" i="1"/>
  <c r="AW182" i="1" s="1"/>
  <c r="AX177" i="1"/>
  <c r="AV178" i="1"/>
  <c r="AW178" i="1"/>
  <c r="AW183" i="1" s="1"/>
  <c r="AX178" i="1"/>
  <c r="AX183" i="1" s="1"/>
  <c r="J179" i="1"/>
  <c r="L179" i="1"/>
  <c r="O179" i="1"/>
  <c r="P179" i="1"/>
  <c r="P189" i="1" s="1"/>
  <c r="R179" i="1"/>
  <c r="S179" i="1"/>
  <c r="T179" i="1"/>
  <c r="T189" i="1" s="1"/>
  <c r="V179" i="1"/>
  <c r="Z184" i="1" s="1"/>
  <c r="W179" i="1"/>
  <c r="X179" i="1"/>
  <c r="Z179" i="1"/>
  <c r="AA179" i="1"/>
  <c r="AE184" i="1" s="1"/>
  <c r="AB179" i="1"/>
  <c r="AC179" i="1"/>
  <c r="AD179" i="1"/>
  <c r="AH184" i="1" s="1"/>
  <c r="AE179" i="1"/>
  <c r="AF179" i="1"/>
  <c r="AW179" i="1" s="1"/>
  <c r="AG179" i="1"/>
  <c r="AO179" i="1"/>
  <c r="AX179" i="1"/>
  <c r="L182" i="1"/>
  <c r="M182" i="1"/>
  <c r="N182" i="1"/>
  <c r="P182" i="1"/>
  <c r="S182" i="1"/>
  <c r="T182" i="1"/>
  <c r="V182" i="1"/>
  <c r="W182" i="1"/>
  <c r="X182" i="1"/>
  <c r="Z182" i="1"/>
  <c r="AA182" i="1"/>
  <c r="AB182" i="1"/>
  <c r="AC182" i="1"/>
  <c r="AD182" i="1"/>
  <c r="AE182" i="1"/>
  <c r="AF182" i="1"/>
  <c r="AG182" i="1"/>
  <c r="AH182" i="1"/>
  <c r="AI182" i="1"/>
  <c r="AJ182" i="1"/>
  <c r="AK182" i="1"/>
  <c r="AL182" i="1"/>
  <c r="AM182" i="1"/>
  <c r="L183" i="1"/>
  <c r="N183" i="1"/>
  <c r="O183" i="1"/>
  <c r="P183" i="1"/>
  <c r="R183" i="1"/>
  <c r="S183" i="1"/>
  <c r="T183" i="1"/>
  <c r="V183" i="1"/>
  <c r="W183" i="1"/>
  <c r="X183" i="1"/>
  <c r="Z183" i="1"/>
  <c r="AA183" i="1"/>
  <c r="AB183" i="1"/>
  <c r="AD183" i="1"/>
  <c r="AE183" i="1"/>
  <c r="AF183" i="1"/>
  <c r="AG183" i="1"/>
  <c r="AH183" i="1"/>
  <c r="AI183" i="1"/>
  <c r="AJ183" i="1"/>
  <c r="AK183" i="1"/>
  <c r="AL183" i="1"/>
  <c r="AM183" i="1"/>
  <c r="W184" i="1"/>
  <c r="AA184" i="1"/>
  <c r="AB184" i="1"/>
  <c r="AG184" i="1"/>
  <c r="AI184" i="1"/>
  <c r="AJ184" i="1"/>
  <c r="AL184" i="1"/>
  <c r="AM184" i="1"/>
  <c r="I187" i="1"/>
  <c r="J187" i="1"/>
  <c r="M187" i="1"/>
  <c r="N187" i="1"/>
  <c r="P187" i="1"/>
  <c r="S187" i="1"/>
  <c r="T187" i="1"/>
  <c r="W187" i="1"/>
  <c r="X187" i="1"/>
  <c r="Y187" i="1"/>
  <c r="Z187" i="1"/>
  <c r="AA187" i="1"/>
  <c r="AB187" i="1"/>
  <c r="AC187" i="1"/>
  <c r="AD187" i="1"/>
  <c r="AE187" i="1"/>
  <c r="AF187" i="1"/>
  <c r="AG187" i="1"/>
  <c r="AH187" i="1"/>
  <c r="AI187" i="1"/>
  <c r="AJ187" i="1"/>
  <c r="AK187" i="1"/>
  <c r="AL187" i="1"/>
  <c r="AM187" i="1"/>
  <c r="K188" i="1"/>
  <c r="L188" i="1"/>
  <c r="O188" i="1"/>
  <c r="P188" i="1"/>
  <c r="S188" i="1"/>
  <c r="T188" i="1"/>
  <c r="W188" i="1"/>
  <c r="X188" i="1"/>
  <c r="AA188" i="1"/>
  <c r="AB188" i="1"/>
  <c r="AC188" i="1"/>
  <c r="AD188" i="1"/>
  <c r="AE188" i="1"/>
  <c r="AF188" i="1"/>
  <c r="AG188" i="1"/>
  <c r="AH188" i="1"/>
  <c r="AI188" i="1"/>
  <c r="AJ188" i="1"/>
  <c r="AK188" i="1"/>
  <c r="AL188" i="1"/>
  <c r="AM188" i="1"/>
  <c r="AD189" i="1"/>
  <c r="AE189" i="1"/>
  <c r="AF189" i="1"/>
  <c r="AG189" i="1"/>
  <c r="AH189" i="1"/>
  <c r="AI189" i="1"/>
  <c r="AJ189" i="1"/>
  <c r="AM189" i="1"/>
  <c r="AQ192" i="1"/>
  <c r="AR192" i="1"/>
  <c r="AS192" i="1"/>
  <c r="AT192" i="1"/>
  <c r="AU192" i="1"/>
  <c r="AV192" i="1"/>
  <c r="AW192" i="1"/>
  <c r="AX192" i="1"/>
  <c r="AQ193" i="1"/>
  <c r="AR193" i="1"/>
  <c r="AS193" i="1"/>
  <c r="AT193" i="1"/>
  <c r="AT200" i="1" s="1"/>
  <c r="AU193" i="1"/>
  <c r="AU200" i="1" s="1"/>
  <c r="AV193" i="1"/>
  <c r="AV200" i="1" s="1"/>
  <c r="AW193" i="1"/>
  <c r="AX193" i="1"/>
  <c r="AX200" i="1" s="1"/>
  <c r="H194" i="1"/>
  <c r="I194" i="1"/>
  <c r="J194" i="1"/>
  <c r="J196" i="1" s="1"/>
  <c r="K194" i="1"/>
  <c r="K196" i="1" s="1"/>
  <c r="L194" i="1"/>
  <c r="AR194" i="1" s="1"/>
  <c r="M194" i="1"/>
  <c r="M196" i="1" s="1"/>
  <c r="N194" i="1"/>
  <c r="O194" i="1"/>
  <c r="P194" i="1"/>
  <c r="Q194" i="1"/>
  <c r="Q196" i="1" s="1"/>
  <c r="Q210" i="1" s="1"/>
  <c r="R194" i="1"/>
  <c r="S194" i="1"/>
  <c r="W201" i="1" s="1"/>
  <c r="T194" i="1"/>
  <c r="T196" i="1" s="1"/>
  <c r="U194" i="1"/>
  <c r="U196" i="1" s="1"/>
  <c r="V194" i="1"/>
  <c r="W194" i="1"/>
  <c r="X194" i="1"/>
  <c r="Y194" i="1"/>
  <c r="Z194" i="1"/>
  <c r="AU194" i="1" s="1"/>
  <c r="AA194" i="1"/>
  <c r="AB194" i="1"/>
  <c r="AB196" i="1" s="1"/>
  <c r="AC194" i="1"/>
  <c r="AC196" i="1" s="1"/>
  <c r="AD194" i="1"/>
  <c r="AE194" i="1"/>
  <c r="AF194" i="1"/>
  <c r="AG194" i="1"/>
  <c r="AG196" i="1" s="1"/>
  <c r="AG210" i="1" s="1"/>
  <c r="AH194" i="1"/>
  <c r="AH196" i="1" s="1"/>
  <c r="AI194" i="1"/>
  <c r="AJ194" i="1"/>
  <c r="AJ196" i="1" s="1"/>
  <c r="AK194" i="1"/>
  <c r="AK196" i="1" s="1"/>
  <c r="AL194" i="1"/>
  <c r="AM194" i="1"/>
  <c r="AM196" i="1" s="1"/>
  <c r="AM210" i="1" s="1"/>
  <c r="AO194" i="1"/>
  <c r="AP194" i="1"/>
  <c r="AQ194" i="1"/>
  <c r="AQ201" i="1" s="1"/>
  <c r="AQ195" i="1"/>
  <c r="AR195" i="1"/>
  <c r="AS195" i="1"/>
  <c r="AT195" i="1"/>
  <c r="AU195" i="1"/>
  <c r="AV195" i="1"/>
  <c r="AW195" i="1"/>
  <c r="AX195" i="1"/>
  <c r="H196" i="1"/>
  <c r="I196" i="1"/>
  <c r="I210" i="1" s="1"/>
  <c r="N196" i="1"/>
  <c r="O196" i="1"/>
  <c r="P196" i="1"/>
  <c r="V196" i="1"/>
  <c r="W196" i="1"/>
  <c r="X196" i="1"/>
  <c r="Y196" i="1"/>
  <c r="Z196" i="1"/>
  <c r="AA196" i="1"/>
  <c r="AD196" i="1"/>
  <c r="AD203" i="1" s="1"/>
  <c r="AE196" i="1"/>
  <c r="AE203" i="1" s="1"/>
  <c r="AF196" i="1"/>
  <c r="AL196" i="1"/>
  <c r="AO196" i="1"/>
  <c r="AP196" i="1"/>
  <c r="AQ197" i="1"/>
  <c r="AR197" i="1"/>
  <c r="AS197" i="1"/>
  <c r="AT197" i="1"/>
  <c r="AU197" i="1"/>
  <c r="AV197" i="1"/>
  <c r="L199" i="1"/>
  <c r="M199" i="1"/>
  <c r="N199" i="1"/>
  <c r="O199" i="1"/>
  <c r="P199" i="1"/>
  <c r="Q199" i="1"/>
  <c r="R199" i="1"/>
  <c r="S199" i="1"/>
  <c r="T199" i="1"/>
  <c r="U199" i="1"/>
  <c r="V199" i="1"/>
  <c r="W199" i="1"/>
  <c r="X199" i="1"/>
  <c r="Y199" i="1"/>
  <c r="Z199" i="1"/>
  <c r="AA199" i="1"/>
  <c r="AB199" i="1"/>
  <c r="AC199" i="1"/>
  <c r="AD199" i="1"/>
  <c r="AE199" i="1"/>
  <c r="AF199" i="1"/>
  <c r="AG199" i="1"/>
  <c r="AH199" i="1"/>
  <c r="AI199" i="1"/>
  <c r="AJ199" i="1"/>
  <c r="AK199" i="1"/>
  <c r="AL199" i="1"/>
  <c r="AM199" i="1"/>
  <c r="AP199" i="1"/>
  <c r="AQ199" i="1"/>
  <c r="AR199" i="1"/>
  <c r="AS199" i="1"/>
  <c r="AT199" i="1"/>
  <c r="AU199" i="1"/>
  <c r="AV199" i="1"/>
  <c r="L200" i="1"/>
  <c r="M200" i="1"/>
  <c r="N200" i="1"/>
  <c r="O200" i="1"/>
  <c r="P200" i="1"/>
  <c r="Q200" i="1"/>
  <c r="R200" i="1"/>
  <c r="S200" i="1"/>
  <c r="T200" i="1"/>
  <c r="U200" i="1"/>
  <c r="V200" i="1"/>
  <c r="W200" i="1"/>
  <c r="X200" i="1"/>
  <c r="Y200" i="1"/>
  <c r="Z200" i="1"/>
  <c r="AA200" i="1"/>
  <c r="AB200" i="1"/>
  <c r="AC200" i="1"/>
  <c r="AD200" i="1"/>
  <c r="AE200" i="1"/>
  <c r="AF200" i="1"/>
  <c r="AG200" i="1"/>
  <c r="AH200" i="1"/>
  <c r="AI200" i="1"/>
  <c r="AJ200" i="1"/>
  <c r="AK200" i="1"/>
  <c r="AL200" i="1"/>
  <c r="AM200" i="1"/>
  <c r="AP200" i="1"/>
  <c r="AQ200" i="1"/>
  <c r="AR200" i="1"/>
  <c r="AS200" i="1"/>
  <c r="L201" i="1"/>
  <c r="M201" i="1"/>
  <c r="N201" i="1"/>
  <c r="O201" i="1"/>
  <c r="P201" i="1"/>
  <c r="R201" i="1"/>
  <c r="S201" i="1"/>
  <c r="T201" i="1"/>
  <c r="U201" i="1"/>
  <c r="V201" i="1"/>
  <c r="Z201" i="1"/>
  <c r="AA201" i="1"/>
  <c r="AB201" i="1"/>
  <c r="AC201" i="1"/>
  <c r="AD201" i="1"/>
  <c r="AE201" i="1"/>
  <c r="AF201" i="1"/>
  <c r="AH201" i="1"/>
  <c r="AI201" i="1"/>
  <c r="AJ201" i="1"/>
  <c r="AK201" i="1"/>
  <c r="AL201" i="1"/>
  <c r="AP201" i="1"/>
  <c r="L202" i="1"/>
  <c r="M202" i="1"/>
  <c r="N202" i="1"/>
  <c r="O202" i="1"/>
  <c r="P202" i="1"/>
  <c r="Q202" i="1"/>
  <c r="R202" i="1"/>
  <c r="S202" i="1"/>
  <c r="T202" i="1"/>
  <c r="U202" i="1"/>
  <c r="V202" i="1"/>
  <c r="W202" i="1"/>
  <c r="X202" i="1"/>
  <c r="Y202" i="1"/>
  <c r="Z202" i="1"/>
  <c r="AA202" i="1"/>
  <c r="AB202" i="1"/>
  <c r="AC202" i="1"/>
  <c r="AD202" i="1"/>
  <c r="AE202" i="1"/>
  <c r="AF202" i="1"/>
  <c r="AG202" i="1"/>
  <c r="AH202" i="1"/>
  <c r="AI202" i="1"/>
  <c r="AJ202" i="1"/>
  <c r="AK202" i="1"/>
  <c r="AL202" i="1"/>
  <c r="AM202" i="1"/>
  <c r="AP202" i="1"/>
  <c r="AQ202" i="1"/>
  <c r="AR202" i="1"/>
  <c r="AS202" i="1"/>
  <c r="AT202" i="1"/>
  <c r="AU202" i="1"/>
  <c r="AV202" i="1"/>
  <c r="AW202" i="1"/>
  <c r="AX202" i="1"/>
  <c r="Z203" i="1"/>
  <c r="AA203" i="1"/>
  <c r="AP203" i="1"/>
  <c r="I206" i="1"/>
  <c r="J206" i="1"/>
  <c r="K206" i="1"/>
  <c r="L206" i="1"/>
  <c r="M206" i="1"/>
  <c r="N206" i="1"/>
  <c r="O206" i="1"/>
  <c r="P206" i="1"/>
  <c r="Q206" i="1"/>
  <c r="R206" i="1"/>
  <c r="S206" i="1"/>
  <c r="T206" i="1"/>
  <c r="U206" i="1"/>
  <c r="V206" i="1"/>
  <c r="W206" i="1"/>
  <c r="X206" i="1"/>
  <c r="Y206" i="1"/>
  <c r="Z206" i="1"/>
  <c r="AA206" i="1"/>
  <c r="AB206" i="1"/>
  <c r="AC206" i="1"/>
  <c r="AD206" i="1"/>
  <c r="AE206" i="1"/>
  <c r="AF206" i="1"/>
  <c r="AG206" i="1"/>
  <c r="AH206" i="1"/>
  <c r="AI206" i="1"/>
  <c r="AJ206" i="1"/>
  <c r="AK206" i="1"/>
  <c r="AL206" i="1"/>
  <c r="AM206" i="1"/>
  <c r="I207" i="1"/>
  <c r="J207" i="1"/>
  <c r="K207" i="1"/>
  <c r="L207" i="1"/>
  <c r="M207" i="1"/>
  <c r="N207" i="1"/>
  <c r="O207" i="1"/>
  <c r="P207" i="1"/>
  <c r="Q207" i="1"/>
  <c r="R207" i="1"/>
  <c r="S207" i="1"/>
  <c r="T207" i="1"/>
  <c r="U207" i="1"/>
  <c r="V207" i="1"/>
  <c r="W207" i="1"/>
  <c r="X207" i="1"/>
  <c r="Y207" i="1"/>
  <c r="Z207" i="1"/>
  <c r="AA207" i="1"/>
  <c r="AB207" i="1"/>
  <c r="AC207" i="1"/>
  <c r="AD207" i="1"/>
  <c r="AE207" i="1"/>
  <c r="AF207" i="1"/>
  <c r="AG207" i="1"/>
  <c r="AH207" i="1"/>
  <c r="AI207" i="1"/>
  <c r="AJ207" i="1"/>
  <c r="AK207" i="1"/>
  <c r="AL207" i="1"/>
  <c r="AM207" i="1"/>
  <c r="I208" i="1"/>
  <c r="J208" i="1"/>
  <c r="K208" i="1"/>
  <c r="L208" i="1"/>
  <c r="M208" i="1"/>
  <c r="N208" i="1"/>
  <c r="O208" i="1"/>
  <c r="P208" i="1"/>
  <c r="Q208" i="1"/>
  <c r="R208" i="1"/>
  <c r="S208" i="1"/>
  <c r="T208" i="1"/>
  <c r="U208" i="1"/>
  <c r="W208" i="1"/>
  <c r="X208" i="1"/>
  <c r="Y208" i="1"/>
  <c r="Z208" i="1"/>
  <c r="AA208" i="1"/>
  <c r="AB208" i="1"/>
  <c r="AC208" i="1"/>
  <c r="AD208" i="1"/>
  <c r="AE208" i="1"/>
  <c r="AF208" i="1"/>
  <c r="AG208" i="1"/>
  <c r="AH208" i="1"/>
  <c r="AI208" i="1"/>
  <c r="AJ208" i="1"/>
  <c r="AK208" i="1"/>
  <c r="AM208" i="1"/>
  <c r="I209" i="1"/>
  <c r="J209" i="1"/>
  <c r="K209" i="1"/>
  <c r="L209" i="1"/>
  <c r="M209" i="1"/>
  <c r="N209" i="1"/>
  <c r="O209" i="1"/>
  <c r="P209" i="1"/>
  <c r="Q209" i="1"/>
  <c r="R209" i="1"/>
  <c r="S209" i="1"/>
  <c r="T209" i="1"/>
  <c r="U209" i="1"/>
  <c r="V209" i="1"/>
  <c r="W209" i="1"/>
  <c r="X209" i="1"/>
  <c r="Y209" i="1"/>
  <c r="Z209" i="1"/>
  <c r="AA209" i="1"/>
  <c r="AB209" i="1"/>
  <c r="AC209" i="1"/>
  <c r="AD209" i="1"/>
  <c r="AE209" i="1"/>
  <c r="AF209" i="1"/>
  <c r="AG209" i="1"/>
  <c r="AH209" i="1"/>
  <c r="AI209" i="1"/>
  <c r="AJ209" i="1"/>
  <c r="AK209" i="1"/>
  <c r="AL209" i="1"/>
  <c r="AM209" i="1"/>
  <c r="O210" i="1"/>
  <c r="P210" i="1"/>
  <c r="W210" i="1"/>
  <c r="X210" i="1"/>
  <c r="Y210" i="1"/>
  <c r="Z210" i="1"/>
  <c r="AA210" i="1"/>
  <c r="AE210" i="1"/>
  <c r="AF210" i="1"/>
  <c r="L219" i="1"/>
  <c r="T215" i="1"/>
  <c r="T217" i="1" s="1"/>
  <c r="U215" i="1"/>
  <c r="AT215" i="1" s="1"/>
  <c r="V215" i="1"/>
  <c r="W215" i="1"/>
  <c r="AP215" i="1"/>
  <c r="AQ215" i="1"/>
  <c r="AU215" i="1"/>
  <c r="AV215" i="1"/>
  <c r="AW215" i="1"/>
  <c r="AX215" i="1"/>
  <c r="AJ217" i="1"/>
  <c r="AK217" i="1"/>
  <c r="AK219" i="1" s="1"/>
  <c r="AL217" i="1"/>
  <c r="AL219" i="1" s="1"/>
  <c r="AM217" i="1"/>
  <c r="AQ216" i="1"/>
  <c r="AR216" i="1"/>
  <c r="AS216" i="1"/>
  <c r="AT216" i="1"/>
  <c r="AU216" i="1"/>
  <c r="AV216" i="1"/>
  <c r="AW216" i="1"/>
  <c r="AX216" i="1"/>
  <c r="U217" i="1"/>
  <c r="V217" i="1"/>
  <c r="V219" i="1" s="1"/>
  <c r="W217" i="1"/>
  <c r="W219" i="1" s="1"/>
  <c r="X217" i="1"/>
  <c r="Y217" i="1"/>
  <c r="Y219" i="1" s="1"/>
  <c r="Z217" i="1"/>
  <c r="AA217" i="1"/>
  <c r="AB217" i="1"/>
  <c r="AC217" i="1"/>
  <c r="AD217" i="1"/>
  <c r="AE217" i="1"/>
  <c r="AE219" i="1" s="1"/>
  <c r="AF217" i="1"/>
  <c r="AW217" i="1" s="1"/>
  <c r="AG217" i="1"/>
  <c r="AG219" i="1" s="1"/>
  <c r="AH217" i="1"/>
  <c r="AH219" i="1" s="1"/>
  <c r="AI217" i="1"/>
  <c r="AI219" i="1" s="1"/>
  <c r="AP217" i="1"/>
  <c r="AQ217" i="1"/>
  <c r="AQ218" i="1"/>
  <c r="AR218" i="1"/>
  <c r="AS218" i="1"/>
  <c r="AT218" i="1"/>
  <c r="AU218" i="1"/>
  <c r="AV218" i="1"/>
  <c r="AW218" i="1"/>
  <c r="AX218" i="1"/>
  <c r="U219" i="1"/>
  <c r="Z219" i="1"/>
  <c r="AA219" i="1"/>
  <c r="AB219" i="1"/>
  <c r="AC219" i="1"/>
  <c r="AD219" i="1"/>
  <c r="AM219" i="1"/>
  <c r="AP219" i="1"/>
  <c r="AQ219" i="1"/>
  <c r="AA189" i="1" l="1"/>
  <c r="O182" i="1"/>
  <c r="L187" i="1"/>
  <c r="AU182" i="1"/>
  <c r="K187" i="1"/>
  <c r="S189" i="1"/>
  <c r="AT177" i="1"/>
  <c r="AM398" i="1"/>
  <c r="AM400" i="1" s="1"/>
  <c r="AR182" i="1"/>
  <c r="AL189" i="1"/>
  <c r="N179" i="1"/>
  <c r="O189" i="1" s="1"/>
  <c r="AX149" i="1"/>
  <c r="AX148" i="1"/>
  <c r="AK189" i="1"/>
  <c r="AK184" i="1"/>
  <c r="P184" i="1"/>
  <c r="AQ177" i="1"/>
  <c r="Y182" i="1"/>
  <c r="S159" i="1"/>
  <c r="AM150" i="1"/>
  <c r="V150" i="1"/>
  <c r="AM201" i="1"/>
  <c r="V187" i="1"/>
  <c r="U187" i="1"/>
  <c r="O187" i="1"/>
  <c r="X184" i="1"/>
  <c r="AX182" i="1"/>
  <c r="AQ196" i="1"/>
  <c r="AQ203" i="1" s="1"/>
  <c r="K210" i="1"/>
  <c r="O203" i="1"/>
  <c r="J174" i="1"/>
  <c r="U104" i="1"/>
  <c r="P80" i="1"/>
  <c r="P614" i="1"/>
  <c r="P617" i="1" s="1"/>
  <c r="P81" i="1" s="1"/>
  <c r="J210" i="1"/>
  <c r="N203" i="1"/>
  <c r="N151" i="1"/>
  <c r="K158" i="1"/>
  <c r="U188" i="1"/>
  <c r="V188" i="1"/>
  <c r="U179" i="1"/>
  <c r="U189" i="1" s="1"/>
  <c r="AT178" i="1"/>
  <c r="AT163" i="1"/>
  <c r="U164" i="1"/>
  <c r="U173" i="1"/>
  <c r="V173" i="1"/>
  <c r="U168" i="1"/>
  <c r="Y168" i="1"/>
  <c r="AQ614" i="1"/>
  <c r="AQ617" i="1" s="1"/>
  <c r="AQ81" i="1" s="1"/>
  <c r="AQ80" i="1"/>
  <c r="AQ105" i="1" s="1"/>
  <c r="T219" i="1"/>
  <c r="AT219" i="1" s="1"/>
  <c r="AT217" i="1"/>
  <c r="T159" i="1"/>
  <c r="AJ51" i="1"/>
  <c r="AJ57" i="1"/>
  <c r="L61" i="1"/>
  <c r="L59" i="1"/>
  <c r="M169" i="1"/>
  <c r="Y142" i="1"/>
  <c r="AU178" i="1"/>
  <c r="Z188" i="1"/>
  <c r="Y179" i="1"/>
  <c r="AU179" i="1" s="1"/>
  <c r="AV184" i="1" s="1"/>
  <c r="Y183" i="1"/>
  <c r="AC183" i="1"/>
  <c r="Y188" i="1"/>
  <c r="AS169" i="1"/>
  <c r="J59" i="1"/>
  <c r="J61" i="1"/>
  <c r="J67" i="1" s="1"/>
  <c r="J85" i="1" s="1"/>
  <c r="AD612" i="1"/>
  <c r="X612" i="1"/>
  <c r="X614" i="1" s="1"/>
  <c r="X617" i="1" s="1"/>
  <c r="X81" i="1" s="1"/>
  <c r="H24" i="56"/>
  <c r="AH66" i="1"/>
  <c r="AI66" i="1" s="1"/>
  <c r="AW66" i="1" s="1"/>
  <c r="AU217" i="1"/>
  <c r="AC108" i="1"/>
  <c r="AV45" i="1"/>
  <c r="AI169" i="1"/>
  <c r="S169" i="1"/>
  <c r="K113" i="1"/>
  <c r="K114" i="1" s="1"/>
  <c r="AX99" i="1"/>
  <c r="AO612" i="1"/>
  <c r="AC612" i="1"/>
  <c r="AC614" i="1" s="1"/>
  <c r="AC617" i="1" s="1"/>
  <c r="AC81" i="1" s="1"/>
  <c r="W612" i="1"/>
  <c r="W80" i="1" s="1"/>
  <c r="V58" i="1"/>
  <c r="AG53" i="1"/>
  <c r="AS194" i="1"/>
  <c r="AS201" i="1" s="1"/>
  <c r="AH169" i="1"/>
  <c r="R169" i="1"/>
  <c r="AA129" i="1"/>
  <c r="Y104" i="1"/>
  <c r="P113" i="1"/>
  <c r="AA150" i="1"/>
  <c r="W108" i="1"/>
  <c r="V612" i="1"/>
  <c r="V80" i="1" s="1"/>
  <c r="J612" i="1"/>
  <c r="J80" i="1" s="1"/>
  <c r="AE53" i="1"/>
  <c r="AT52" i="1"/>
  <c r="AX217" i="1"/>
  <c r="AY215" i="1" s="1"/>
  <c r="AG201" i="1"/>
  <c r="Q201" i="1"/>
  <c r="AU196" i="1"/>
  <c r="AU203" i="1" s="1"/>
  <c r="V184" i="1"/>
  <c r="AF169" i="1"/>
  <c r="P169" i="1"/>
  <c r="Z150" i="1"/>
  <c r="N108" i="1"/>
  <c r="AX96" i="1"/>
  <c r="AG612" i="1"/>
  <c r="AW75" i="1"/>
  <c r="AD47" i="1"/>
  <c r="AC50" i="1"/>
  <c r="M50" i="1"/>
  <c r="X219" i="1"/>
  <c r="AU219" i="1" s="1"/>
  <c r="T184" i="1"/>
  <c r="AX184" i="1"/>
  <c r="AE169" i="1"/>
  <c r="O169" i="1"/>
  <c r="AV164" i="1"/>
  <c r="AR162" i="1"/>
  <c r="W150" i="1"/>
  <c r="AD108" i="1"/>
  <c r="AW99" i="1"/>
  <c r="I612" i="1"/>
  <c r="AV52" i="1"/>
  <c r="AC47" i="1"/>
  <c r="AC59" i="1" s="1"/>
  <c r="AW45" i="1"/>
  <c r="AB50" i="1"/>
  <c r="L50" i="1"/>
  <c r="AW199" i="1"/>
  <c r="S184" i="1"/>
  <c r="H164" i="1"/>
  <c r="AQ164" i="1" s="1"/>
  <c r="AQ169" i="1" s="1"/>
  <c r="AB157" i="1"/>
  <c r="AM145" i="1"/>
  <c r="AM159" i="1" s="1"/>
  <c r="S157" i="1"/>
  <c r="AW96" i="1"/>
  <c r="AW71" i="1"/>
  <c r="AD66" i="1"/>
  <c r="AD102" i="1" s="1"/>
  <c r="AD56" i="1"/>
  <c r="AL51" i="1"/>
  <c r="AB47" i="1"/>
  <c r="AP51" i="1"/>
  <c r="AW42" i="1"/>
  <c r="S196" i="1"/>
  <c r="AA157" i="1"/>
  <c r="AK51" i="1"/>
  <c r="Z47" i="1"/>
  <c r="AI52" i="1"/>
  <c r="AQ41" i="1"/>
  <c r="R196" i="1"/>
  <c r="AR201" i="1"/>
  <c r="O184" i="1"/>
  <c r="W145" i="1"/>
  <c r="W152" i="1" s="1"/>
  <c r="K141" i="1"/>
  <c r="O148" i="1" s="1"/>
  <c r="Z86" i="1"/>
  <c r="AE58" i="1"/>
  <c r="AF52" i="1"/>
  <c r="AP50" i="1"/>
  <c r="Q47" i="1"/>
  <c r="Q53" i="1" s="1"/>
  <c r="AM51" i="1"/>
  <c r="AP41" i="1"/>
  <c r="AT194" i="1"/>
  <c r="AT201" i="1" s="1"/>
  <c r="AV179" i="1"/>
  <c r="AK151" i="1"/>
  <c r="AG145" i="1"/>
  <c r="AH159" i="1" s="1"/>
  <c r="T104" i="1"/>
  <c r="W104" i="1" s="1"/>
  <c r="Q612" i="1"/>
  <c r="Q80" i="1" s="1"/>
  <c r="AD58" i="1"/>
  <c r="V57" i="1"/>
  <c r="AA56" i="1"/>
  <c r="AE52" i="1"/>
  <c r="AF51" i="1"/>
  <c r="AD50" i="1"/>
  <c r="P47" i="1"/>
  <c r="P53" i="1" s="1"/>
  <c r="AM52" i="1"/>
  <c r="AI440" i="1"/>
  <c r="AI442" i="1" s="1"/>
  <c r="AI44" i="1" s="1"/>
  <c r="AW44" i="1" s="1"/>
  <c r="AU201" i="1"/>
  <c r="W151" i="1"/>
  <c r="AF157" i="1"/>
  <c r="AW129" i="1"/>
  <c r="W113" i="1"/>
  <c r="W114" i="1" s="1"/>
  <c r="U108" i="1"/>
  <c r="H86" i="1"/>
  <c r="Z609" i="1"/>
  <c r="Z612" i="1" s="1"/>
  <c r="Z80" i="1" s="1"/>
  <c r="Q57" i="1"/>
  <c r="Z56" i="1"/>
  <c r="O47" i="1"/>
  <c r="O53" i="1" s="1"/>
  <c r="AX45" i="1"/>
  <c r="AH440" i="1"/>
  <c r="S47" i="1"/>
  <c r="AV217" i="1"/>
  <c r="AW200" i="1"/>
  <c r="AD184" i="1"/>
  <c r="R108" i="1"/>
  <c r="S108" i="1" s="1"/>
  <c r="J87" i="1"/>
  <c r="AV599" i="1"/>
  <c r="AV66" i="1" s="1"/>
  <c r="AV102" i="1" s="1"/>
  <c r="AD51" i="1"/>
  <c r="AL52" i="1"/>
  <c r="AA47" i="1"/>
  <c r="K47" i="1"/>
  <c r="R47" i="1"/>
  <c r="Y201" i="1"/>
  <c r="AI196" i="1"/>
  <c r="AW196" i="1" s="1"/>
  <c r="R167" i="1"/>
  <c r="AB108" i="1"/>
  <c r="L108" i="1"/>
  <c r="O108" i="1" s="1"/>
  <c r="J108" i="1"/>
  <c r="J104" i="1" s="1"/>
  <c r="AX97" i="1"/>
  <c r="AA91" i="1"/>
  <c r="V86" i="1"/>
  <c r="K24" i="56"/>
  <c r="AP57" i="1"/>
  <c r="AB51" i="1"/>
  <c r="W50" i="1"/>
  <c r="AG50" i="1"/>
  <c r="Q50" i="1"/>
  <c r="AM402" i="1"/>
  <c r="AM404" i="1" s="1"/>
  <c r="AM40" i="1" s="1"/>
  <c r="X201" i="1"/>
  <c r="O172" i="1"/>
  <c r="Q108" i="1"/>
  <c r="Z91" i="1"/>
  <c r="U86" i="1"/>
  <c r="Y612" i="1"/>
  <c r="AV241" i="1"/>
  <c r="AO57" i="1"/>
  <c r="T50" i="1"/>
  <c r="AK52" i="1"/>
  <c r="P50" i="1"/>
  <c r="AJ219" i="1"/>
  <c r="AX219" i="1" s="1"/>
  <c r="AL208" i="1"/>
  <c r="V208" i="1"/>
  <c r="W189" i="1"/>
  <c r="N141" i="1"/>
  <c r="O155" i="1" s="1"/>
  <c r="I141" i="1"/>
  <c r="I143" i="1" s="1"/>
  <c r="I145" i="1" s="1"/>
  <c r="AW102" i="1"/>
  <c r="AW97" i="1"/>
  <c r="Y91" i="1"/>
  <c r="AM57" i="1"/>
  <c r="S50" i="1"/>
  <c r="AE50" i="1"/>
  <c r="O50" i="1"/>
  <c r="Q374" i="1"/>
  <c r="AS141" i="1"/>
  <c r="Q148" i="1"/>
  <c r="Q155" i="1"/>
  <c r="R155" i="1"/>
  <c r="Q142" i="1"/>
  <c r="Q183" i="1"/>
  <c r="Q188" i="1"/>
  <c r="R188" i="1"/>
  <c r="AS178" i="1"/>
  <c r="U183" i="1"/>
  <c r="U374" i="1"/>
  <c r="V155" i="1"/>
  <c r="Y148" i="1"/>
  <c r="AT141" i="1"/>
  <c r="U148" i="1"/>
  <c r="U155" i="1"/>
  <c r="AK152" i="1"/>
  <c r="AL159" i="1"/>
  <c r="AI159" i="1"/>
  <c r="M179" i="1"/>
  <c r="N188" i="1"/>
  <c r="AR178" i="1"/>
  <c r="M142" i="1"/>
  <c r="M188" i="1"/>
  <c r="M183" i="1"/>
  <c r="AL152" i="1"/>
  <c r="AL440" i="1"/>
  <c r="AL442" i="1" s="1"/>
  <c r="AL44" i="1" s="1"/>
  <c r="AH442" i="1"/>
  <c r="AH44" i="1" s="1"/>
  <c r="AH50" i="1" s="1"/>
  <c r="AT241" i="1"/>
  <c r="AC189" i="1"/>
  <c r="Q182" i="1"/>
  <c r="AX143" i="1"/>
  <c r="AB189" i="1"/>
  <c r="L189" i="1"/>
  <c r="AS177" i="1"/>
  <c r="AS182" i="1" s="1"/>
  <c r="X150" i="1"/>
  <c r="J188" i="1"/>
  <c r="I179" i="1"/>
  <c r="AQ179" i="1" s="1"/>
  <c r="I188" i="1"/>
  <c r="P145" i="1"/>
  <c r="T152" i="1" s="1"/>
  <c r="AO142" i="1"/>
  <c r="AK150" i="1"/>
  <c r="X189" i="1"/>
  <c r="AV182" i="1"/>
  <c r="AJ150" i="1"/>
  <c r="T150" i="1"/>
  <c r="AX199" i="1"/>
  <c r="AI150" i="1"/>
  <c r="S150" i="1"/>
  <c r="AU241" i="1"/>
  <c r="U142" i="1"/>
  <c r="AV219" i="1"/>
  <c r="AH150" i="1"/>
  <c r="H141" i="1"/>
  <c r="H143" i="1" s="1"/>
  <c r="AP241" i="1"/>
  <c r="AL157" i="1"/>
  <c r="AG150" i="1"/>
  <c r="AV143" i="1"/>
  <c r="R187" i="1"/>
  <c r="AK157" i="1"/>
  <c r="AF150" i="1"/>
  <c r="Q187" i="1"/>
  <c r="Q179" i="1"/>
  <c r="AJ157" i="1"/>
  <c r="T157" i="1"/>
  <c r="AJ145" i="1"/>
  <c r="AK159" i="1" s="1"/>
  <c r="L141" i="1"/>
  <c r="L143" i="1" s="1"/>
  <c r="AF184" i="1"/>
  <c r="AS179" i="1"/>
  <c r="AQ178" i="1"/>
  <c r="AI157" i="1"/>
  <c r="AW143" i="1"/>
  <c r="G30" i="278"/>
  <c r="N30" i="278" s="1"/>
  <c r="N16" i="278"/>
  <c r="U182" i="1"/>
  <c r="AH157" i="1"/>
  <c r="J156" i="1"/>
  <c r="AG157" i="1"/>
  <c r="I156" i="1"/>
  <c r="AL398" i="1"/>
  <c r="AL400" i="1" s="1"/>
  <c r="AL402" i="1" s="1"/>
  <c r="AL404" i="1" s="1"/>
  <c r="AL40" i="1" s="1"/>
  <c r="AQ241" i="1"/>
  <c r="AQ142" i="1"/>
  <c r="AO143" i="1"/>
  <c r="AO145" i="1" s="1"/>
  <c r="AO80" i="1"/>
  <c r="AO614" i="1"/>
  <c r="AO617" i="1" s="1"/>
  <c r="AO81" i="1" s="1"/>
  <c r="AF114" i="1"/>
  <c r="AF104" i="1"/>
  <c r="AG104" i="1"/>
  <c r="P114" i="1"/>
  <c r="P104" i="1"/>
  <c r="M104" i="1"/>
  <c r="L114" i="1"/>
  <c r="L104" i="1"/>
  <c r="H104" i="1"/>
  <c r="H114" i="1"/>
  <c r="AK203" i="1"/>
  <c r="AK210" i="1"/>
  <c r="AL210" i="1"/>
  <c r="U203" i="1"/>
  <c r="Y203" i="1"/>
  <c r="U210" i="1"/>
  <c r="V210" i="1"/>
  <c r="AQ144" i="1"/>
  <c r="AQ151" i="1" s="1"/>
  <c r="I158" i="1"/>
  <c r="J158" i="1"/>
  <c r="AT80" i="1"/>
  <c r="AT105" i="1" s="1"/>
  <c r="AT614" i="1"/>
  <c r="AT617" i="1" s="1"/>
  <c r="AT81" i="1" s="1"/>
  <c r="R80" i="1"/>
  <c r="R614" i="1"/>
  <c r="R617" i="1" s="1"/>
  <c r="R81" i="1" s="1"/>
  <c r="AX196" i="1"/>
  <c r="AJ203" i="1"/>
  <c r="AG158" i="1"/>
  <c r="AF145" i="1"/>
  <c r="AF151" i="1"/>
  <c r="AW144" i="1"/>
  <c r="AJ151" i="1"/>
  <c r="AF158" i="1"/>
  <c r="AP182" i="1"/>
  <c r="AQ182" i="1"/>
  <c r="L155" i="1"/>
  <c r="AR141" i="1"/>
  <c r="AS614" i="1"/>
  <c r="AS617" i="1" s="1"/>
  <c r="AS81" i="1" s="1"/>
  <c r="AS80" i="1"/>
  <c r="AS105" i="1" s="1"/>
  <c r="AB614" i="1"/>
  <c r="AB617" i="1" s="1"/>
  <c r="AB81" i="1" s="1"/>
  <c r="AB80" i="1"/>
  <c r="I614" i="1"/>
  <c r="I617" i="1" s="1"/>
  <c r="I81" i="1" s="1"/>
  <c r="I80" i="1"/>
  <c r="AE145" i="1"/>
  <c r="AE151" i="1"/>
  <c r="AI151" i="1"/>
  <c r="AE158" i="1"/>
  <c r="K143" i="1"/>
  <c r="AO105" i="1"/>
  <c r="AB86" i="1"/>
  <c r="AC86" i="1"/>
  <c r="AD86" i="1"/>
  <c r="AE86" i="1"/>
  <c r="AD145" i="1"/>
  <c r="AD151" i="1"/>
  <c r="AH151" i="1"/>
  <c r="AD158" i="1"/>
  <c r="Q158" i="1"/>
  <c r="R158" i="1"/>
  <c r="AS144" i="1"/>
  <c r="Q151" i="1"/>
  <c r="U151" i="1"/>
  <c r="N114" i="1"/>
  <c r="N104" i="1"/>
  <c r="AR80" i="1"/>
  <c r="AR105" i="1" s="1"/>
  <c r="AR614" i="1"/>
  <c r="AR617" i="1" s="1"/>
  <c r="AR81" i="1" s="1"/>
  <c r="AA80" i="1"/>
  <c r="AA614" i="1"/>
  <c r="AA617" i="1" s="1"/>
  <c r="AA81" i="1" s="1"/>
  <c r="H614" i="1"/>
  <c r="H617" i="1" s="1"/>
  <c r="H81" i="1" s="1"/>
  <c r="H80" i="1"/>
  <c r="AC145" i="1"/>
  <c r="AC151" i="1"/>
  <c r="AG151" i="1"/>
  <c r="AC158" i="1"/>
  <c r="AP141" i="1"/>
  <c r="AB104" i="1"/>
  <c r="U614" i="1"/>
  <c r="U617" i="1" s="1"/>
  <c r="U81" i="1" s="1"/>
  <c r="U80" i="1"/>
  <c r="U105" i="1" s="1"/>
  <c r="AB145" i="1"/>
  <c r="AB151" i="1"/>
  <c r="AV144" i="1"/>
  <c r="AB158" i="1"/>
  <c r="J143" i="1"/>
  <c r="Q114" i="1"/>
  <c r="Q104" i="1"/>
  <c r="R104" i="1"/>
  <c r="T203" i="1"/>
  <c r="X203" i="1"/>
  <c r="T210" i="1"/>
  <c r="AT196" i="1"/>
  <c r="AW184" i="1"/>
  <c r="AA145" i="1"/>
  <c r="AA151" i="1"/>
  <c r="AA158" i="1"/>
  <c r="O145" i="1"/>
  <c r="O151" i="1"/>
  <c r="S151" i="1"/>
  <c r="O158" i="1"/>
  <c r="P158" i="1"/>
  <c r="AH203" i="1"/>
  <c r="AL203" i="1"/>
  <c r="AH210" i="1"/>
  <c r="AI210" i="1"/>
  <c r="Q203" i="1"/>
  <c r="N210" i="1"/>
  <c r="M203" i="1"/>
  <c r="Z151" i="1"/>
  <c r="Z158" i="1"/>
  <c r="Z145" i="1"/>
  <c r="AC104" i="1"/>
  <c r="AD104" i="1"/>
  <c r="AC114" i="1"/>
  <c r="I114" i="1"/>
  <c r="AB91" i="1"/>
  <c r="AC91" i="1"/>
  <c r="AD91" i="1"/>
  <c r="AE91" i="1"/>
  <c r="J89" i="1"/>
  <c r="AE80" i="1"/>
  <c r="AE614" i="1"/>
  <c r="AE617" i="1" s="1"/>
  <c r="AE81" i="1" s="1"/>
  <c r="AF203" i="1"/>
  <c r="AB210" i="1"/>
  <c r="AB203" i="1"/>
  <c r="AV196" i="1"/>
  <c r="Y151" i="1"/>
  <c r="Y158" i="1"/>
  <c r="N155" i="1"/>
  <c r="R148" i="1"/>
  <c r="X104" i="1"/>
  <c r="X114" i="1"/>
  <c r="AD614" i="1"/>
  <c r="AD617" i="1" s="1"/>
  <c r="AD81" i="1" s="1"/>
  <c r="AD80" i="1"/>
  <c r="T80" i="1"/>
  <c r="T105" i="1" s="1"/>
  <c r="T614" i="1"/>
  <c r="T617" i="1" s="1"/>
  <c r="T81" i="1" s="1"/>
  <c r="X158" i="1"/>
  <c r="AU144" i="1"/>
  <c r="X145" i="1"/>
  <c r="X151" i="1"/>
  <c r="M151" i="1"/>
  <c r="M158" i="1"/>
  <c r="N158" i="1"/>
  <c r="Y614" i="1"/>
  <c r="Y617" i="1" s="1"/>
  <c r="Y81" i="1" s="1"/>
  <c r="Y80" i="1"/>
  <c r="Y105" i="1" s="1"/>
  <c r="L151" i="1"/>
  <c r="AR144" i="1"/>
  <c r="AR151" i="1" s="1"/>
  <c r="P151" i="1"/>
  <c r="L158" i="1"/>
  <c r="AP80" i="1"/>
  <c r="AP105" i="1" s="1"/>
  <c r="AP614" i="1"/>
  <c r="AP617" i="1" s="1"/>
  <c r="AP81" i="1" s="1"/>
  <c r="K80" i="1"/>
  <c r="K614" i="1"/>
  <c r="K617" i="1" s="1"/>
  <c r="K81" i="1" s="1"/>
  <c r="O80" i="1"/>
  <c r="O614" i="1"/>
  <c r="O617" i="1" s="1"/>
  <c r="O81" i="1" s="1"/>
  <c r="AG203" i="1"/>
  <c r="AC210" i="1"/>
  <c r="AD210" i="1"/>
  <c r="AC203" i="1"/>
  <c r="V158" i="1"/>
  <c r="W158" i="1"/>
  <c r="AT144" i="1"/>
  <c r="AT151" i="1" s="1"/>
  <c r="V145" i="1"/>
  <c r="V151" i="1"/>
  <c r="AE108" i="1"/>
  <c r="AA108" i="1"/>
  <c r="AI77" i="1"/>
  <c r="AJ77" i="1" s="1"/>
  <c r="M219" i="1"/>
  <c r="AX194" i="1"/>
  <c r="T91" i="1"/>
  <c r="AF80" i="1"/>
  <c r="AV57" i="1"/>
  <c r="AV51" i="1"/>
  <c r="AW194" i="1"/>
  <c r="AW201" i="1" s="1"/>
  <c r="AI111" i="1"/>
  <c r="M614" i="1"/>
  <c r="M617" i="1" s="1"/>
  <c r="M81" i="1" s="1"/>
  <c r="M80" i="1"/>
  <c r="AR42" i="1"/>
  <c r="AR41" i="1"/>
  <c r="AS41" i="1"/>
  <c r="L217" i="1"/>
  <c r="AV194" i="1"/>
  <c r="AV201" i="1" s="1"/>
  <c r="T86" i="1"/>
  <c r="L196" i="1"/>
  <c r="M210" i="1" s="1"/>
  <c r="AP178" i="1"/>
  <c r="AP179" i="1" s="1"/>
  <c r="AF219" i="1"/>
  <c r="AW219" i="1" s="1"/>
  <c r="V614" i="1"/>
  <c r="V617" i="1" s="1"/>
  <c r="V81" i="1" s="1"/>
  <c r="S612" i="1"/>
  <c r="AR241" i="1"/>
  <c r="AW57" i="1"/>
  <c r="AW51" i="1"/>
  <c r="V104" i="1"/>
  <c r="L614" i="1"/>
  <c r="L617" i="1" s="1"/>
  <c r="L81" i="1" s="1"/>
  <c r="AO59" i="1"/>
  <c r="AO61" i="1"/>
  <c r="U114" i="1"/>
  <c r="Z104" i="1"/>
  <c r="I108" i="1"/>
  <c r="K108" i="1" s="1"/>
  <c r="J73" i="1"/>
  <c r="J76" i="1" s="1"/>
  <c r="J78" i="1" s="1"/>
  <c r="J69" i="1"/>
  <c r="AX241" i="1"/>
  <c r="AX57" i="1"/>
  <c r="AX51" i="1"/>
  <c r="AU566" i="1"/>
  <c r="AU572" i="1" s="1"/>
  <c r="AU575" i="1" s="1"/>
  <c r="AU578" i="1" s="1"/>
  <c r="AU608" i="1" s="1"/>
  <c r="AU612" i="1" s="1"/>
  <c r="AU40" i="1"/>
  <c r="N80" i="1"/>
  <c r="AA59" i="1"/>
  <c r="AA61" i="1"/>
  <c r="K59" i="1"/>
  <c r="K61" i="1"/>
  <c r="K91" i="1"/>
  <c r="J614" i="1"/>
  <c r="J617" i="1" s="1"/>
  <c r="J81" i="1" s="1"/>
  <c r="W91" i="1"/>
  <c r="J91" i="1"/>
  <c r="J92" i="1" s="1"/>
  <c r="L64" i="1"/>
  <c r="L67" i="1"/>
  <c r="L63" i="1"/>
  <c r="V91" i="1"/>
  <c r="I91" i="1"/>
  <c r="K86" i="1"/>
  <c r="Q614" i="1"/>
  <c r="Q617" i="1" s="1"/>
  <c r="Q81" i="1" s="1"/>
  <c r="S53" i="1"/>
  <c r="S61" i="1"/>
  <c r="S59" i="1"/>
  <c r="Z614" i="1"/>
  <c r="Z617" i="1" s="1"/>
  <c r="Z81" i="1" s="1"/>
  <c r="AS241" i="1"/>
  <c r="R53" i="1"/>
  <c r="R61" i="1"/>
  <c r="R59" i="1"/>
  <c r="U51" i="1"/>
  <c r="J63" i="1"/>
  <c r="AT58" i="1"/>
  <c r="T51" i="1"/>
  <c r="Y50" i="1"/>
  <c r="AV47" i="1"/>
  <c r="I24" i="56"/>
  <c r="I25" i="56"/>
  <c r="AI51" i="1"/>
  <c r="X50" i="1"/>
  <c r="AU47" i="1"/>
  <c r="AG59" i="1"/>
  <c r="Q59" i="1"/>
  <c r="U57" i="1"/>
  <c r="AV56" i="1"/>
  <c r="AU52" i="1"/>
  <c r="AH51" i="1"/>
  <c r="AT47" i="1"/>
  <c r="AV42" i="1"/>
  <c r="AF59" i="1"/>
  <c r="P59" i="1"/>
  <c r="T57" i="1"/>
  <c r="AU56" i="1"/>
  <c r="V50" i="1"/>
  <c r="AS47" i="1"/>
  <c r="AG442" i="1"/>
  <c r="AE59" i="1"/>
  <c r="O59" i="1"/>
  <c r="AP58" i="1"/>
  <c r="S57" i="1"/>
  <c r="AT56" i="1"/>
  <c r="AA52" i="1"/>
  <c r="U50" i="1"/>
  <c r="AR47" i="1"/>
  <c r="AR61" i="1" s="1"/>
  <c r="E24" i="56"/>
  <c r="AD59" i="1"/>
  <c r="N59" i="1"/>
  <c r="AQ47" i="1"/>
  <c r="AP47" i="1"/>
  <c r="Y47" i="1"/>
  <c r="AC53" i="1" s="1"/>
  <c r="I47" i="1"/>
  <c r="M53" i="1" s="1"/>
  <c r="AL58" i="1"/>
  <c r="AU51" i="1"/>
  <c r="AC51" i="1"/>
  <c r="M51" i="1"/>
  <c r="X47" i="1"/>
  <c r="H47" i="1"/>
  <c r="K24" i="278"/>
  <c r="K30" i="278" s="1"/>
  <c r="K28" i="278"/>
  <c r="K29" i="278" s="1"/>
  <c r="G13" i="216"/>
  <c r="W13" i="216"/>
  <c r="W18" i="216" s="1"/>
  <c r="H13" i="216"/>
  <c r="H18" i="216" s="1"/>
  <c r="X13" i="216"/>
  <c r="X18" i="216" s="1"/>
  <c r="I13" i="216"/>
  <c r="I18" i="216" s="1"/>
  <c r="V13" i="216"/>
  <c r="V18" i="216" s="1"/>
  <c r="J13" i="216"/>
  <c r="J18" i="216" s="1"/>
  <c r="K13" i="216"/>
  <c r="K18" i="216" s="1"/>
  <c r="L13" i="216"/>
  <c r="L18" i="216" s="1"/>
  <c r="M13" i="216"/>
  <c r="M18" i="216" s="1"/>
  <c r="N13" i="216"/>
  <c r="N18" i="216" s="1"/>
  <c r="O13" i="216"/>
  <c r="O18" i="216" s="1"/>
  <c r="P13" i="216"/>
  <c r="P18" i="216" s="1"/>
  <c r="Q13" i="216"/>
  <c r="Q18" i="216" s="1"/>
  <c r="R13" i="216"/>
  <c r="R18" i="216" s="1"/>
  <c r="F13" i="216"/>
  <c r="S13" i="216"/>
  <c r="S18" i="216" s="1"/>
  <c r="T13" i="216"/>
  <c r="T18" i="216" s="1"/>
  <c r="E13" i="216"/>
  <c r="U13" i="216"/>
  <c r="U18" i="216" s="1"/>
  <c r="AG61" i="1"/>
  <c r="Q61" i="1"/>
  <c r="Y56" i="1"/>
  <c r="I56" i="1"/>
  <c r="W52" i="1"/>
  <c r="AT51" i="1"/>
  <c r="W47" i="1"/>
  <c r="AA53" i="1" s="1"/>
  <c r="AX46" i="1"/>
  <c r="Q24" i="56"/>
  <c r="Q25" i="56"/>
  <c r="AF61" i="1"/>
  <c r="P61" i="1"/>
  <c r="X56" i="1"/>
  <c r="H56" i="1"/>
  <c r="V52" i="1"/>
  <c r="AS51" i="1"/>
  <c r="AA51" i="1"/>
  <c r="AF50" i="1"/>
  <c r="V47" i="1"/>
  <c r="AW46" i="1"/>
  <c r="AF442" i="1"/>
  <c r="AE61" i="1"/>
  <c r="O61" i="1"/>
  <c r="S58" i="1"/>
  <c r="U52" i="1"/>
  <c r="AR51" i="1"/>
  <c r="U47" i="1"/>
  <c r="AF240" i="1"/>
  <c r="AF241" i="1" s="1"/>
  <c r="AW241" i="1" s="1"/>
  <c r="AD61" i="1"/>
  <c r="N61" i="1"/>
  <c r="AH58" i="1"/>
  <c r="R58" i="1"/>
  <c r="AJ52" i="1"/>
  <c r="T52" i="1"/>
  <c r="AQ51" i="1"/>
  <c r="T47" i="1"/>
  <c r="N24" i="56"/>
  <c r="J24" i="278"/>
  <c r="J30" i="278" s="1"/>
  <c r="J28" i="278"/>
  <c r="J29" i="278" s="1"/>
  <c r="AC61" i="1"/>
  <c r="M61" i="1"/>
  <c r="M24" i="56"/>
  <c r="M25" i="56"/>
  <c r="AH220" i="1"/>
  <c r="AM42" i="1" l="1"/>
  <c r="AM41" i="1"/>
  <c r="AW150" i="1"/>
  <c r="R184" i="1"/>
  <c r="AT179" i="1"/>
  <c r="N184" i="1"/>
  <c r="AJ210" i="1"/>
  <c r="AC184" i="1"/>
  <c r="N143" i="1"/>
  <c r="O157" i="1" s="1"/>
  <c r="N148" i="1"/>
  <c r="J155" i="1"/>
  <c r="AX203" i="1"/>
  <c r="M155" i="1"/>
  <c r="AM440" i="1"/>
  <c r="AM442" i="1" s="1"/>
  <c r="AM44" i="1" s="1"/>
  <c r="AM56" i="1" s="1"/>
  <c r="K155" i="1"/>
  <c r="P148" i="1"/>
  <c r="AV169" i="1"/>
  <c r="AW169" i="1"/>
  <c r="R210" i="1"/>
  <c r="R203" i="1"/>
  <c r="V203" i="1"/>
  <c r="Z59" i="1"/>
  <c r="Z61" i="1"/>
  <c r="AS196" i="1"/>
  <c r="AT203" i="1" s="1"/>
  <c r="AR169" i="1"/>
  <c r="L148" i="1"/>
  <c r="S210" i="1"/>
  <c r="S203" i="1"/>
  <c r="W203" i="1"/>
  <c r="AD53" i="1"/>
  <c r="Y189" i="1"/>
  <c r="Z189" i="1"/>
  <c r="Y184" i="1"/>
  <c r="AI203" i="1"/>
  <c r="AM203" i="1"/>
  <c r="AB61" i="1"/>
  <c r="AB59" i="1"/>
  <c r="AG614" i="1"/>
  <c r="AG617" i="1" s="1"/>
  <c r="AG81" i="1" s="1"/>
  <c r="AG80" i="1"/>
  <c r="I174" i="1"/>
  <c r="AF53" i="1"/>
  <c r="AU183" i="1"/>
  <c r="AV183" i="1"/>
  <c r="Y169" i="1"/>
  <c r="U174" i="1"/>
  <c r="V174" i="1"/>
  <c r="AT164" i="1"/>
  <c r="U169" i="1"/>
  <c r="W614" i="1"/>
  <c r="W617" i="1" s="1"/>
  <c r="W81" i="1" s="1"/>
  <c r="AR183" i="1"/>
  <c r="Y375" i="1"/>
  <c r="AU142" i="1"/>
  <c r="AV149" i="1" s="1"/>
  <c r="Y156" i="1"/>
  <c r="Z156" i="1"/>
  <c r="AC149" i="1"/>
  <c r="Y143" i="1"/>
  <c r="AT168" i="1"/>
  <c r="AU168" i="1"/>
  <c r="AX201" i="1"/>
  <c r="X80" i="1"/>
  <c r="X105" i="1" s="1"/>
  <c r="AV612" i="1"/>
  <c r="AV80" i="1" s="1"/>
  <c r="AV105" i="1" s="1"/>
  <c r="AC80" i="1"/>
  <c r="AC105" i="1" s="1"/>
  <c r="M148" i="1"/>
  <c r="L169" i="1"/>
  <c r="AV203" i="1"/>
  <c r="AV151" i="1"/>
  <c r="AM152" i="1"/>
  <c r="AR167" i="1"/>
  <c r="AS167" i="1"/>
  <c r="V189" i="1"/>
  <c r="M375" i="1"/>
  <c r="M397" i="1" s="1"/>
  <c r="AR142" i="1"/>
  <c r="AR149" i="1" s="1"/>
  <c r="M156" i="1"/>
  <c r="M149" i="1"/>
  <c r="N156" i="1"/>
  <c r="AT182" i="1"/>
  <c r="AR179" i="1"/>
  <c r="AR184" i="1" s="1"/>
  <c r="M184" i="1"/>
  <c r="N189" i="1"/>
  <c r="M189" i="1"/>
  <c r="AS183" i="1"/>
  <c r="AT183" i="1"/>
  <c r="AX150" i="1"/>
  <c r="M143" i="1"/>
  <c r="Q375" i="1"/>
  <c r="AS142" i="1"/>
  <c r="Q156" i="1"/>
  <c r="Q149" i="1"/>
  <c r="R156" i="1"/>
  <c r="Z13" i="216"/>
  <c r="Z18" i="216" s="1"/>
  <c r="AJ159" i="1"/>
  <c r="AX145" i="1"/>
  <c r="AT184" i="1"/>
  <c r="AH47" i="1"/>
  <c r="AH56" i="1"/>
  <c r="Q143" i="1"/>
  <c r="Y13" i="216"/>
  <c r="Y18" i="216" s="1"/>
  <c r="AP142" i="1"/>
  <c r="AQ149" i="1" s="1"/>
  <c r="AU184" i="1"/>
  <c r="AQ141" i="1"/>
  <c r="AQ148" i="1" s="1"/>
  <c r="U375" i="1"/>
  <c r="Y149" i="1"/>
  <c r="AT142" i="1"/>
  <c r="U156" i="1"/>
  <c r="U149" i="1"/>
  <c r="V156" i="1"/>
  <c r="I155" i="1"/>
  <c r="I189" i="1"/>
  <c r="J189" i="1"/>
  <c r="U143" i="1"/>
  <c r="Q189" i="1"/>
  <c r="R189" i="1"/>
  <c r="Q184" i="1"/>
  <c r="U184" i="1"/>
  <c r="AT148" i="1"/>
  <c r="AU148" i="1"/>
  <c r="AP184" i="1"/>
  <c r="AQ184" i="1"/>
  <c r="J94" i="1"/>
  <c r="J100" i="1"/>
  <c r="J103" i="1" s="1"/>
  <c r="AR64" i="1"/>
  <c r="AR67" i="1"/>
  <c r="AR63" i="1"/>
  <c r="K145" i="1"/>
  <c r="O150" i="1"/>
  <c r="K157" i="1"/>
  <c r="P105" i="1"/>
  <c r="S104" i="1"/>
  <c r="AD105" i="1"/>
  <c r="W105" i="1"/>
  <c r="AC159" i="1"/>
  <c r="AG152" i="1"/>
  <c r="Z105" i="1"/>
  <c r="M217" i="1"/>
  <c r="M215" i="1" s="1"/>
  <c r="L145" i="1"/>
  <c r="P150" i="1"/>
  <c r="L157" i="1"/>
  <c r="L150" i="1"/>
  <c r="AE104" i="1"/>
  <c r="AU53" i="1"/>
  <c r="AU59" i="1"/>
  <c r="R67" i="1"/>
  <c r="R63" i="1"/>
  <c r="R64" i="1"/>
  <c r="R62" i="1"/>
  <c r="AW77" i="1"/>
  <c r="AU41" i="1"/>
  <c r="AU61" i="1"/>
  <c r="AU42" i="1"/>
  <c r="AL42" i="1"/>
  <c r="AL41" i="1"/>
  <c r="S614" i="1"/>
  <c r="S617" i="1" s="1"/>
  <c r="S81" i="1" s="1"/>
  <c r="S80" i="1"/>
  <c r="AW50" i="1"/>
  <c r="AW56" i="1"/>
  <c r="AK77" i="1"/>
  <c r="AL77" i="1" s="1"/>
  <c r="AM77" i="1" s="1"/>
  <c r="AX77" i="1"/>
  <c r="Z152" i="1"/>
  <c r="S152" i="1"/>
  <c r="P159" i="1"/>
  <c r="AE152" i="1"/>
  <c r="AE159" i="1"/>
  <c r="AI152" i="1"/>
  <c r="AG105" i="1"/>
  <c r="AW58" i="1"/>
  <c r="AW52" i="1"/>
  <c r="Y59" i="1"/>
  <c r="Y53" i="1"/>
  <c r="Y61" i="1"/>
  <c r="AU80" i="1"/>
  <c r="AU105" i="1" s="1"/>
  <c r="AU614" i="1"/>
  <c r="AU617" i="1" s="1"/>
  <c r="AU81" i="1" s="1"/>
  <c r="AV41" i="1"/>
  <c r="J157" i="1"/>
  <c r="J145" i="1"/>
  <c r="J159" i="1" s="1"/>
  <c r="AD152" i="1"/>
  <c r="AD159" i="1"/>
  <c r="AH152" i="1"/>
  <c r="AF105" i="1"/>
  <c r="N63" i="1"/>
  <c r="N62" i="1"/>
  <c r="N64" i="1"/>
  <c r="N67" i="1"/>
  <c r="AP59" i="1"/>
  <c r="AP53" i="1"/>
  <c r="AP61" i="1"/>
  <c r="AO67" i="1"/>
  <c r="AO63" i="1"/>
  <c r="AO64" i="1"/>
  <c r="N150" i="1"/>
  <c r="N145" i="1"/>
  <c r="O159" i="1" s="1"/>
  <c r="R150" i="1"/>
  <c r="V59" i="1"/>
  <c r="V53" i="1"/>
  <c r="V61" i="1"/>
  <c r="Z53" i="1"/>
  <c r="N11" i="56"/>
  <c r="F24" i="194"/>
  <c r="AD63" i="1"/>
  <c r="AD64" i="1"/>
  <c r="AD67" i="1"/>
  <c r="AW111" i="1"/>
  <c r="AJ111" i="1"/>
  <c r="AA152" i="1"/>
  <c r="AA159" i="1"/>
  <c r="AQ59" i="1"/>
  <c r="AQ53" i="1"/>
  <c r="AQ61" i="1"/>
  <c r="V152" i="1"/>
  <c r="W159" i="1"/>
  <c r="AS61" i="1"/>
  <c r="AS59" i="1"/>
  <c r="AS53" i="1"/>
  <c r="N219" i="1"/>
  <c r="AV145" i="1"/>
  <c r="AB152" i="1"/>
  <c r="AB159" i="1"/>
  <c r="AW151" i="1"/>
  <c r="AX151" i="1"/>
  <c r="AQ143" i="1"/>
  <c r="I157" i="1"/>
  <c r="H145" i="1"/>
  <c r="I159" i="1" s="1"/>
  <c r="E14" i="216"/>
  <c r="E15" i="216" s="1"/>
  <c r="E18" i="216"/>
  <c r="P67" i="1"/>
  <c r="P63" i="1"/>
  <c r="P64" i="1"/>
  <c r="P62" i="1"/>
  <c r="S67" i="1"/>
  <c r="S63" i="1"/>
  <c r="S64" i="1"/>
  <c r="S62" i="1"/>
  <c r="G18" i="216"/>
  <c r="G14" i="216"/>
  <c r="G15" i="216" s="1"/>
  <c r="AP183" i="1"/>
  <c r="AQ183" i="1"/>
  <c r="J105" i="1"/>
  <c r="N105" i="1"/>
  <c r="Q11" i="56"/>
  <c r="E22" i="13"/>
  <c r="I24" i="194"/>
  <c r="AG67" i="1"/>
  <c r="AG63" i="1"/>
  <c r="AG64" i="1"/>
  <c r="AG62" i="1"/>
  <c r="U53" i="1"/>
  <c r="U61" i="1"/>
  <c r="U59" i="1"/>
  <c r="F18" i="216"/>
  <c r="F14" i="216"/>
  <c r="F15" i="216" s="1"/>
  <c r="AR59" i="1"/>
  <c r="AR53" i="1"/>
  <c r="P203" i="1"/>
  <c r="L210" i="1"/>
  <c r="AR196" i="1"/>
  <c r="L203" i="1"/>
  <c r="X152" i="1"/>
  <c r="X159" i="1"/>
  <c r="AW145" i="1"/>
  <c r="AF152" i="1"/>
  <c r="AF159" i="1"/>
  <c r="AJ152" i="1"/>
  <c r="AG159" i="1"/>
  <c r="I59" i="1"/>
  <c r="I61" i="1"/>
  <c r="O64" i="1"/>
  <c r="O63" i="1"/>
  <c r="O62" i="1"/>
  <c r="O67" i="1"/>
  <c r="AT61" i="1"/>
  <c r="AT59" i="1"/>
  <c r="AT53" i="1"/>
  <c r="O219" i="1"/>
  <c r="AU151" i="1"/>
  <c r="I104" i="1"/>
  <c r="K104" i="1" s="1"/>
  <c r="AB105" i="1"/>
  <c r="H105" i="1"/>
  <c r="AV53" i="1"/>
  <c r="AV59" i="1"/>
  <c r="P11" i="56"/>
  <c r="H24" i="194"/>
  <c r="AF67" i="1"/>
  <c r="AF63" i="1"/>
  <c r="AF64" i="1"/>
  <c r="AF62" i="1"/>
  <c r="M11" i="56"/>
  <c r="D22" i="13"/>
  <c r="E24" i="194"/>
  <c r="AC63" i="1"/>
  <c r="AC62" i="1"/>
  <c r="AC64" i="1"/>
  <c r="AC67" i="1"/>
  <c r="H59" i="1"/>
  <c r="H61" i="1"/>
  <c r="L53" i="1"/>
  <c r="K67" i="1"/>
  <c r="K63" i="1"/>
  <c r="AP143" i="1"/>
  <c r="AP145" i="1" s="1"/>
  <c r="O104" i="1"/>
  <c r="L105" i="1"/>
  <c r="Q67" i="1"/>
  <c r="Q63" i="1"/>
  <c r="Q64" i="1"/>
  <c r="Q62" i="1"/>
  <c r="AL56" i="1"/>
  <c r="AL47" i="1"/>
  <c r="AL50" i="1"/>
  <c r="O11" i="56"/>
  <c r="G24" i="194"/>
  <c r="AE64" i="1"/>
  <c r="AE63" i="1"/>
  <c r="AE62" i="1"/>
  <c r="AE67" i="1"/>
  <c r="X59" i="1"/>
  <c r="X53" i="1"/>
  <c r="X61" i="1"/>
  <c r="AB53" i="1"/>
  <c r="AI47" i="1"/>
  <c r="AI50" i="1"/>
  <c r="AI56" i="1"/>
  <c r="L215" i="1"/>
  <c r="R105" i="1"/>
  <c r="AS151" i="1"/>
  <c r="M63" i="1"/>
  <c r="M64" i="1"/>
  <c r="M67" i="1"/>
  <c r="AX58" i="1"/>
  <c r="AX52" i="1"/>
  <c r="AV61" i="1"/>
  <c r="W59" i="1"/>
  <c r="W53" i="1"/>
  <c r="W61" i="1"/>
  <c r="T53" i="1"/>
  <c r="T61" i="1"/>
  <c r="T59" i="1"/>
  <c r="AJ440" i="1"/>
  <c r="AJ442" i="1" s="1"/>
  <c r="AJ44" i="1" s="1"/>
  <c r="L73" i="1"/>
  <c r="L69" i="1"/>
  <c r="L85" i="1"/>
  <c r="L87" i="1" s="1"/>
  <c r="K11" i="56"/>
  <c r="AA64" i="1"/>
  <c r="AA67" i="1"/>
  <c r="AA63" i="1"/>
  <c r="V105" i="1"/>
  <c r="AA104" i="1"/>
  <c r="AW203" i="1"/>
  <c r="Q105" i="1"/>
  <c r="AR148" i="1"/>
  <c r="AS148" i="1"/>
  <c r="M105" i="1"/>
  <c r="AI220" i="1"/>
  <c r="AM50" i="1" l="1"/>
  <c r="AM47" i="1"/>
  <c r="K159" i="1"/>
  <c r="Y157" i="1"/>
  <c r="AC150" i="1"/>
  <c r="AU143" i="1"/>
  <c r="AV150" i="1" s="1"/>
  <c r="Y145" i="1"/>
  <c r="Z157" i="1"/>
  <c r="AV614" i="1"/>
  <c r="AV617" i="1" s="1"/>
  <c r="AV81" i="1" s="1"/>
  <c r="AS149" i="1"/>
  <c r="J11" i="56"/>
  <c r="Z67" i="1"/>
  <c r="Z64" i="1"/>
  <c r="Z63" i="1"/>
  <c r="AS184" i="1"/>
  <c r="D24" i="194"/>
  <c r="AB64" i="1"/>
  <c r="AB67" i="1"/>
  <c r="AB63" i="1"/>
  <c r="L11" i="56"/>
  <c r="P219" i="1"/>
  <c r="AD62" i="1"/>
  <c r="AT169" i="1"/>
  <c r="AU169" i="1"/>
  <c r="M145" i="1"/>
  <c r="M152" i="1" s="1"/>
  <c r="M150" i="1"/>
  <c r="M157" i="1"/>
  <c r="Q157" i="1"/>
  <c r="AS143" i="1"/>
  <c r="Q145" i="1"/>
  <c r="Q150" i="1"/>
  <c r="R157" i="1"/>
  <c r="AH61" i="1"/>
  <c r="AH53" i="1"/>
  <c r="AH59" i="1"/>
  <c r="AR143" i="1"/>
  <c r="AR150" i="1" s="1"/>
  <c r="O152" i="1"/>
  <c r="N157" i="1"/>
  <c r="U157" i="1"/>
  <c r="V157" i="1"/>
  <c r="U150" i="1"/>
  <c r="U145" i="1"/>
  <c r="Y150" i="1"/>
  <c r="AT143" i="1"/>
  <c r="AT149" i="1"/>
  <c r="AU149" i="1"/>
  <c r="Q397" i="1"/>
  <c r="P217" i="1"/>
  <c r="AU63" i="1"/>
  <c r="AU62" i="1"/>
  <c r="AU64" i="1"/>
  <c r="AU67" i="1"/>
  <c r="AD73" i="1"/>
  <c r="AD69" i="1"/>
  <c r="AD85" i="1"/>
  <c r="AD87" i="1" s="1"/>
  <c r="AR145" i="1"/>
  <c r="L152" i="1"/>
  <c r="L159" i="1"/>
  <c r="P152" i="1"/>
  <c r="O217" i="1"/>
  <c r="O215" i="1" s="1"/>
  <c r="AQ64" i="1"/>
  <c r="AQ62" i="1"/>
  <c r="AQ67" i="1"/>
  <c r="AQ63" i="1"/>
  <c r="Q16" i="56"/>
  <c r="AP62" i="1"/>
  <c r="AP64" i="1"/>
  <c r="AP67" i="1"/>
  <c r="AP63" i="1"/>
  <c r="I25" i="194"/>
  <c r="I26" i="194"/>
  <c r="H26" i="194"/>
  <c r="H43" i="194"/>
  <c r="O68" i="1"/>
  <c r="O73" i="1"/>
  <c r="O69" i="1"/>
  <c r="O85" i="1"/>
  <c r="O87" i="1" s="1"/>
  <c r="I11" i="56"/>
  <c r="Y62" i="1"/>
  <c r="Y67" i="1"/>
  <c r="Y63" i="1"/>
  <c r="Y64" i="1"/>
  <c r="F26" i="194"/>
  <c r="F43" i="194"/>
  <c r="J44" i="194" s="1"/>
  <c r="AJ56" i="1"/>
  <c r="AJ47" i="1"/>
  <c r="AJ50" i="1"/>
  <c r="AR203" i="1"/>
  <c r="AS203" i="1"/>
  <c r="H67" i="1"/>
  <c r="H63" i="1"/>
  <c r="L62" i="1"/>
  <c r="N217" i="1"/>
  <c r="Q219" i="1"/>
  <c r="Q217" i="1" s="1"/>
  <c r="Q215" i="1" s="1"/>
  <c r="AR219" i="1"/>
  <c r="N16" i="56"/>
  <c r="N68" i="1"/>
  <c r="N73" i="1"/>
  <c r="N69" i="1"/>
  <c r="N85" i="1"/>
  <c r="N87" i="1" s="1"/>
  <c r="R69" i="1"/>
  <c r="R68" i="1"/>
  <c r="R73" i="1"/>
  <c r="R85" i="1"/>
  <c r="R87" i="1" s="1"/>
  <c r="AM59" i="1"/>
  <c r="AM53" i="1"/>
  <c r="AM61" i="1"/>
  <c r="AT63" i="1"/>
  <c r="AT62" i="1"/>
  <c r="AT64" i="1"/>
  <c r="AT67" i="1"/>
  <c r="S69" i="1"/>
  <c r="S68" i="1"/>
  <c r="S73" i="1"/>
  <c r="S85" i="1"/>
  <c r="S87" i="1" s="1"/>
  <c r="AA105" i="1"/>
  <c r="G11" i="56"/>
  <c r="W62" i="1"/>
  <c r="W67" i="1"/>
  <c r="W64" i="1"/>
  <c r="W63" i="1"/>
  <c r="M159" i="1"/>
  <c r="AR68" i="1"/>
  <c r="AR73" i="1"/>
  <c r="AR69" i="1"/>
  <c r="AR85" i="1"/>
  <c r="AR87" i="1" s="1"/>
  <c r="L76" i="1"/>
  <c r="L78" i="1" s="1"/>
  <c r="L82" i="1"/>
  <c r="AO73" i="1"/>
  <c r="AO69" i="1"/>
  <c r="AO85" i="1"/>
  <c r="AO87" i="1" s="1"/>
  <c r="F11" i="56"/>
  <c r="V62" i="1"/>
  <c r="V64" i="1"/>
  <c r="V67" i="1"/>
  <c r="V63" i="1"/>
  <c r="Z62" i="1"/>
  <c r="AR62" i="1"/>
  <c r="K73" i="1"/>
  <c r="K76" i="1" s="1"/>
  <c r="K78" i="1" s="1"/>
  <c r="K69" i="1"/>
  <c r="K85" i="1"/>
  <c r="K87" i="1" s="1"/>
  <c r="D26" i="13"/>
  <c r="AC73" i="1"/>
  <c r="AC69" i="1"/>
  <c r="AC85" i="1"/>
  <c r="AC87" i="1" s="1"/>
  <c r="I67" i="1"/>
  <c r="M68" i="1" s="1"/>
  <c r="I63" i="1"/>
  <c r="Q69" i="1"/>
  <c r="Q68" i="1"/>
  <c r="Q73" i="1"/>
  <c r="Q85" i="1"/>
  <c r="Q87" i="1" s="1"/>
  <c r="P68" i="1"/>
  <c r="P73" i="1"/>
  <c r="P69" i="1"/>
  <c r="P85" i="1"/>
  <c r="P87" i="1" s="1"/>
  <c r="AK111" i="1"/>
  <c r="AL59" i="1"/>
  <c r="AL53" i="1"/>
  <c r="E26" i="13"/>
  <c r="AG69" i="1"/>
  <c r="AG68" i="1"/>
  <c r="AG73" i="1"/>
  <c r="AG85" i="1"/>
  <c r="AG87" i="1" s="1"/>
  <c r="O16" i="56"/>
  <c r="AA68" i="1"/>
  <c r="AA73" i="1"/>
  <c r="AA69" i="1"/>
  <c r="AA85" i="1"/>
  <c r="AA87" i="1" s="1"/>
  <c r="D7" i="92" a="1"/>
  <c r="E11" i="56"/>
  <c r="U64" i="1"/>
  <c r="U67" i="1"/>
  <c r="U63" i="1"/>
  <c r="U62" i="1"/>
  <c r="AF73" i="1"/>
  <c r="AF69" i="1"/>
  <c r="AF85" i="1"/>
  <c r="AI53" i="1"/>
  <c r="AI61" i="1"/>
  <c r="AI59" i="1"/>
  <c r="AW47" i="1"/>
  <c r="K105" i="1"/>
  <c r="AA62" i="1"/>
  <c r="O105" i="1"/>
  <c r="E26" i="194"/>
  <c r="E43" i="194"/>
  <c r="I44" i="194" s="1"/>
  <c r="I105" i="1"/>
  <c r="AQ145" i="1"/>
  <c r="AQ152" i="1" s="1"/>
  <c r="AL61" i="1"/>
  <c r="AE105" i="1"/>
  <c r="G26" i="194"/>
  <c r="G43" i="194"/>
  <c r="K44" i="194" s="1"/>
  <c r="H22" i="13"/>
  <c r="E23" i="13"/>
  <c r="I22" i="13"/>
  <c r="E24" i="13"/>
  <c r="M73" i="1"/>
  <c r="M69" i="1"/>
  <c r="M85" i="1"/>
  <c r="M87" i="1" s="1"/>
  <c r="AE68" i="1"/>
  <c r="AE73" i="1"/>
  <c r="AE69" i="1"/>
  <c r="AE85" i="1"/>
  <c r="AE87" i="1" s="1"/>
  <c r="F23" i="13"/>
  <c r="D24" i="13"/>
  <c r="G23" i="13"/>
  <c r="AS62" i="1"/>
  <c r="AS64" i="1"/>
  <c r="AS67" i="1"/>
  <c r="AS63" i="1"/>
  <c r="D11" i="56"/>
  <c r="D9" i="56" s="1"/>
  <c r="T67" i="1"/>
  <c r="T63" i="1"/>
  <c r="T62" i="1"/>
  <c r="T64" i="1"/>
  <c r="M24" i="194"/>
  <c r="AV63" i="1"/>
  <c r="AV62" i="1"/>
  <c r="AV64" i="1"/>
  <c r="AV67" i="1"/>
  <c r="H11" i="56"/>
  <c r="D10" i="92" a="1"/>
  <c r="X62" i="1"/>
  <c r="X67" i="1"/>
  <c r="X63" i="1"/>
  <c r="X64" i="1"/>
  <c r="AB62" i="1"/>
  <c r="K16" i="56"/>
  <c r="M16" i="56"/>
  <c r="AW152" i="1"/>
  <c r="AX152" i="1"/>
  <c r="AQ150" i="1"/>
  <c r="N152" i="1"/>
  <c r="N159" i="1"/>
  <c r="R152" i="1"/>
  <c r="P16" i="56"/>
  <c r="L89" i="1"/>
  <c r="L92" i="1"/>
  <c r="M62" i="1"/>
  <c r="L16" i="56"/>
  <c r="S105" i="1"/>
  <c r="AJ220" i="1"/>
  <c r="AB73" i="1" l="1"/>
  <c r="AB69" i="1"/>
  <c r="AB85" i="1"/>
  <c r="AB87" i="1" s="1"/>
  <c r="D43" i="194"/>
  <c r="D26" i="194"/>
  <c r="Z69" i="1"/>
  <c r="Z73" i="1"/>
  <c r="Z85" i="1"/>
  <c r="Z87" i="1" s="1"/>
  <c r="AF68" i="1"/>
  <c r="AD68" i="1"/>
  <c r="AU145" i="1"/>
  <c r="AV152" i="1" s="1"/>
  <c r="Y159" i="1"/>
  <c r="AC152" i="1"/>
  <c r="Z159" i="1"/>
  <c r="E7" i="92" a="1"/>
  <c r="E7" i="92" s="1"/>
  <c r="R159" i="1"/>
  <c r="Q159" i="1"/>
  <c r="AS145" i="1"/>
  <c r="AS152" i="1" s="1"/>
  <c r="Q152" i="1"/>
  <c r="J24" i="194"/>
  <c r="AH62" i="1"/>
  <c r="AH67" i="1"/>
  <c r="AH63" i="1"/>
  <c r="AH64" i="1"/>
  <c r="AT150" i="1"/>
  <c r="AU150" i="1"/>
  <c r="AS150" i="1"/>
  <c r="U159" i="1"/>
  <c r="AT145" i="1"/>
  <c r="V159" i="1"/>
  <c r="U152" i="1"/>
  <c r="Y152" i="1"/>
  <c r="Q396" i="1"/>
  <c r="U396" i="1" s="1"/>
  <c r="Y396" i="1" s="1"/>
  <c r="AC396" i="1" s="1"/>
  <c r="AG396" i="1" s="1"/>
  <c r="AK396" i="1" s="1"/>
  <c r="U397" i="1"/>
  <c r="Y397" i="1" s="1"/>
  <c r="AC397" i="1" s="1"/>
  <c r="AG397" i="1" s="1"/>
  <c r="AK397" i="1" s="1"/>
  <c r="K24" i="194"/>
  <c r="AI67" i="1"/>
  <c r="AI63" i="1"/>
  <c r="AI62" i="1"/>
  <c r="AI64" i="1"/>
  <c r="AW61" i="1"/>
  <c r="AR152" i="1"/>
  <c r="AD88" i="1"/>
  <c r="AD89" i="1"/>
  <c r="AD92" i="1"/>
  <c r="M26" i="194"/>
  <c r="M43" i="194"/>
  <c r="M45" i="194" s="1"/>
  <c r="M89" i="1"/>
  <c r="M92" i="1"/>
  <c r="AF87" i="1"/>
  <c r="AT68" i="1"/>
  <c r="AT73" i="1"/>
  <c r="AT69" i="1"/>
  <c r="AT85" i="1"/>
  <c r="AT87" i="1" s="1"/>
  <c r="AP73" i="1"/>
  <c r="AP69" i="1"/>
  <c r="AP68" i="1"/>
  <c r="AP85" i="1"/>
  <c r="AP87" i="1" s="1"/>
  <c r="AR76" i="1"/>
  <c r="AR78" i="1" s="1"/>
  <c r="AR82" i="1"/>
  <c r="AD76" i="1"/>
  <c r="AD78" i="1" s="1"/>
  <c r="AD82" i="1"/>
  <c r="L94" i="1"/>
  <c r="L100" i="1"/>
  <c r="L103" i="1" s="1"/>
  <c r="T69" i="1"/>
  <c r="T68" i="1"/>
  <c r="T73" i="1"/>
  <c r="T85" i="1"/>
  <c r="T87" i="1" s="1"/>
  <c r="M76" i="1"/>
  <c r="M78" i="1" s="1"/>
  <c r="M82" i="1"/>
  <c r="AF76" i="1"/>
  <c r="AF82" i="1"/>
  <c r="AG92" i="1"/>
  <c r="AG88" i="1"/>
  <c r="AG89" i="1"/>
  <c r="Q92" i="1"/>
  <c r="Q88" i="1"/>
  <c r="Q89" i="1"/>
  <c r="AL62" i="1"/>
  <c r="AL67" i="1"/>
  <c r="AL64" i="1"/>
  <c r="AL63" i="1"/>
  <c r="AG76" i="1"/>
  <c r="AG78" i="1" s="1"/>
  <c r="AG82" i="1"/>
  <c r="Q76" i="1"/>
  <c r="Q78" i="1" s="1"/>
  <c r="Q79" i="1" s="1"/>
  <c r="Q82" i="1"/>
  <c r="N215" i="1"/>
  <c r="AR215" i="1" s="1"/>
  <c r="AR217" i="1"/>
  <c r="V69" i="1"/>
  <c r="V68" i="1"/>
  <c r="V85" i="1"/>
  <c r="V87" i="1" s="1"/>
  <c r="V73" i="1"/>
  <c r="Z68" i="1"/>
  <c r="AM62" i="1"/>
  <c r="AM67" i="1"/>
  <c r="AM63" i="1"/>
  <c r="AM64" i="1"/>
  <c r="Y73" i="1"/>
  <c r="Y69" i="1"/>
  <c r="Y68" i="1"/>
  <c r="Y85" i="1"/>
  <c r="Y87" i="1" s="1"/>
  <c r="AU68" i="1"/>
  <c r="AU73" i="1"/>
  <c r="AU69" i="1"/>
  <c r="AU85" i="1"/>
  <c r="AU87" i="1" s="1"/>
  <c r="E10" i="92" a="1"/>
  <c r="H73" i="1"/>
  <c r="H76" i="1" s="1"/>
  <c r="H78" i="1" s="1"/>
  <c r="L79" i="1" s="1"/>
  <c r="H69" i="1"/>
  <c r="H85" i="1"/>
  <c r="H87" i="1" s="1"/>
  <c r="L68" i="1"/>
  <c r="I9" i="56"/>
  <c r="I16" i="56"/>
  <c r="J16" i="56"/>
  <c r="AQ73" i="1"/>
  <c r="AQ69" i="1"/>
  <c r="AQ68" i="1"/>
  <c r="AQ85" i="1"/>
  <c r="AQ87" i="1" s="1"/>
  <c r="I73" i="1"/>
  <c r="I76" i="1" s="1"/>
  <c r="I78" i="1" s="1"/>
  <c r="I69" i="1"/>
  <c r="I85" i="1"/>
  <c r="I87" i="1" s="1"/>
  <c r="F9" i="56"/>
  <c r="F16" i="56"/>
  <c r="W73" i="1"/>
  <c r="W69" i="1"/>
  <c r="W68" i="1"/>
  <c r="W85" i="1"/>
  <c r="W87" i="1" s="1"/>
  <c r="R92" i="1"/>
  <c r="R88" i="1"/>
  <c r="R89" i="1"/>
  <c r="O88" i="1"/>
  <c r="O89" i="1"/>
  <c r="O92" i="1"/>
  <c r="AE76" i="1"/>
  <c r="AE78" i="1" s="1"/>
  <c r="AE82" i="1"/>
  <c r="P76" i="1"/>
  <c r="P78" i="1" s="1"/>
  <c r="P79" i="1" s="1"/>
  <c r="P82" i="1"/>
  <c r="X73" i="1"/>
  <c r="X69" i="1"/>
  <c r="X68" i="1"/>
  <c r="X85" i="1"/>
  <c r="X87" i="1" s="1"/>
  <c r="AB68" i="1"/>
  <c r="D10" i="92"/>
  <c r="D11" i="92"/>
  <c r="D12" i="92"/>
  <c r="D13" i="92"/>
  <c r="D14" i="92"/>
  <c r="D15" i="92"/>
  <c r="D16" i="92"/>
  <c r="D17" i="92"/>
  <c r="D18" i="92"/>
  <c r="D19" i="92"/>
  <c r="AC88" i="1"/>
  <c r="AC89" i="1"/>
  <c r="AC92" i="1"/>
  <c r="AO89" i="1"/>
  <c r="AO92" i="1"/>
  <c r="R76" i="1"/>
  <c r="R78" i="1" s="1"/>
  <c r="R82" i="1"/>
  <c r="U69" i="1"/>
  <c r="U68" i="1"/>
  <c r="U85" i="1"/>
  <c r="U87" i="1" s="1"/>
  <c r="U73" i="1"/>
  <c r="G9" i="56"/>
  <c r="G16" i="56"/>
  <c r="O76" i="1"/>
  <c r="O78" i="1" s="1"/>
  <c r="O79" i="1" s="1"/>
  <c r="O82" i="1"/>
  <c r="R219" i="1"/>
  <c r="R217" i="1" s="1"/>
  <c r="R215" i="1" s="1"/>
  <c r="D7" i="92"/>
  <c r="G8" i="92" s="1"/>
  <c r="AL111" i="1"/>
  <c r="AC76" i="1"/>
  <c r="AC78" i="1" s="1"/>
  <c r="AC82" i="1"/>
  <c r="AO76" i="1"/>
  <c r="AO78" i="1" s="1"/>
  <c r="AO82" i="1"/>
  <c r="AJ53" i="1"/>
  <c r="AJ61" i="1"/>
  <c r="AJ59" i="1"/>
  <c r="AS68" i="1"/>
  <c r="AS73" i="1"/>
  <c r="AS69" i="1"/>
  <c r="AS85" i="1"/>
  <c r="AS87" i="1" s="1"/>
  <c r="H26" i="13"/>
  <c r="E27" i="13"/>
  <c r="I26" i="13"/>
  <c r="E28" i="13"/>
  <c r="AA89" i="1"/>
  <c r="AA92" i="1"/>
  <c r="AA88" i="1"/>
  <c r="AC68" i="1"/>
  <c r="N88" i="1"/>
  <c r="N89" i="1"/>
  <c r="N92" i="1"/>
  <c r="N43" i="194"/>
  <c r="H44" i="194"/>
  <c r="H45" i="194"/>
  <c r="P215" i="1"/>
  <c r="H9" i="56"/>
  <c r="H16" i="56"/>
  <c r="AV68" i="1"/>
  <c r="AV73" i="1"/>
  <c r="AV69" i="1"/>
  <c r="AV85" i="1"/>
  <c r="AV87" i="1" s="1"/>
  <c r="F27" i="13"/>
  <c r="G27" i="13"/>
  <c r="D28" i="13"/>
  <c r="S89" i="1"/>
  <c r="S92" i="1"/>
  <c r="S88" i="1"/>
  <c r="E16" i="56"/>
  <c r="E9" i="56"/>
  <c r="E14" i="56" s="1"/>
  <c r="AE88" i="1"/>
  <c r="AE89" i="1"/>
  <c r="AE92" i="1"/>
  <c r="AW53" i="1"/>
  <c r="AW59" i="1"/>
  <c r="AA76" i="1"/>
  <c r="AA78" i="1" s="1"/>
  <c r="AA82" i="1"/>
  <c r="P92" i="1"/>
  <c r="P88" i="1"/>
  <c r="P89" i="1"/>
  <c r="K89" i="1"/>
  <c r="K92" i="1"/>
  <c r="AR89" i="1"/>
  <c r="AR92" i="1"/>
  <c r="AR88" i="1"/>
  <c r="S76" i="1"/>
  <c r="S78" i="1" s="1"/>
  <c r="S82" i="1"/>
  <c r="N76" i="1"/>
  <c r="N78" i="1" s="1"/>
  <c r="N79" i="1" s="1"/>
  <c r="N82" i="1"/>
  <c r="AK220" i="1"/>
  <c r="F14" i="56" l="1"/>
  <c r="G7" i="92"/>
  <c r="AE79" i="1"/>
  <c r="Z89" i="1"/>
  <c r="Z92" i="1"/>
  <c r="G13" i="92"/>
  <c r="Z82" i="1"/>
  <c r="Z76" i="1"/>
  <c r="Z78" i="1" s="1"/>
  <c r="AD79" i="1" s="1"/>
  <c r="G14" i="56"/>
  <c r="AG79" i="1"/>
  <c r="AB89" i="1"/>
  <c r="AB92" i="1"/>
  <c r="AB82" i="1"/>
  <c r="AB76" i="1"/>
  <c r="AB78" i="1" s="1"/>
  <c r="AH85" i="1"/>
  <c r="AH87" i="1" s="1"/>
  <c r="AH73" i="1"/>
  <c r="AH74" i="1" s="1"/>
  <c r="AH76" i="1" s="1"/>
  <c r="AH80" i="1" s="1"/>
  <c r="AH69" i="1"/>
  <c r="AH68" i="1"/>
  <c r="J55" i="194"/>
  <c r="J25" i="194"/>
  <c r="J26" i="194"/>
  <c r="AT152" i="1"/>
  <c r="AU152" i="1"/>
  <c r="AK398" i="1"/>
  <c r="AK400" i="1" s="1"/>
  <c r="AK402" i="1" s="1"/>
  <c r="AK404" i="1" s="1"/>
  <c r="AK40" i="1" s="1"/>
  <c r="Q94" i="1"/>
  <c r="Q100" i="1"/>
  <c r="Q103" i="1" s="1"/>
  <c r="Q93" i="1"/>
  <c r="I89" i="1"/>
  <c r="I92" i="1"/>
  <c r="M93" i="1" s="1"/>
  <c r="M94" i="1"/>
  <c r="M100" i="1"/>
  <c r="M103" i="1" s="1"/>
  <c r="AG94" i="1"/>
  <c r="AG100" i="1"/>
  <c r="AG103" i="1" s="1"/>
  <c r="AG93" i="1"/>
  <c r="M88" i="1"/>
  <c r="AU76" i="1"/>
  <c r="AU78" i="1" s="1"/>
  <c r="AU82" i="1"/>
  <c r="AV88" i="1"/>
  <c r="AV89" i="1"/>
  <c r="AV92" i="1"/>
  <c r="X76" i="1"/>
  <c r="X78" i="1" s="1"/>
  <c r="X82" i="1"/>
  <c r="AF78" i="1"/>
  <c r="AD94" i="1"/>
  <c r="AD100" i="1"/>
  <c r="AD103" i="1" s="1"/>
  <c r="S79" i="1"/>
  <c r="AQ89" i="1"/>
  <c r="AQ92" i="1"/>
  <c r="AQ88" i="1"/>
  <c r="AQ76" i="1"/>
  <c r="AQ78" i="1" s="1"/>
  <c r="AR79" i="1" s="1"/>
  <c r="AQ82" i="1"/>
  <c r="Y82" i="1"/>
  <c r="Y76" i="1"/>
  <c r="Y78" i="1" s="1"/>
  <c r="Y79" i="1" s="1"/>
  <c r="AP89" i="1"/>
  <c r="AP92" i="1"/>
  <c r="AP88" i="1"/>
  <c r="M79" i="1"/>
  <c r="AL69" i="1"/>
  <c r="AL68" i="1"/>
  <c r="AL85" i="1"/>
  <c r="AL87" i="1" s="1"/>
  <c r="AL73" i="1"/>
  <c r="T89" i="1"/>
  <c r="T92" i="1"/>
  <c r="T88" i="1"/>
  <c r="AU88" i="1"/>
  <c r="AU89" i="1"/>
  <c r="AU92" i="1"/>
  <c r="N93" i="1"/>
  <c r="N94" i="1"/>
  <c r="N100" i="1"/>
  <c r="N103" i="1" s="1"/>
  <c r="Y89" i="1"/>
  <c r="Y92" i="1"/>
  <c r="Y88" i="1"/>
  <c r="G11" i="92"/>
  <c r="R94" i="1"/>
  <c r="R100" i="1"/>
  <c r="R103" i="1" s="1"/>
  <c r="R93" i="1"/>
  <c r="I14" i="56"/>
  <c r="AM73" i="1"/>
  <c r="AM69" i="1"/>
  <c r="AM68" i="1"/>
  <c r="AM85" i="1"/>
  <c r="AM87" i="1" s="1"/>
  <c r="T76" i="1"/>
  <c r="T78" i="1" s="1"/>
  <c r="T79" i="1" s="1"/>
  <c r="T82" i="1"/>
  <c r="AP76" i="1"/>
  <c r="AP78" i="1" s="1"/>
  <c r="AP79" i="1" s="1"/>
  <c r="AP82" i="1"/>
  <c r="N24" i="194"/>
  <c r="AW63" i="1"/>
  <c r="AW62" i="1"/>
  <c r="AW64" i="1"/>
  <c r="AV76" i="1"/>
  <c r="AV78" i="1" s="1"/>
  <c r="AV82" i="1"/>
  <c r="AJ64" i="1"/>
  <c r="AJ67" i="1"/>
  <c r="AJ63" i="1"/>
  <c r="AJ62" i="1"/>
  <c r="S94" i="1"/>
  <c r="S100" i="1"/>
  <c r="S103" i="1" s="1"/>
  <c r="S93" i="1"/>
  <c r="W89" i="1"/>
  <c r="W92" i="1"/>
  <c r="AA93" i="1" s="1"/>
  <c r="W88" i="1"/>
  <c r="AT88" i="1"/>
  <c r="AT89" i="1"/>
  <c r="AT92" i="1"/>
  <c r="AS89" i="1"/>
  <c r="AS92" i="1"/>
  <c r="AS88" i="1"/>
  <c r="U76" i="1"/>
  <c r="U78" i="1" s="1"/>
  <c r="U79" i="1" s="1"/>
  <c r="U82" i="1"/>
  <c r="R79" i="1"/>
  <c r="H89" i="1"/>
  <c r="H92" i="1"/>
  <c r="L88" i="1"/>
  <c r="AA94" i="1"/>
  <c r="AA100" i="1"/>
  <c r="AA103" i="1" s="1"/>
  <c r="AC79" i="1"/>
  <c r="AO94" i="1"/>
  <c r="AO100" i="1"/>
  <c r="AO103" i="1" s="1"/>
  <c r="X89" i="1"/>
  <c r="X92" i="1"/>
  <c r="X88" i="1"/>
  <c r="AB88" i="1"/>
  <c r="V76" i="1"/>
  <c r="V78" i="1" s="1"/>
  <c r="V82" i="1"/>
  <c r="AT76" i="1"/>
  <c r="AT78" i="1" s="1"/>
  <c r="AT82" i="1"/>
  <c r="AE100" i="1"/>
  <c r="AE103" i="1" s="1"/>
  <c r="AE93" i="1"/>
  <c r="AE94" i="1"/>
  <c r="AS76" i="1"/>
  <c r="AS78" i="1" s="1"/>
  <c r="AS79" i="1" s="1"/>
  <c r="AS82" i="1"/>
  <c r="AR94" i="1"/>
  <c r="AR100" i="1"/>
  <c r="AR103" i="1" s="1"/>
  <c r="O100" i="1"/>
  <c r="O103" i="1" s="1"/>
  <c r="O93" i="1"/>
  <c r="O94" i="1"/>
  <c r="K94" i="1"/>
  <c r="K100" i="1"/>
  <c r="K103" i="1" s="1"/>
  <c r="U89" i="1"/>
  <c r="U92" i="1"/>
  <c r="U88" i="1"/>
  <c r="W76" i="1"/>
  <c r="W78" i="1" s="1"/>
  <c r="W79" i="1" s="1"/>
  <c r="W82" i="1"/>
  <c r="V89" i="1"/>
  <c r="V92" i="1"/>
  <c r="V88" i="1"/>
  <c r="Z88" i="1"/>
  <c r="AI69" i="1"/>
  <c r="AI68" i="1"/>
  <c r="AI73" i="1"/>
  <c r="AI85" i="1"/>
  <c r="AW67" i="1"/>
  <c r="H14" i="56"/>
  <c r="P100" i="1"/>
  <c r="P103" i="1" s="1"/>
  <c r="P93" i="1"/>
  <c r="P94" i="1"/>
  <c r="S219" i="1"/>
  <c r="S217" i="1" s="1"/>
  <c r="S215" i="1" s="1"/>
  <c r="AS215" i="1" s="1"/>
  <c r="N44" i="194"/>
  <c r="O44" i="194"/>
  <c r="N45" i="194"/>
  <c r="AM111" i="1"/>
  <c r="AC94" i="1"/>
  <c r="AC100" i="1"/>
  <c r="AC103" i="1" s="1"/>
  <c r="E15" i="92"/>
  <c r="E16" i="92"/>
  <c r="E14" i="92"/>
  <c r="E17" i="92"/>
  <c r="E18" i="92"/>
  <c r="E19" i="92"/>
  <c r="E10" i="92"/>
  <c r="E11" i="92"/>
  <c r="E12" i="92"/>
  <c r="E13" i="92"/>
  <c r="G12" i="92" s="1"/>
  <c r="AF92" i="1"/>
  <c r="AF88" i="1"/>
  <c r="AF89" i="1"/>
  <c r="K26" i="194"/>
  <c r="K25" i="194"/>
  <c r="K55" i="194"/>
  <c r="AL220" i="1"/>
  <c r="AH78" i="1" l="1"/>
  <c r="AH79" i="1" s="1"/>
  <c r="AH98" i="1"/>
  <c r="AB100" i="1"/>
  <c r="AB103" i="1" s="1"/>
  <c r="AB94" i="1"/>
  <c r="AU79" i="1"/>
  <c r="AT79" i="1"/>
  <c r="Z94" i="1"/>
  <c r="Z100" i="1"/>
  <c r="Z103" i="1" s="1"/>
  <c r="AD93" i="1"/>
  <c r="AF79" i="1"/>
  <c r="AX40" i="1"/>
  <c r="AK42" i="1"/>
  <c r="AK41" i="1"/>
  <c r="AH88" i="1"/>
  <c r="AH89" i="1"/>
  <c r="AH92" i="1"/>
  <c r="AQ94" i="1"/>
  <c r="AQ100" i="1"/>
  <c r="AQ103" i="1" s="1"/>
  <c r="AQ93" i="1"/>
  <c r="AS93" i="1"/>
  <c r="AS94" i="1"/>
  <c r="AS100" i="1"/>
  <c r="AS103" i="1" s="1"/>
  <c r="AJ69" i="1"/>
  <c r="AJ68" i="1"/>
  <c r="AJ73" i="1"/>
  <c r="AJ85" i="1"/>
  <c r="U94" i="1"/>
  <c r="U100" i="1"/>
  <c r="U103" i="1" s="1"/>
  <c r="U93" i="1"/>
  <c r="AV79" i="1"/>
  <c r="T94" i="1"/>
  <c r="T100" i="1"/>
  <c r="T103" i="1" s="1"/>
  <c r="T93" i="1"/>
  <c r="Y94" i="1"/>
  <c r="Y100" i="1"/>
  <c r="Y103" i="1" s="1"/>
  <c r="Y93" i="1"/>
  <c r="I94" i="1"/>
  <c r="I100" i="1"/>
  <c r="I103" i="1" s="1"/>
  <c r="AS219" i="1"/>
  <c r="AT227" i="1" s="1"/>
  <c r="AW68" i="1"/>
  <c r="AW69" i="1"/>
  <c r="X94" i="1"/>
  <c r="X100" i="1"/>
  <c r="X103" i="1" s="1"/>
  <c r="X93" i="1"/>
  <c r="AB93" i="1"/>
  <c r="H94" i="1"/>
  <c r="H100" i="1"/>
  <c r="H103" i="1" s="1"/>
  <c r="L93" i="1"/>
  <c r="AM74" i="1"/>
  <c r="AM98" i="1" s="1"/>
  <c r="AI87" i="1"/>
  <c r="AW85" i="1"/>
  <c r="AW87" i="1" s="1"/>
  <c r="AP94" i="1"/>
  <c r="AP100" i="1"/>
  <c r="AP103" i="1" s="1"/>
  <c r="AP93" i="1"/>
  <c r="AS217" i="1"/>
  <c r="AT225" i="1" s="1"/>
  <c r="AL74" i="1"/>
  <c r="AL98" i="1" s="1"/>
  <c r="AL76" i="1"/>
  <c r="AX111" i="1"/>
  <c r="AR93" i="1"/>
  <c r="AU93" i="1"/>
  <c r="AU94" i="1"/>
  <c r="AU100" i="1"/>
  <c r="AU103" i="1" s="1"/>
  <c r="X79" i="1"/>
  <c r="AB79" i="1"/>
  <c r="AI74" i="1"/>
  <c r="AI76" i="1" s="1"/>
  <c r="AW73" i="1"/>
  <c r="W94" i="1"/>
  <c r="W100" i="1"/>
  <c r="W103" i="1" s="1"/>
  <c r="W93" i="1"/>
  <c r="AA79" i="1"/>
  <c r="AM89" i="1"/>
  <c r="AM92" i="1"/>
  <c r="AV100" i="1"/>
  <c r="AV103" i="1" s="1"/>
  <c r="AV93" i="1"/>
  <c r="AV94" i="1"/>
  <c r="N26" i="194"/>
  <c r="N25" i="194"/>
  <c r="N55" i="194"/>
  <c r="AC93" i="1"/>
  <c r="V94" i="1"/>
  <c r="V100" i="1"/>
  <c r="V103" i="1" s="1"/>
  <c r="V93" i="1"/>
  <c r="Z93" i="1"/>
  <c r="AQ79" i="1"/>
  <c r="AL89" i="1"/>
  <c r="AL92" i="1"/>
  <c r="AL88" i="1"/>
  <c r="V79" i="1"/>
  <c r="Z79" i="1"/>
  <c r="AT93" i="1"/>
  <c r="AT94" i="1"/>
  <c r="AT100" i="1"/>
  <c r="AT103" i="1" s="1"/>
  <c r="AF100" i="1"/>
  <c r="AF103" i="1" s="1"/>
  <c r="AI103" i="1" s="1"/>
  <c r="AF93" i="1"/>
  <c r="AF94" i="1"/>
  <c r="H12" i="92"/>
  <c r="AH81" i="1"/>
  <c r="AM220" i="1"/>
  <c r="AX220" i="1" s="1"/>
  <c r="AP220" i="1"/>
  <c r="AQ220" i="1"/>
  <c r="AR220" i="1"/>
  <c r="AS220" i="1"/>
  <c r="AT220" i="1"/>
  <c r="AU220" i="1"/>
  <c r="AV220" i="1"/>
  <c r="AW220" i="1"/>
  <c r="H223" i="1"/>
  <c r="I223" i="1"/>
  <c r="J223" i="1"/>
  <c r="K223" i="1"/>
  <c r="L223" i="1"/>
  <c r="M223" i="1"/>
  <c r="N223" i="1"/>
  <c r="O223" i="1"/>
  <c r="P223" i="1"/>
  <c r="Q223" i="1"/>
  <c r="R223" i="1"/>
  <c r="S223" i="1"/>
  <c r="T223" i="1"/>
  <c r="U223" i="1"/>
  <c r="V223" i="1"/>
  <c r="W223" i="1"/>
  <c r="X223" i="1"/>
  <c r="Y223" i="1"/>
  <c r="Z223" i="1"/>
  <c r="AA223" i="1"/>
  <c r="AB223" i="1"/>
  <c r="AC223" i="1"/>
  <c r="AD223" i="1"/>
  <c r="AE223" i="1"/>
  <c r="AF223" i="1"/>
  <c r="AG223" i="1"/>
  <c r="AP223" i="1"/>
  <c r="AQ223" i="1"/>
  <c r="AR223" i="1"/>
  <c r="AS223" i="1"/>
  <c r="AT223" i="1"/>
  <c r="AU223" i="1"/>
  <c r="AV223" i="1"/>
  <c r="AW223" i="1"/>
  <c r="AX223" i="1"/>
  <c r="H224" i="1"/>
  <c r="I224" i="1"/>
  <c r="J224" i="1"/>
  <c r="K224" i="1"/>
  <c r="L224" i="1"/>
  <c r="M224" i="1"/>
  <c r="N224" i="1"/>
  <c r="O224" i="1"/>
  <c r="P224" i="1"/>
  <c r="Q224" i="1"/>
  <c r="R224" i="1"/>
  <c r="S224" i="1"/>
  <c r="T224" i="1"/>
  <c r="U224" i="1"/>
  <c r="V224" i="1"/>
  <c r="W224" i="1"/>
  <c r="X224" i="1"/>
  <c r="Y224" i="1"/>
  <c r="Z224" i="1"/>
  <c r="AA224" i="1"/>
  <c r="AB224" i="1"/>
  <c r="AC224" i="1"/>
  <c r="AD224" i="1"/>
  <c r="AE224" i="1"/>
  <c r="AF224" i="1"/>
  <c r="AG224" i="1"/>
  <c r="AP224" i="1"/>
  <c r="AQ224" i="1"/>
  <c r="AR224" i="1"/>
  <c r="AS224" i="1"/>
  <c r="AT224" i="1"/>
  <c r="AU224" i="1"/>
  <c r="AV224" i="1"/>
  <c r="AW224" i="1"/>
  <c r="AX224" i="1"/>
  <c r="H225" i="1"/>
  <c r="I225" i="1"/>
  <c r="J225" i="1"/>
  <c r="K225" i="1"/>
  <c r="L225" i="1"/>
  <c r="M225" i="1"/>
  <c r="N225" i="1"/>
  <c r="O225" i="1"/>
  <c r="P225" i="1"/>
  <c r="Q225" i="1"/>
  <c r="R225" i="1"/>
  <c r="S225" i="1"/>
  <c r="T225" i="1"/>
  <c r="U225" i="1"/>
  <c r="V225" i="1"/>
  <c r="W225" i="1"/>
  <c r="X225" i="1"/>
  <c r="Y225" i="1"/>
  <c r="Z225" i="1"/>
  <c r="AA225" i="1"/>
  <c r="AB225" i="1"/>
  <c r="AC225" i="1"/>
  <c r="AD225" i="1"/>
  <c r="AE225" i="1"/>
  <c r="AF225" i="1"/>
  <c r="AG225" i="1"/>
  <c r="AH225" i="1"/>
  <c r="AI225" i="1"/>
  <c r="AJ225" i="1"/>
  <c r="AK225" i="1"/>
  <c r="AL225" i="1"/>
  <c r="AM225" i="1"/>
  <c r="AP225" i="1"/>
  <c r="AQ225" i="1"/>
  <c r="AR225" i="1"/>
  <c r="AU225" i="1"/>
  <c r="AV225" i="1"/>
  <c r="AW225" i="1"/>
  <c r="AX225" i="1"/>
  <c r="H226" i="1"/>
  <c r="I226" i="1"/>
  <c r="J226" i="1"/>
  <c r="K226" i="1"/>
  <c r="L226" i="1"/>
  <c r="M226" i="1"/>
  <c r="N226" i="1"/>
  <c r="O226" i="1"/>
  <c r="P226" i="1"/>
  <c r="Q226" i="1"/>
  <c r="R226" i="1"/>
  <c r="S226" i="1"/>
  <c r="T226" i="1"/>
  <c r="U226" i="1"/>
  <c r="V226" i="1"/>
  <c r="W226" i="1"/>
  <c r="X226" i="1"/>
  <c r="Y226" i="1"/>
  <c r="Z226" i="1"/>
  <c r="AA226" i="1"/>
  <c r="AB226" i="1"/>
  <c r="AC226" i="1"/>
  <c r="AD226" i="1"/>
  <c r="AE226" i="1"/>
  <c r="AF226" i="1"/>
  <c r="AG226" i="1"/>
  <c r="AH226" i="1"/>
  <c r="AI226" i="1"/>
  <c r="AP226" i="1"/>
  <c r="AQ226" i="1"/>
  <c r="AR226" i="1"/>
  <c r="AS226" i="1"/>
  <c r="AT226" i="1"/>
  <c r="AU226" i="1"/>
  <c r="AV226" i="1"/>
  <c r="AW226" i="1"/>
  <c r="AX226" i="1"/>
  <c r="H227" i="1"/>
  <c r="I227" i="1"/>
  <c r="J227" i="1"/>
  <c r="K227" i="1"/>
  <c r="L227" i="1"/>
  <c r="M227" i="1"/>
  <c r="N227" i="1"/>
  <c r="O227" i="1"/>
  <c r="P227" i="1"/>
  <c r="Q227" i="1"/>
  <c r="R227" i="1"/>
  <c r="S227" i="1"/>
  <c r="T227" i="1"/>
  <c r="U227" i="1"/>
  <c r="V227" i="1"/>
  <c r="W227" i="1"/>
  <c r="X227" i="1"/>
  <c r="Y227" i="1"/>
  <c r="Z227" i="1"/>
  <c r="AA227" i="1"/>
  <c r="AB227" i="1"/>
  <c r="AC227" i="1"/>
  <c r="AD227" i="1"/>
  <c r="AE227" i="1"/>
  <c r="AF227" i="1"/>
  <c r="AG227" i="1"/>
  <c r="AH227" i="1"/>
  <c r="AI227" i="1"/>
  <c r="AJ227" i="1"/>
  <c r="AK227" i="1"/>
  <c r="AL227" i="1"/>
  <c r="AM227" i="1"/>
  <c r="AP227" i="1"/>
  <c r="AQ227" i="1"/>
  <c r="AR227" i="1"/>
  <c r="AU227" i="1"/>
  <c r="AV227" i="1"/>
  <c r="AW227" i="1"/>
  <c r="AX227" i="1"/>
  <c r="E230" i="1"/>
  <c r="F230" i="1"/>
  <c r="G230" i="1"/>
  <c r="H230" i="1"/>
  <c r="I230" i="1"/>
  <c r="J230" i="1"/>
  <c r="K230" i="1"/>
  <c r="L230" i="1"/>
  <c r="M230" i="1"/>
  <c r="N230" i="1"/>
  <c r="O230" i="1"/>
  <c r="P230" i="1"/>
  <c r="Q230" i="1"/>
  <c r="R230" i="1"/>
  <c r="S230" i="1"/>
  <c r="T230" i="1"/>
  <c r="U230" i="1"/>
  <c r="V230" i="1"/>
  <c r="W230" i="1"/>
  <c r="X230" i="1"/>
  <c r="Y230" i="1"/>
  <c r="Z230" i="1"/>
  <c r="AA230" i="1"/>
  <c r="AB230" i="1"/>
  <c r="AC230" i="1"/>
  <c r="AD230" i="1"/>
  <c r="AE230" i="1"/>
  <c r="AF230" i="1"/>
  <c r="AG230" i="1"/>
  <c r="AH230" i="1"/>
  <c r="AI230" i="1"/>
  <c r="AJ230" i="1"/>
  <c r="AK230" i="1"/>
  <c r="AL230" i="1"/>
  <c r="AM230" i="1"/>
  <c r="E231" i="1"/>
  <c r="F231" i="1"/>
  <c r="G231" i="1"/>
  <c r="H231" i="1"/>
  <c r="I231" i="1"/>
  <c r="J231" i="1"/>
  <c r="K231" i="1"/>
  <c r="L231" i="1"/>
  <c r="M231" i="1"/>
  <c r="N231" i="1"/>
  <c r="O231" i="1"/>
  <c r="P231" i="1"/>
  <c r="Q231" i="1"/>
  <c r="R231" i="1"/>
  <c r="S231" i="1"/>
  <c r="T231" i="1"/>
  <c r="U231" i="1"/>
  <c r="V231" i="1"/>
  <c r="W231" i="1"/>
  <c r="X231" i="1"/>
  <c r="Y231" i="1"/>
  <c r="Z231" i="1"/>
  <c r="AA231" i="1"/>
  <c r="AB231" i="1"/>
  <c r="AC231" i="1"/>
  <c r="AD231" i="1"/>
  <c r="AE231" i="1"/>
  <c r="AF231" i="1"/>
  <c r="AG231" i="1"/>
  <c r="AH231" i="1"/>
  <c r="AI231" i="1"/>
  <c r="AJ231" i="1"/>
  <c r="AK231" i="1"/>
  <c r="AL231" i="1"/>
  <c r="AM231" i="1"/>
  <c r="E232" i="1"/>
  <c r="F232" i="1"/>
  <c r="G232" i="1"/>
  <c r="H232" i="1"/>
  <c r="I232" i="1"/>
  <c r="J232" i="1"/>
  <c r="K232" i="1"/>
  <c r="L232" i="1"/>
  <c r="M232" i="1"/>
  <c r="N232" i="1"/>
  <c r="O232" i="1"/>
  <c r="P232" i="1"/>
  <c r="Q232" i="1"/>
  <c r="R232" i="1"/>
  <c r="S232" i="1"/>
  <c r="T232" i="1"/>
  <c r="U232" i="1"/>
  <c r="V232" i="1"/>
  <c r="W232" i="1"/>
  <c r="X232" i="1"/>
  <c r="Y232" i="1"/>
  <c r="Z232" i="1"/>
  <c r="AA232" i="1"/>
  <c r="AB232" i="1"/>
  <c r="AC232" i="1"/>
  <c r="AD232" i="1"/>
  <c r="AE232" i="1"/>
  <c r="AF232" i="1"/>
  <c r="AG232" i="1"/>
  <c r="AH232" i="1"/>
  <c r="AI232" i="1"/>
  <c r="AJ232" i="1"/>
  <c r="AK232" i="1"/>
  <c r="AL232" i="1"/>
  <c r="AM232" i="1"/>
  <c r="E233" i="1"/>
  <c r="F233" i="1"/>
  <c r="G233" i="1"/>
  <c r="H233" i="1"/>
  <c r="I233" i="1"/>
  <c r="J233" i="1"/>
  <c r="K233" i="1"/>
  <c r="L233" i="1"/>
  <c r="M233" i="1"/>
  <c r="N233" i="1"/>
  <c r="O233" i="1"/>
  <c r="P233" i="1"/>
  <c r="Q233" i="1"/>
  <c r="R233" i="1"/>
  <c r="S233" i="1"/>
  <c r="T233" i="1"/>
  <c r="U233" i="1"/>
  <c r="V233" i="1"/>
  <c r="W233" i="1"/>
  <c r="X233" i="1"/>
  <c r="Y233" i="1"/>
  <c r="Z233" i="1"/>
  <c r="AA233" i="1"/>
  <c r="AB233" i="1"/>
  <c r="AC233" i="1"/>
  <c r="AD233" i="1"/>
  <c r="AE233" i="1"/>
  <c r="AF233" i="1"/>
  <c r="AG233" i="1"/>
  <c r="AJ233" i="1"/>
  <c r="AK233" i="1"/>
  <c r="AL233" i="1"/>
  <c r="AM233" i="1"/>
  <c r="E234" i="1"/>
  <c r="F234" i="1"/>
  <c r="G234" i="1"/>
  <c r="H234" i="1"/>
  <c r="I234" i="1"/>
  <c r="J234" i="1"/>
  <c r="K234" i="1"/>
  <c r="L234" i="1"/>
  <c r="M234" i="1"/>
  <c r="N234" i="1"/>
  <c r="O234" i="1"/>
  <c r="P234" i="1"/>
  <c r="Q234" i="1"/>
  <c r="R234" i="1"/>
  <c r="S234" i="1"/>
  <c r="T234" i="1"/>
  <c r="U234" i="1"/>
  <c r="V234" i="1"/>
  <c r="W234" i="1"/>
  <c r="X234" i="1"/>
  <c r="Y234" i="1"/>
  <c r="Z234" i="1"/>
  <c r="AA234" i="1"/>
  <c r="AB234" i="1"/>
  <c r="AC234" i="1"/>
  <c r="AD234" i="1"/>
  <c r="AE234" i="1"/>
  <c r="AF234" i="1"/>
  <c r="AG234" i="1"/>
  <c r="AH234" i="1"/>
  <c r="AI234" i="1"/>
  <c r="AJ234" i="1"/>
  <c r="AK234" i="1"/>
  <c r="AL234" i="1"/>
  <c r="AM234" i="1"/>
  <c r="AP237" i="1"/>
  <c r="AP245" i="1" s="1"/>
  <c r="AQ237" i="1"/>
  <c r="AR237" i="1"/>
  <c r="AS237" i="1"/>
  <c r="AS245" i="1" s="1"/>
  <c r="AT237" i="1"/>
  <c r="AU237" i="1"/>
  <c r="AU245" i="1" s="1"/>
  <c r="AV237" i="1"/>
  <c r="AV245" i="1" s="1"/>
  <c r="AW237" i="1"/>
  <c r="AW245" i="1" s="1"/>
  <c r="AX237" i="1"/>
  <c r="AX259" i="1" s="1"/>
  <c r="AP238" i="1"/>
  <c r="AP260" i="1" s="1"/>
  <c r="AQ238" i="1"/>
  <c r="AQ260" i="1" s="1"/>
  <c r="AR238" i="1"/>
  <c r="AR260" i="1" s="1"/>
  <c r="AS238" i="1"/>
  <c r="AT238" i="1"/>
  <c r="AT246" i="1" s="1"/>
  <c r="AU238" i="1"/>
  <c r="AV238" i="1"/>
  <c r="AV246" i="1" s="1"/>
  <c r="AW238" i="1"/>
  <c r="AW246" i="1" s="1"/>
  <c r="AX238" i="1"/>
  <c r="AX246" i="1" s="1"/>
  <c r="AX239" i="1"/>
  <c r="AP240" i="1"/>
  <c r="AP248" i="1" s="1"/>
  <c r="AQ240" i="1"/>
  <c r="AR240" i="1"/>
  <c r="AS240" i="1"/>
  <c r="AT240" i="1"/>
  <c r="AT248" i="1" s="1"/>
  <c r="AU240" i="1"/>
  <c r="AV240" i="1"/>
  <c r="AV248" i="1" s="1"/>
  <c r="AW240" i="1"/>
  <c r="AW248" i="1" s="1"/>
  <c r="AX240" i="1"/>
  <c r="AX248" i="1" s="1"/>
  <c r="AH242" i="1"/>
  <c r="AI242" i="1"/>
  <c r="AJ242" i="1"/>
  <c r="AK242" i="1"/>
  <c r="AL242" i="1"/>
  <c r="AM242" i="1"/>
  <c r="AP242" i="1"/>
  <c r="AQ242" i="1"/>
  <c r="AR242" i="1"/>
  <c r="AS242" i="1"/>
  <c r="AT242" i="1"/>
  <c r="AU242" i="1"/>
  <c r="AV242" i="1"/>
  <c r="H245" i="1"/>
  <c r="I245" i="1"/>
  <c r="J245" i="1"/>
  <c r="K245" i="1"/>
  <c r="L245" i="1"/>
  <c r="M245" i="1"/>
  <c r="N245" i="1"/>
  <c r="O245" i="1"/>
  <c r="P245" i="1"/>
  <c r="Q245" i="1"/>
  <c r="R245" i="1"/>
  <c r="S245" i="1"/>
  <c r="T245" i="1"/>
  <c r="C20" i="220" s="1"/>
  <c r="U245" i="1"/>
  <c r="D20" i="220" s="1"/>
  <c r="V245" i="1"/>
  <c r="E20" i="220" s="1"/>
  <c r="W245" i="1"/>
  <c r="F20" i="220" s="1"/>
  <c r="X245" i="1"/>
  <c r="G20" i="220" s="1"/>
  <c r="Y245" i="1"/>
  <c r="H20" i="220" s="1"/>
  <c r="Z245" i="1"/>
  <c r="I20" i="220" s="1"/>
  <c r="AA245" i="1"/>
  <c r="J20" i="220" s="1"/>
  <c r="AB245" i="1"/>
  <c r="K20" i="220" s="1"/>
  <c r="AC245" i="1"/>
  <c r="L20" i="220" s="1"/>
  <c r="AD245" i="1"/>
  <c r="M20" i="220" s="1"/>
  <c r="AE245" i="1"/>
  <c r="N20" i="220" s="1"/>
  <c r="AF245" i="1"/>
  <c r="O20" i="220" s="1"/>
  <c r="AG245" i="1"/>
  <c r="P20" i="220" s="1"/>
  <c r="AH245" i="1"/>
  <c r="AI245" i="1"/>
  <c r="AJ245" i="1"/>
  <c r="AK245" i="1"/>
  <c r="AL245" i="1"/>
  <c r="AM245" i="1"/>
  <c r="H246" i="1"/>
  <c r="I246" i="1"/>
  <c r="J246" i="1"/>
  <c r="K246" i="1"/>
  <c r="L246" i="1"/>
  <c r="M246" i="1"/>
  <c r="N246" i="1"/>
  <c r="O246" i="1"/>
  <c r="P246" i="1"/>
  <c r="Q246" i="1"/>
  <c r="R246" i="1"/>
  <c r="S246" i="1"/>
  <c r="T246" i="1"/>
  <c r="U246" i="1"/>
  <c r="V246" i="1"/>
  <c r="W246" i="1"/>
  <c r="X246" i="1"/>
  <c r="Y246" i="1"/>
  <c r="Z246" i="1"/>
  <c r="AA246" i="1"/>
  <c r="AB246" i="1"/>
  <c r="AC246" i="1"/>
  <c r="AD246" i="1"/>
  <c r="AE246" i="1"/>
  <c r="AF246" i="1"/>
  <c r="AG246" i="1"/>
  <c r="AH246" i="1"/>
  <c r="AI246" i="1"/>
  <c r="AJ246" i="1"/>
  <c r="AK246" i="1"/>
  <c r="AL246" i="1"/>
  <c r="AM246" i="1"/>
  <c r="AP246" i="1"/>
  <c r="AQ246" i="1"/>
  <c r="H247" i="1"/>
  <c r="I247" i="1"/>
  <c r="J247" i="1"/>
  <c r="K247" i="1"/>
  <c r="L247" i="1"/>
  <c r="M247" i="1"/>
  <c r="N247" i="1"/>
  <c r="O247" i="1"/>
  <c r="P247" i="1"/>
  <c r="Q247" i="1"/>
  <c r="R247" i="1"/>
  <c r="S247" i="1"/>
  <c r="T247" i="1"/>
  <c r="U247" i="1"/>
  <c r="V247" i="1"/>
  <c r="W247" i="1"/>
  <c r="X247" i="1"/>
  <c r="Y247" i="1"/>
  <c r="Z247" i="1"/>
  <c r="AA247" i="1"/>
  <c r="AB247" i="1"/>
  <c r="AC247" i="1"/>
  <c r="AD247" i="1"/>
  <c r="AE247" i="1"/>
  <c r="AF247" i="1"/>
  <c r="AG247" i="1"/>
  <c r="AH247" i="1"/>
  <c r="AI247" i="1"/>
  <c r="AJ247" i="1"/>
  <c r="AK247" i="1"/>
  <c r="AL247" i="1"/>
  <c r="AM247" i="1"/>
  <c r="AP247" i="1"/>
  <c r="AQ247" i="1"/>
  <c r="AR247" i="1"/>
  <c r="AS247" i="1"/>
  <c r="AT247" i="1"/>
  <c r="AU247" i="1"/>
  <c r="AV247" i="1"/>
  <c r="AW247" i="1"/>
  <c r="AX247" i="1"/>
  <c r="H248" i="1"/>
  <c r="I248" i="1"/>
  <c r="J248" i="1"/>
  <c r="K248" i="1"/>
  <c r="L248" i="1"/>
  <c r="M248" i="1"/>
  <c r="N248" i="1"/>
  <c r="O248" i="1"/>
  <c r="P248" i="1"/>
  <c r="Q248" i="1"/>
  <c r="R248" i="1"/>
  <c r="S248" i="1"/>
  <c r="T248" i="1"/>
  <c r="U248" i="1"/>
  <c r="V248" i="1"/>
  <c r="W248" i="1"/>
  <c r="X248" i="1"/>
  <c r="Y248" i="1"/>
  <c r="Z248" i="1"/>
  <c r="AA248" i="1"/>
  <c r="AB248" i="1"/>
  <c r="AC248" i="1"/>
  <c r="AD248" i="1"/>
  <c r="AE248" i="1"/>
  <c r="AF248" i="1"/>
  <c r="AG248" i="1"/>
  <c r="AH248" i="1"/>
  <c r="AI248" i="1"/>
  <c r="AJ248" i="1"/>
  <c r="AK248" i="1"/>
  <c r="AL248" i="1"/>
  <c r="AM248" i="1"/>
  <c r="H249" i="1"/>
  <c r="I249" i="1"/>
  <c r="J249" i="1"/>
  <c r="K249" i="1"/>
  <c r="L249" i="1"/>
  <c r="M249" i="1"/>
  <c r="N249" i="1"/>
  <c r="O249" i="1"/>
  <c r="P249" i="1"/>
  <c r="Q249" i="1"/>
  <c r="R249" i="1"/>
  <c r="S249" i="1"/>
  <c r="T249" i="1"/>
  <c r="U249" i="1"/>
  <c r="V249" i="1"/>
  <c r="W249" i="1"/>
  <c r="X249" i="1"/>
  <c r="Y249" i="1"/>
  <c r="Z249" i="1"/>
  <c r="AA249" i="1"/>
  <c r="AB249" i="1"/>
  <c r="AC249" i="1"/>
  <c r="AD249" i="1"/>
  <c r="AE249" i="1"/>
  <c r="AF249" i="1"/>
  <c r="AG249" i="1"/>
  <c r="AH249" i="1"/>
  <c r="AI249" i="1"/>
  <c r="AJ249" i="1"/>
  <c r="AK249" i="1"/>
  <c r="AL249" i="1"/>
  <c r="AM249" i="1"/>
  <c r="AP249" i="1"/>
  <c r="AQ249" i="1"/>
  <c r="AR249" i="1"/>
  <c r="AS249" i="1"/>
  <c r="AT249" i="1"/>
  <c r="AU249" i="1"/>
  <c r="AV249" i="1"/>
  <c r="AW249" i="1"/>
  <c r="AX249" i="1"/>
  <c r="E252" i="1"/>
  <c r="F252" i="1"/>
  <c r="G252" i="1"/>
  <c r="H252" i="1"/>
  <c r="I252" i="1"/>
  <c r="J252" i="1"/>
  <c r="K252" i="1"/>
  <c r="L252" i="1"/>
  <c r="M252" i="1"/>
  <c r="N252" i="1"/>
  <c r="O252" i="1"/>
  <c r="P252" i="1"/>
  <c r="Q252" i="1"/>
  <c r="R252" i="1"/>
  <c r="S252" i="1"/>
  <c r="T252" i="1"/>
  <c r="U252" i="1"/>
  <c r="V252" i="1"/>
  <c r="W252" i="1"/>
  <c r="X252" i="1"/>
  <c r="Y252" i="1"/>
  <c r="Z252" i="1"/>
  <c r="AA252" i="1"/>
  <c r="AB252" i="1"/>
  <c r="AC252" i="1"/>
  <c r="AD252" i="1"/>
  <c r="AE252" i="1"/>
  <c r="AF252" i="1"/>
  <c r="AG252" i="1"/>
  <c r="AH252" i="1"/>
  <c r="AI252" i="1"/>
  <c r="AJ252" i="1"/>
  <c r="AK252" i="1"/>
  <c r="AL252" i="1"/>
  <c r="AM252" i="1"/>
  <c r="E253" i="1"/>
  <c r="F253" i="1"/>
  <c r="G253" i="1"/>
  <c r="H253" i="1"/>
  <c r="I253" i="1"/>
  <c r="J253" i="1"/>
  <c r="K253" i="1"/>
  <c r="L253" i="1"/>
  <c r="M253" i="1"/>
  <c r="N253" i="1"/>
  <c r="O253" i="1"/>
  <c r="P253" i="1"/>
  <c r="Q253" i="1"/>
  <c r="R253" i="1"/>
  <c r="S253" i="1"/>
  <c r="T253" i="1"/>
  <c r="U253" i="1"/>
  <c r="V253" i="1"/>
  <c r="W253" i="1"/>
  <c r="X253" i="1"/>
  <c r="Y253" i="1"/>
  <c r="Z253" i="1"/>
  <c r="AA253" i="1"/>
  <c r="AB253" i="1"/>
  <c r="AC253" i="1"/>
  <c r="AD253" i="1"/>
  <c r="AE253" i="1"/>
  <c r="AF253" i="1"/>
  <c r="AG253" i="1"/>
  <c r="AH253" i="1"/>
  <c r="AI253" i="1"/>
  <c r="AJ253" i="1"/>
  <c r="AK253" i="1"/>
  <c r="AL253" i="1"/>
  <c r="AM253" i="1"/>
  <c r="E254" i="1"/>
  <c r="F254" i="1"/>
  <c r="G254" i="1"/>
  <c r="H254" i="1"/>
  <c r="I254" i="1"/>
  <c r="J254" i="1"/>
  <c r="K254" i="1"/>
  <c r="L254" i="1"/>
  <c r="M254" i="1"/>
  <c r="N254" i="1"/>
  <c r="O254" i="1"/>
  <c r="P254" i="1"/>
  <c r="Q254" i="1"/>
  <c r="R254" i="1"/>
  <c r="S254" i="1"/>
  <c r="T254" i="1"/>
  <c r="U254" i="1"/>
  <c r="V254" i="1"/>
  <c r="W254" i="1"/>
  <c r="X254" i="1"/>
  <c r="Y254" i="1"/>
  <c r="Z254" i="1"/>
  <c r="AA254" i="1"/>
  <c r="AB254" i="1"/>
  <c r="AC254" i="1"/>
  <c r="AD254" i="1"/>
  <c r="AE254" i="1"/>
  <c r="AF254" i="1"/>
  <c r="AG254" i="1"/>
  <c r="AH254" i="1"/>
  <c r="AI254" i="1"/>
  <c r="AJ254" i="1"/>
  <c r="AK254" i="1"/>
  <c r="AL254" i="1"/>
  <c r="AM254" i="1"/>
  <c r="E255" i="1"/>
  <c r="F255" i="1"/>
  <c r="G255" i="1"/>
  <c r="H255" i="1"/>
  <c r="I255" i="1"/>
  <c r="J255" i="1"/>
  <c r="K255" i="1"/>
  <c r="L255" i="1"/>
  <c r="M255" i="1"/>
  <c r="N255" i="1"/>
  <c r="O255" i="1"/>
  <c r="P255" i="1"/>
  <c r="Q255" i="1"/>
  <c r="R255" i="1"/>
  <c r="S255" i="1"/>
  <c r="T255" i="1"/>
  <c r="U255" i="1"/>
  <c r="V255" i="1"/>
  <c r="W255" i="1"/>
  <c r="X255" i="1"/>
  <c r="Y255" i="1"/>
  <c r="Z255" i="1"/>
  <c r="AA255" i="1"/>
  <c r="AB255" i="1"/>
  <c r="AC255" i="1"/>
  <c r="AD255" i="1"/>
  <c r="AE255" i="1"/>
  <c r="AF255" i="1"/>
  <c r="AG255" i="1"/>
  <c r="AH255" i="1"/>
  <c r="AI255" i="1"/>
  <c r="AJ255" i="1"/>
  <c r="AK255" i="1"/>
  <c r="AL255" i="1"/>
  <c r="AM255" i="1"/>
  <c r="E256" i="1"/>
  <c r="F256" i="1"/>
  <c r="G256" i="1"/>
  <c r="H256" i="1"/>
  <c r="I256" i="1"/>
  <c r="J256" i="1"/>
  <c r="K256" i="1"/>
  <c r="L256" i="1"/>
  <c r="M256" i="1"/>
  <c r="N256" i="1"/>
  <c r="O256" i="1"/>
  <c r="P256" i="1"/>
  <c r="Q256" i="1"/>
  <c r="R256" i="1"/>
  <c r="S256" i="1"/>
  <c r="T256" i="1"/>
  <c r="U256" i="1"/>
  <c r="V256" i="1"/>
  <c r="W256" i="1"/>
  <c r="X256" i="1"/>
  <c r="Y256" i="1"/>
  <c r="Z256" i="1"/>
  <c r="AA256" i="1"/>
  <c r="AB256" i="1"/>
  <c r="AC256" i="1"/>
  <c r="AD256" i="1"/>
  <c r="AE256" i="1"/>
  <c r="AF256" i="1"/>
  <c r="AG256" i="1"/>
  <c r="AH256" i="1"/>
  <c r="AI256" i="1"/>
  <c r="AJ256" i="1"/>
  <c r="AK256" i="1"/>
  <c r="AL256" i="1"/>
  <c r="AM256" i="1"/>
  <c r="L259" i="1"/>
  <c r="M259" i="1"/>
  <c r="N259" i="1"/>
  <c r="O259" i="1"/>
  <c r="P259" i="1"/>
  <c r="Q259" i="1"/>
  <c r="R259" i="1"/>
  <c r="S259" i="1"/>
  <c r="T259" i="1"/>
  <c r="U259" i="1"/>
  <c r="V259" i="1"/>
  <c r="W259" i="1"/>
  <c r="X259" i="1"/>
  <c r="Y259" i="1"/>
  <c r="Z259" i="1"/>
  <c r="AA259" i="1"/>
  <c r="AB259" i="1"/>
  <c r="AC259" i="1"/>
  <c r="AD259" i="1"/>
  <c r="AE259" i="1"/>
  <c r="AF259" i="1"/>
  <c r="AG259" i="1"/>
  <c r="AQ259" i="1"/>
  <c r="AR259" i="1"/>
  <c r="AT259" i="1"/>
  <c r="AU259" i="1"/>
  <c r="AV259" i="1"/>
  <c r="AW259" i="1"/>
  <c r="D260" i="1"/>
  <c r="E260" i="1"/>
  <c r="F260" i="1"/>
  <c r="G260" i="1"/>
  <c r="H260" i="1"/>
  <c r="I260" i="1"/>
  <c r="J260" i="1"/>
  <c r="K260" i="1"/>
  <c r="L260" i="1"/>
  <c r="M260" i="1"/>
  <c r="N260" i="1"/>
  <c r="O260" i="1"/>
  <c r="P260" i="1"/>
  <c r="Q260" i="1"/>
  <c r="R260" i="1"/>
  <c r="AO260" i="1"/>
  <c r="AS260" i="1"/>
  <c r="AU260" i="1"/>
  <c r="AV260" i="1"/>
  <c r="AW260" i="1"/>
  <c r="AX260" i="1"/>
  <c r="D261" i="1"/>
  <c r="E261" i="1"/>
  <c r="F261" i="1"/>
  <c r="G261" i="1"/>
  <c r="H261" i="1"/>
  <c r="I261" i="1"/>
  <c r="J261" i="1"/>
  <c r="K261" i="1"/>
  <c r="L261" i="1"/>
  <c r="M261" i="1"/>
  <c r="N261" i="1"/>
  <c r="O261" i="1"/>
  <c r="P261" i="1"/>
  <c r="Q261" i="1"/>
  <c r="R261" i="1"/>
  <c r="S261" i="1"/>
  <c r="T261" i="1"/>
  <c r="U261" i="1"/>
  <c r="V261" i="1"/>
  <c r="W261" i="1"/>
  <c r="X261" i="1"/>
  <c r="Y261" i="1"/>
  <c r="Z261" i="1"/>
  <c r="AA261" i="1"/>
  <c r="AB261" i="1"/>
  <c r="AC261" i="1"/>
  <c r="AD261" i="1"/>
  <c r="AE261" i="1"/>
  <c r="AF261" i="1"/>
  <c r="AG261" i="1"/>
  <c r="AH261" i="1"/>
  <c r="AI261" i="1"/>
  <c r="AJ261" i="1"/>
  <c r="AK261" i="1"/>
  <c r="AL261" i="1"/>
  <c r="AM261" i="1"/>
  <c r="AO261" i="1"/>
  <c r="AP261" i="1"/>
  <c r="AQ261" i="1"/>
  <c r="AR261" i="1"/>
  <c r="AT261" i="1"/>
  <c r="AU261" i="1"/>
  <c r="AV261" i="1"/>
  <c r="AW261" i="1"/>
  <c r="AX261" i="1"/>
  <c r="D262" i="1"/>
  <c r="E262" i="1"/>
  <c r="F262" i="1"/>
  <c r="G262" i="1"/>
  <c r="H262" i="1"/>
  <c r="I262" i="1"/>
  <c r="J262" i="1"/>
  <c r="K262" i="1"/>
  <c r="L262" i="1"/>
  <c r="M262" i="1"/>
  <c r="N262" i="1"/>
  <c r="O262" i="1"/>
  <c r="P262" i="1"/>
  <c r="Q262" i="1"/>
  <c r="R262" i="1"/>
  <c r="S262" i="1"/>
  <c r="T262" i="1"/>
  <c r="U262" i="1"/>
  <c r="V262" i="1"/>
  <c r="W262" i="1"/>
  <c r="X262" i="1"/>
  <c r="Y262" i="1"/>
  <c r="Z262" i="1"/>
  <c r="AA262" i="1"/>
  <c r="AB262" i="1"/>
  <c r="AC262" i="1"/>
  <c r="AD262" i="1"/>
  <c r="AE262" i="1"/>
  <c r="AF262" i="1"/>
  <c r="AG262" i="1"/>
  <c r="AO262" i="1"/>
  <c r="AS262" i="1"/>
  <c r="AT262" i="1"/>
  <c r="AU262" i="1"/>
  <c r="AV262" i="1"/>
  <c r="AW262" i="1"/>
  <c r="D263" i="1"/>
  <c r="E263" i="1"/>
  <c r="F263" i="1"/>
  <c r="G263" i="1"/>
  <c r="H263" i="1"/>
  <c r="I263" i="1"/>
  <c r="J263" i="1"/>
  <c r="K263" i="1"/>
  <c r="L263" i="1"/>
  <c r="M263" i="1"/>
  <c r="N263" i="1"/>
  <c r="O263" i="1"/>
  <c r="P263" i="1"/>
  <c r="Q263" i="1"/>
  <c r="R263" i="1"/>
  <c r="S263" i="1"/>
  <c r="T263" i="1"/>
  <c r="U263" i="1"/>
  <c r="V263" i="1"/>
  <c r="W263" i="1"/>
  <c r="X263" i="1"/>
  <c r="Y263" i="1"/>
  <c r="Z263" i="1"/>
  <c r="AA263" i="1"/>
  <c r="AB263" i="1"/>
  <c r="AC263" i="1"/>
  <c r="AD263" i="1"/>
  <c r="AE263" i="1"/>
  <c r="AF263" i="1"/>
  <c r="AG263" i="1"/>
  <c r="AH263" i="1"/>
  <c r="AI263" i="1"/>
  <c r="AJ263" i="1"/>
  <c r="AK263" i="1"/>
  <c r="AL263" i="1"/>
  <c r="AM263" i="1"/>
  <c r="AO263" i="1"/>
  <c r="AP263" i="1"/>
  <c r="AQ263" i="1"/>
  <c r="AR263" i="1"/>
  <c r="AT263" i="1"/>
  <c r="AU263" i="1"/>
  <c r="AV263" i="1"/>
  <c r="AW263" i="1"/>
  <c r="AX263" i="1"/>
  <c r="H268" i="1"/>
  <c r="I268" i="1"/>
  <c r="M275" i="1" s="1"/>
  <c r="J268" i="1"/>
  <c r="N275" i="1" s="1"/>
  <c r="K268" i="1"/>
  <c r="L268" i="1"/>
  <c r="M268" i="1"/>
  <c r="N268" i="1"/>
  <c r="O268" i="1"/>
  <c r="P268" i="1"/>
  <c r="Q268" i="1"/>
  <c r="Q275" i="1" s="1"/>
  <c r="R268" i="1"/>
  <c r="S268" i="1"/>
  <c r="S275" i="1" s="1"/>
  <c r="T268" i="1"/>
  <c r="T275" i="1" s="1"/>
  <c r="U268" i="1"/>
  <c r="U282" i="1" s="1"/>
  <c r="V268" i="1"/>
  <c r="V275" i="1" s="1"/>
  <c r="W268" i="1"/>
  <c r="X268" i="1"/>
  <c r="Y268" i="1"/>
  <c r="AC275" i="1" s="1"/>
  <c r="Z268" i="1"/>
  <c r="AD275" i="1" s="1"/>
  <c r="AA268" i="1"/>
  <c r="AB268" i="1"/>
  <c r="AC268" i="1"/>
  <c r="AD268" i="1"/>
  <c r="AE268" i="1"/>
  <c r="AF268" i="1"/>
  <c r="AO268" i="1"/>
  <c r="AP268" i="1"/>
  <c r="AQ268" i="1"/>
  <c r="AQ275" i="1" s="1"/>
  <c r="AR268" i="1"/>
  <c r="AR275" i="1" s="1"/>
  <c r="AS268" i="1"/>
  <c r="AS275" i="1" s="1"/>
  <c r="AT268" i="1"/>
  <c r="AU268" i="1"/>
  <c r="AV268" i="1"/>
  <c r="AW268" i="1"/>
  <c r="AX268" i="1"/>
  <c r="H269" i="1"/>
  <c r="I269" i="1"/>
  <c r="J269" i="1"/>
  <c r="K269" i="1"/>
  <c r="L269" i="1"/>
  <c r="M269" i="1"/>
  <c r="N269" i="1"/>
  <c r="N283" i="1" s="1"/>
  <c r="O269" i="1"/>
  <c r="P269" i="1"/>
  <c r="Q269" i="1"/>
  <c r="Q283" i="1" s="1"/>
  <c r="R269" i="1"/>
  <c r="R283" i="1" s="1"/>
  <c r="S269" i="1"/>
  <c r="S283" i="1" s="1"/>
  <c r="T269" i="1"/>
  <c r="T283" i="1" s="1"/>
  <c r="U269" i="1"/>
  <c r="U283" i="1" s="1"/>
  <c r="V269" i="1"/>
  <c r="Z276" i="1" s="1"/>
  <c r="W269" i="1"/>
  <c r="AA276" i="1" s="1"/>
  <c r="X269" i="1"/>
  <c r="AB276" i="1" s="1"/>
  <c r="Y269" i="1"/>
  <c r="Z269" i="1"/>
  <c r="AA269" i="1"/>
  <c r="AB269" i="1"/>
  <c r="AC269" i="1"/>
  <c r="AD269" i="1"/>
  <c r="AD276" i="1" s="1"/>
  <c r="AE269" i="1"/>
  <c r="AF269" i="1"/>
  <c r="AF276" i="1" s="1"/>
  <c r="AO269" i="1"/>
  <c r="AP269" i="1"/>
  <c r="AQ269" i="1"/>
  <c r="AQ276" i="1" s="1"/>
  <c r="AR269" i="1"/>
  <c r="AS269" i="1"/>
  <c r="AT269" i="1"/>
  <c r="AU269" i="1"/>
  <c r="AV269" i="1"/>
  <c r="AV276" i="1" s="1"/>
  <c r="AW269" i="1"/>
  <c r="AX276" i="1" s="1"/>
  <c r="AX269" i="1"/>
  <c r="H270" i="1"/>
  <c r="I270" i="1"/>
  <c r="J270" i="1"/>
  <c r="K270" i="1"/>
  <c r="K284" i="1" s="1"/>
  <c r="L270" i="1"/>
  <c r="L277" i="1" s="1"/>
  <c r="M270" i="1"/>
  <c r="M277" i="1" s="1"/>
  <c r="N270" i="1"/>
  <c r="O270" i="1"/>
  <c r="P270" i="1"/>
  <c r="P277" i="1" s="1"/>
  <c r="Q270" i="1"/>
  <c r="Q277" i="1" s="1"/>
  <c r="R270" i="1"/>
  <c r="R277" i="1" s="1"/>
  <c r="S270" i="1"/>
  <c r="W277" i="1" s="1"/>
  <c r="T270" i="1"/>
  <c r="U270" i="1"/>
  <c r="V270" i="1"/>
  <c r="W270" i="1"/>
  <c r="X270" i="1"/>
  <c r="Y270" i="1"/>
  <c r="Z270" i="1"/>
  <c r="AA270" i="1"/>
  <c r="AA284" i="1" s="1"/>
  <c r="AB270" i="1"/>
  <c r="AC270" i="1"/>
  <c r="AC284" i="1" s="1"/>
  <c r="AD270" i="1"/>
  <c r="AD277" i="1" s="1"/>
  <c r="AE270" i="1"/>
  <c r="AE277" i="1" s="1"/>
  <c r="AF270" i="1"/>
  <c r="AF277" i="1" s="1"/>
  <c r="AG270" i="1"/>
  <c r="AG277" i="1" s="1"/>
  <c r="AH270" i="1"/>
  <c r="AH284" i="1" s="1"/>
  <c r="AI270" i="1"/>
  <c r="AM277" i="1" s="1"/>
  <c r="AJ270" i="1"/>
  <c r="AK270" i="1"/>
  <c r="AL270" i="1"/>
  <c r="AM270" i="1"/>
  <c r="AO270" i="1"/>
  <c r="AP270" i="1"/>
  <c r="AQ270" i="1"/>
  <c r="AR270" i="1"/>
  <c r="AR277" i="1" s="1"/>
  <c r="AS270" i="1"/>
  <c r="AT270" i="1"/>
  <c r="AU270" i="1"/>
  <c r="AU277" i="1" s="1"/>
  <c r="AV270" i="1"/>
  <c r="AW270" i="1"/>
  <c r="AW277" i="1" s="1"/>
  <c r="AX270" i="1"/>
  <c r="H271" i="1"/>
  <c r="L278" i="1" s="1"/>
  <c r="I271" i="1"/>
  <c r="I285" i="1" s="1"/>
  <c r="J271" i="1"/>
  <c r="N278" i="1" s="1"/>
  <c r="K271" i="1"/>
  <c r="K285" i="1" s="1"/>
  <c r="L271" i="1"/>
  <c r="M271" i="1"/>
  <c r="N271" i="1"/>
  <c r="O271" i="1"/>
  <c r="P271" i="1"/>
  <c r="Q271" i="1"/>
  <c r="R285" i="1" s="1"/>
  <c r="R271" i="1"/>
  <c r="S271" i="1"/>
  <c r="S278" i="1" s="1"/>
  <c r="T271" i="1"/>
  <c r="U285" i="1" s="1"/>
  <c r="U271" i="1"/>
  <c r="V271" i="1"/>
  <c r="V285" i="1" s="1"/>
  <c r="W271" i="1"/>
  <c r="W285" i="1" s="1"/>
  <c r="X271" i="1"/>
  <c r="X285" i="1" s="1"/>
  <c r="Y271" i="1"/>
  <c r="Y285" i="1" s="1"/>
  <c r="Z271" i="1"/>
  <c r="Z278" i="1" s="1"/>
  <c r="AA271" i="1"/>
  <c r="AA285" i="1" s="1"/>
  <c r="AB271" i="1"/>
  <c r="AC271" i="1"/>
  <c r="AD271" i="1"/>
  <c r="AE271" i="1"/>
  <c r="AF271" i="1"/>
  <c r="AG271" i="1"/>
  <c r="AH285" i="1" s="1"/>
  <c r="AH271" i="1"/>
  <c r="AI271" i="1"/>
  <c r="AI278" i="1" s="1"/>
  <c r="AJ271" i="1"/>
  <c r="AK285" i="1" s="1"/>
  <c r="AK271" i="1"/>
  <c r="AL271" i="1"/>
  <c r="AL285" i="1" s="1"/>
  <c r="AM271" i="1"/>
  <c r="AM285" i="1" s="1"/>
  <c r="AO271" i="1"/>
  <c r="AP271" i="1"/>
  <c r="AQ271" i="1"/>
  <c r="AQ278" i="1" s="1"/>
  <c r="AR271" i="1"/>
  <c r="AR278" i="1" s="1"/>
  <c r="AS271" i="1"/>
  <c r="AT271" i="1"/>
  <c r="AU271" i="1"/>
  <c r="AV271" i="1"/>
  <c r="AW271" i="1"/>
  <c r="AX271" i="1"/>
  <c r="AX278" i="1" s="1"/>
  <c r="H272" i="1"/>
  <c r="I272" i="1"/>
  <c r="J272" i="1"/>
  <c r="J286" i="1" s="1"/>
  <c r="K272" i="1"/>
  <c r="L272" i="1"/>
  <c r="M272" i="1"/>
  <c r="M279" i="1" s="1"/>
  <c r="N272" i="1"/>
  <c r="N279" i="1" s="1"/>
  <c r="O272" i="1"/>
  <c r="O279" i="1" s="1"/>
  <c r="P272" i="1"/>
  <c r="Q272" i="1"/>
  <c r="R272" i="1"/>
  <c r="S272" i="1"/>
  <c r="T272" i="1"/>
  <c r="U272" i="1"/>
  <c r="V272" i="1"/>
  <c r="W272" i="1"/>
  <c r="W286" i="1" s="1"/>
  <c r="X272" i="1"/>
  <c r="Y272" i="1"/>
  <c r="Y279" i="1" s="1"/>
  <c r="Z272" i="1"/>
  <c r="Z286" i="1" s="1"/>
  <c r="AA272" i="1"/>
  <c r="AA279" i="1" s="1"/>
  <c r="AB272" i="1"/>
  <c r="AB279" i="1" s="1"/>
  <c r="AC272" i="1"/>
  <c r="AC279" i="1" s="1"/>
  <c r="AD272" i="1"/>
  <c r="AD279" i="1" s="1"/>
  <c r="AE272" i="1"/>
  <c r="AE279" i="1" s="1"/>
  <c r="AF272" i="1"/>
  <c r="AG272" i="1"/>
  <c r="AH272" i="1"/>
  <c r="AI272" i="1"/>
  <c r="AJ272" i="1"/>
  <c r="AK272" i="1"/>
  <c r="AL272" i="1"/>
  <c r="AM272" i="1"/>
  <c r="AM279" i="1" s="1"/>
  <c r="AO272" i="1"/>
  <c r="AP272" i="1"/>
  <c r="AQ272" i="1"/>
  <c r="AQ279" i="1" s="1"/>
  <c r="AR272" i="1"/>
  <c r="AS272" i="1"/>
  <c r="AS279" i="1" s="1"/>
  <c r="AT272" i="1"/>
  <c r="AU272" i="1"/>
  <c r="AU279" i="1" s="1"/>
  <c r="AV272" i="1"/>
  <c r="AW272" i="1"/>
  <c r="AX272" i="1"/>
  <c r="AX279" i="1" s="1"/>
  <c r="AG275" i="1"/>
  <c r="AH275" i="1"/>
  <c r="AI275" i="1"/>
  <c r="AJ275" i="1"/>
  <c r="AK275" i="1"/>
  <c r="AL275" i="1"/>
  <c r="AM275" i="1"/>
  <c r="P276" i="1"/>
  <c r="Q276" i="1"/>
  <c r="R276" i="1"/>
  <c r="S276" i="1"/>
  <c r="T276" i="1"/>
  <c r="AG276" i="1"/>
  <c r="AI276" i="1"/>
  <c r="AK276" i="1"/>
  <c r="AL276" i="1"/>
  <c r="AM276" i="1"/>
  <c r="AA277" i="1"/>
  <c r="AB277" i="1"/>
  <c r="AC277" i="1"/>
  <c r="AQ277" i="1"/>
  <c r="P278" i="1"/>
  <c r="V278" i="1"/>
  <c r="X278" i="1"/>
  <c r="AE278" i="1"/>
  <c r="AF278" i="1"/>
  <c r="AL278" i="1"/>
  <c r="AT278" i="1"/>
  <c r="AU278" i="1"/>
  <c r="AV278" i="1"/>
  <c r="AW278" i="1"/>
  <c r="X279" i="1"/>
  <c r="N282" i="1"/>
  <c r="O282" i="1"/>
  <c r="P282" i="1"/>
  <c r="R282" i="1"/>
  <c r="S282" i="1"/>
  <c r="T282" i="1"/>
  <c r="AD282" i="1"/>
  <c r="AE282" i="1"/>
  <c r="AF282" i="1"/>
  <c r="AG282" i="1"/>
  <c r="K283" i="1"/>
  <c r="L283" i="1"/>
  <c r="M283" i="1"/>
  <c r="AA283" i="1"/>
  <c r="AB283" i="1"/>
  <c r="AC283" i="1"/>
  <c r="AG283" i="1"/>
  <c r="I284" i="1"/>
  <c r="J284" i="1"/>
  <c r="M284" i="1"/>
  <c r="X284" i="1"/>
  <c r="Y284" i="1"/>
  <c r="Z284" i="1"/>
  <c r="M285" i="1"/>
  <c r="N285" i="1"/>
  <c r="O285" i="1"/>
  <c r="P285" i="1"/>
  <c r="Q285" i="1"/>
  <c r="S285" i="1"/>
  <c r="T285" i="1"/>
  <c r="AC285" i="1"/>
  <c r="AD285" i="1"/>
  <c r="AE285" i="1"/>
  <c r="AF285" i="1"/>
  <c r="T286" i="1"/>
  <c r="U286" i="1"/>
  <c r="V286" i="1"/>
  <c r="AJ286" i="1"/>
  <c r="AK286" i="1"/>
  <c r="AL286" i="1"/>
  <c r="AQ289" i="1"/>
  <c r="AQ294" i="1" s="1"/>
  <c r="AR289" i="1"/>
  <c r="AR294" i="1" s="1"/>
  <c r="AS289" i="1"/>
  <c r="AT289" i="1"/>
  <c r="AT294" i="1" s="1"/>
  <c r="AU289" i="1"/>
  <c r="AV289" i="1"/>
  <c r="AW289" i="1"/>
  <c r="AX289" i="1"/>
  <c r="AX294" i="1" s="1"/>
  <c r="AQ290" i="1"/>
  <c r="AR290" i="1"/>
  <c r="AR295" i="1" s="1"/>
  <c r="AS290" i="1"/>
  <c r="AT290" i="1"/>
  <c r="AT295" i="1" s="1"/>
  <c r="AU290" i="1"/>
  <c r="AU295" i="1" s="1"/>
  <c r="AV290" i="1"/>
  <c r="AW290" i="1"/>
  <c r="AX290" i="1"/>
  <c r="AX295" i="1" s="1"/>
  <c r="H291" i="1"/>
  <c r="L296" i="1" s="1"/>
  <c r="I291" i="1"/>
  <c r="I301" i="1" s="1"/>
  <c r="J291" i="1"/>
  <c r="J301" i="1" s="1"/>
  <c r="K291" i="1"/>
  <c r="L301" i="1" s="1"/>
  <c r="L291" i="1"/>
  <c r="M291" i="1"/>
  <c r="N291" i="1"/>
  <c r="O291" i="1"/>
  <c r="P291" i="1"/>
  <c r="Q291" i="1"/>
  <c r="R301" i="1" s="1"/>
  <c r="R291" i="1"/>
  <c r="S291" i="1"/>
  <c r="T291" i="1"/>
  <c r="U291" i="1"/>
  <c r="V291" i="1"/>
  <c r="W291" i="1"/>
  <c r="W301" i="1" s="1"/>
  <c r="X291" i="1"/>
  <c r="AB296" i="1" s="1"/>
  <c r="Y291" i="1"/>
  <c r="AC296" i="1" s="1"/>
  <c r="Z291" i="1"/>
  <c r="Z296" i="1" s="1"/>
  <c r="AA291" i="1"/>
  <c r="AB301" i="1" s="1"/>
  <c r="AB291" i="1"/>
  <c r="AC291" i="1"/>
  <c r="AD291" i="1"/>
  <c r="AE291" i="1"/>
  <c r="AF291" i="1"/>
  <c r="AG291" i="1"/>
  <c r="AH301" i="1" s="1"/>
  <c r="AH291" i="1"/>
  <c r="AI291" i="1"/>
  <c r="AJ291" i="1"/>
  <c r="AK291" i="1"/>
  <c r="AL291" i="1"/>
  <c r="AM291" i="1"/>
  <c r="AO291" i="1"/>
  <c r="AP291" i="1"/>
  <c r="AP296" i="1" s="1"/>
  <c r="AQ291" i="1"/>
  <c r="AQ296" i="1" s="1"/>
  <c r="AR291" i="1"/>
  <c r="AR296" i="1" s="1"/>
  <c r="AS291" i="1"/>
  <c r="AT291" i="1"/>
  <c r="AT296" i="1" s="1"/>
  <c r="AU291" i="1"/>
  <c r="AV291" i="1"/>
  <c r="AV296" i="1" s="1"/>
  <c r="AW291" i="1"/>
  <c r="AX291" i="1"/>
  <c r="AX296" i="1" s="1"/>
  <c r="L294" i="1"/>
  <c r="M294" i="1"/>
  <c r="N294" i="1"/>
  <c r="O294" i="1"/>
  <c r="P294" i="1"/>
  <c r="Q294" i="1"/>
  <c r="R294" i="1"/>
  <c r="S294" i="1"/>
  <c r="T294" i="1"/>
  <c r="U294" i="1"/>
  <c r="V294" i="1"/>
  <c r="W294" i="1"/>
  <c r="X294" i="1"/>
  <c r="Y294" i="1"/>
  <c r="Z294" i="1"/>
  <c r="AA294" i="1"/>
  <c r="AB294" i="1"/>
  <c r="AC294" i="1"/>
  <c r="AD294" i="1"/>
  <c r="AE294" i="1"/>
  <c r="AF294" i="1"/>
  <c r="AG294" i="1"/>
  <c r="AH294" i="1"/>
  <c r="AI294" i="1"/>
  <c r="AJ294" i="1"/>
  <c r="AK294" i="1"/>
  <c r="AL294" i="1"/>
  <c r="AM294" i="1"/>
  <c r="AP294" i="1"/>
  <c r="AS294" i="1"/>
  <c r="AV294" i="1"/>
  <c r="AW294" i="1"/>
  <c r="L295" i="1"/>
  <c r="M295" i="1"/>
  <c r="N295" i="1"/>
  <c r="O295" i="1"/>
  <c r="P295" i="1"/>
  <c r="Q295" i="1"/>
  <c r="R295" i="1"/>
  <c r="S295" i="1"/>
  <c r="T295" i="1"/>
  <c r="U295" i="1"/>
  <c r="V295" i="1"/>
  <c r="W295" i="1"/>
  <c r="X295" i="1"/>
  <c r="Y295" i="1"/>
  <c r="Z295" i="1"/>
  <c r="AA295" i="1"/>
  <c r="AB295" i="1"/>
  <c r="AC295" i="1"/>
  <c r="AD295" i="1"/>
  <c r="AE295" i="1"/>
  <c r="AF295" i="1"/>
  <c r="AG295" i="1"/>
  <c r="AH295" i="1"/>
  <c r="AI295" i="1"/>
  <c r="AJ295" i="1"/>
  <c r="AK295" i="1"/>
  <c r="AL295" i="1"/>
  <c r="AM295" i="1"/>
  <c r="AP295" i="1"/>
  <c r="AQ295" i="1"/>
  <c r="O296" i="1"/>
  <c r="P296" i="1"/>
  <c r="T296" i="1"/>
  <c r="AE296" i="1"/>
  <c r="AF296" i="1"/>
  <c r="AJ296" i="1"/>
  <c r="AU296" i="1"/>
  <c r="AW296" i="1"/>
  <c r="I299" i="1"/>
  <c r="J299" i="1"/>
  <c r="K299" i="1"/>
  <c r="L299" i="1"/>
  <c r="M299" i="1"/>
  <c r="N299" i="1"/>
  <c r="O299" i="1"/>
  <c r="P299" i="1"/>
  <c r="Q299" i="1"/>
  <c r="R299" i="1"/>
  <c r="S299" i="1"/>
  <c r="T299" i="1"/>
  <c r="U299" i="1"/>
  <c r="V299" i="1"/>
  <c r="W299" i="1"/>
  <c r="X299" i="1"/>
  <c r="Y299" i="1"/>
  <c r="Z299" i="1"/>
  <c r="AA299" i="1"/>
  <c r="AB299" i="1"/>
  <c r="AC299" i="1"/>
  <c r="AD299" i="1"/>
  <c r="AE299" i="1"/>
  <c r="AF299" i="1"/>
  <c r="AG299" i="1"/>
  <c r="AH299" i="1"/>
  <c r="AI299" i="1"/>
  <c r="AJ299" i="1"/>
  <c r="AK299" i="1"/>
  <c r="AL299" i="1"/>
  <c r="AM299" i="1"/>
  <c r="I300" i="1"/>
  <c r="J300" i="1"/>
  <c r="K300" i="1"/>
  <c r="L300" i="1"/>
  <c r="M300" i="1"/>
  <c r="N300" i="1"/>
  <c r="O300" i="1"/>
  <c r="P300" i="1"/>
  <c r="Q300" i="1"/>
  <c r="R300" i="1"/>
  <c r="S300" i="1"/>
  <c r="T300" i="1"/>
  <c r="U300" i="1"/>
  <c r="V300" i="1"/>
  <c r="W300" i="1"/>
  <c r="X300" i="1"/>
  <c r="Y300" i="1"/>
  <c r="Z300" i="1"/>
  <c r="AA300" i="1"/>
  <c r="AB300" i="1"/>
  <c r="AC300" i="1"/>
  <c r="AD300" i="1"/>
  <c r="AE300" i="1"/>
  <c r="AF300" i="1"/>
  <c r="AG300" i="1"/>
  <c r="M301" i="1"/>
  <c r="N301" i="1"/>
  <c r="O301" i="1"/>
  <c r="P301" i="1"/>
  <c r="S301" i="1"/>
  <c r="Z301" i="1"/>
  <c r="AC301" i="1"/>
  <c r="AD301" i="1"/>
  <c r="AE301" i="1"/>
  <c r="AF301" i="1"/>
  <c r="AI301" i="1"/>
  <c r="AJ301" i="1"/>
  <c r="AK301" i="1"/>
  <c r="AM301" i="1"/>
  <c r="AQ304" i="1"/>
  <c r="AQ309" i="1" s="1"/>
  <c r="AR304" i="1"/>
  <c r="AS304" i="1"/>
  <c r="AT304" i="1"/>
  <c r="AU304" i="1"/>
  <c r="AV304" i="1"/>
  <c r="AV309" i="1" s="1"/>
  <c r="AW304" i="1"/>
  <c r="AX304" i="1"/>
  <c r="AQ305" i="1"/>
  <c r="AR305" i="1"/>
  <c r="AS305" i="1"/>
  <c r="AS310" i="1" s="1"/>
  <c r="AT305" i="1"/>
  <c r="AU305" i="1"/>
  <c r="AV305" i="1"/>
  <c r="AV310" i="1" s="1"/>
  <c r="AW305" i="1"/>
  <c r="AX305" i="1"/>
  <c r="AX310" i="1" s="1"/>
  <c r="H306" i="1"/>
  <c r="I316" i="1" s="1"/>
  <c r="I306" i="1"/>
  <c r="J306" i="1"/>
  <c r="K306" i="1"/>
  <c r="L306" i="1"/>
  <c r="M306" i="1"/>
  <c r="M316" i="1" s="1"/>
  <c r="N306" i="1"/>
  <c r="O306" i="1"/>
  <c r="P306" i="1"/>
  <c r="P316" i="1" s="1"/>
  <c r="Q306" i="1"/>
  <c r="R306" i="1"/>
  <c r="S306" i="1"/>
  <c r="T306" i="1"/>
  <c r="U306" i="1"/>
  <c r="V316" i="1" s="1"/>
  <c r="V306" i="1"/>
  <c r="W306" i="1"/>
  <c r="W316" i="1" s="1"/>
  <c r="X306" i="1"/>
  <c r="Y306" i="1"/>
  <c r="Z306" i="1"/>
  <c r="AA306" i="1"/>
  <c r="AB306" i="1"/>
  <c r="AC306" i="1"/>
  <c r="AC311" i="1" s="1"/>
  <c r="AD306" i="1"/>
  <c r="AE306" i="1"/>
  <c r="AF306" i="1"/>
  <c r="AF311" i="1" s="1"/>
  <c r="AG306" i="1"/>
  <c r="AG316" i="1" s="1"/>
  <c r="AH306" i="1"/>
  <c r="AI306" i="1"/>
  <c r="AJ306" i="1"/>
  <c r="AJ311" i="1" s="1"/>
  <c r="AK306" i="1"/>
  <c r="AL316" i="1" s="1"/>
  <c r="AL306" i="1"/>
  <c r="AM306" i="1"/>
  <c r="AM316" i="1" s="1"/>
  <c r="AO306" i="1"/>
  <c r="AP306" i="1"/>
  <c r="AQ306" i="1"/>
  <c r="AR306" i="1"/>
  <c r="AR311" i="1" s="1"/>
  <c r="AS306" i="1"/>
  <c r="AT306" i="1"/>
  <c r="AT311" i="1" s="1"/>
  <c r="AU306" i="1"/>
  <c r="AV306" i="1"/>
  <c r="AW306" i="1"/>
  <c r="AW311" i="1" s="1"/>
  <c r="AX306" i="1"/>
  <c r="L309" i="1"/>
  <c r="M309" i="1"/>
  <c r="N309" i="1"/>
  <c r="O309" i="1"/>
  <c r="P309" i="1"/>
  <c r="Q309" i="1"/>
  <c r="R309" i="1"/>
  <c r="S309" i="1"/>
  <c r="T309" i="1"/>
  <c r="U309" i="1"/>
  <c r="V309" i="1"/>
  <c r="W309" i="1"/>
  <c r="X309" i="1"/>
  <c r="Y309" i="1"/>
  <c r="Z309" i="1"/>
  <c r="AA309" i="1"/>
  <c r="AB309" i="1"/>
  <c r="AC309" i="1"/>
  <c r="AD309" i="1"/>
  <c r="AE309" i="1"/>
  <c r="AF309" i="1"/>
  <c r="AG309" i="1"/>
  <c r="AH309" i="1"/>
  <c r="AI309" i="1"/>
  <c r="AJ309" i="1"/>
  <c r="AK309" i="1"/>
  <c r="AL309" i="1"/>
  <c r="AM309" i="1"/>
  <c r="AP309" i="1"/>
  <c r="AR309" i="1"/>
  <c r="AS309" i="1"/>
  <c r="AU309" i="1"/>
  <c r="L310" i="1"/>
  <c r="M310" i="1"/>
  <c r="N310" i="1"/>
  <c r="O310" i="1"/>
  <c r="P310" i="1"/>
  <c r="Q310" i="1"/>
  <c r="R310" i="1"/>
  <c r="S310" i="1"/>
  <c r="T310" i="1"/>
  <c r="U310" i="1"/>
  <c r="V310" i="1"/>
  <c r="W310" i="1"/>
  <c r="X310" i="1"/>
  <c r="Y310" i="1"/>
  <c r="Z310" i="1"/>
  <c r="AA310" i="1"/>
  <c r="AB310" i="1"/>
  <c r="AC310" i="1"/>
  <c r="AD310" i="1"/>
  <c r="AE310" i="1"/>
  <c r="AF310" i="1"/>
  <c r="AG310" i="1"/>
  <c r="AH310" i="1"/>
  <c r="AI310" i="1"/>
  <c r="AJ310" i="1"/>
  <c r="AK310" i="1"/>
  <c r="AL310" i="1"/>
  <c r="AM310" i="1"/>
  <c r="AP310" i="1"/>
  <c r="AQ310" i="1"/>
  <c r="L311" i="1"/>
  <c r="M311" i="1"/>
  <c r="Z311" i="1"/>
  <c r="AB311" i="1"/>
  <c r="AD311" i="1"/>
  <c r="AE311" i="1"/>
  <c r="AG311" i="1"/>
  <c r="AP311" i="1"/>
  <c r="AQ311" i="1"/>
  <c r="I314" i="1"/>
  <c r="J314" i="1"/>
  <c r="K314" i="1"/>
  <c r="L314" i="1"/>
  <c r="M314" i="1"/>
  <c r="N314" i="1"/>
  <c r="O314" i="1"/>
  <c r="P314" i="1"/>
  <c r="Q314" i="1"/>
  <c r="R314" i="1"/>
  <c r="S314" i="1"/>
  <c r="T314" i="1"/>
  <c r="U314" i="1"/>
  <c r="V314" i="1"/>
  <c r="W314" i="1"/>
  <c r="X314" i="1"/>
  <c r="Y314" i="1"/>
  <c r="Z314" i="1"/>
  <c r="AA314" i="1"/>
  <c r="AB314" i="1"/>
  <c r="AC314" i="1"/>
  <c r="AD314" i="1"/>
  <c r="AE314" i="1"/>
  <c r="AF314" i="1"/>
  <c r="AG314" i="1"/>
  <c r="AH314" i="1"/>
  <c r="AI314" i="1"/>
  <c r="AJ314" i="1"/>
  <c r="AK314" i="1"/>
  <c r="AL314" i="1"/>
  <c r="AM314" i="1"/>
  <c r="I315" i="1"/>
  <c r="J315" i="1"/>
  <c r="K315" i="1"/>
  <c r="L315" i="1"/>
  <c r="M315" i="1"/>
  <c r="N315" i="1"/>
  <c r="O315" i="1"/>
  <c r="P315" i="1"/>
  <c r="Q315" i="1"/>
  <c r="R315" i="1"/>
  <c r="S315" i="1"/>
  <c r="T315" i="1"/>
  <c r="U315" i="1"/>
  <c r="V315" i="1"/>
  <c r="W315" i="1"/>
  <c r="X315" i="1"/>
  <c r="Y315" i="1"/>
  <c r="Z315" i="1"/>
  <c r="AA315" i="1"/>
  <c r="AB315" i="1"/>
  <c r="AC315" i="1"/>
  <c r="AD315" i="1"/>
  <c r="AE315" i="1"/>
  <c r="AF315" i="1"/>
  <c r="AG315" i="1"/>
  <c r="J316" i="1"/>
  <c r="K316" i="1"/>
  <c r="N316" i="1"/>
  <c r="Y316" i="1"/>
  <c r="Z316" i="1"/>
  <c r="AA316" i="1"/>
  <c r="AE316" i="1"/>
  <c r="H321" i="1"/>
  <c r="I321" i="1"/>
  <c r="J321" i="1"/>
  <c r="K321" i="1"/>
  <c r="K335" i="1" s="1"/>
  <c r="L321" i="1"/>
  <c r="M321" i="1"/>
  <c r="M335" i="1" s="1"/>
  <c r="N321" i="1"/>
  <c r="N328" i="1" s="1"/>
  <c r="O321" i="1"/>
  <c r="P321" i="1"/>
  <c r="P335" i="1" s="1"/>
  <c r="Q321" i="1"/>
  <c r="R321" i="1"/>
  <c r="R335" i="1" s="1"/>
  <c r="S321" i="1"/>
  <c r="W328" i="1" s="1"/>
  <c r="T321" i="1"/>
  <c r="X328" i="1" s="1"/>
  <c r="U321" i="1"/>
  <c r="Y328" i="1" s="1"/>
  <c r="V321" i="1"/>
  <c r="W321" i="1"/>
  <c r="X321" i="1"/>
  <c r="Y321" i="1"/>
  <c r="Z321" i="1"/>
  <c r="AA321" i="1"/>
  <c r="AA328" i="1" s="1"/>
  <c r="AB321" i="1"/>
  <c r="AC321" i="1"/>
  <c r="AD321" i="1"/>
  <c r="AD328" i="1" s="1"/>
  <c r="AE321" i="1"/>
  <c r="AF321" i="1"/>
  <c r="AF335" i="1" s="1"/>
  <c r="AG321" i="1"/>
  <c r="AH321" i="1"/>
  <c r="AH335" i="1" s="1"/>
  <c r="AI321" i="1"/>
  <c r="AJ321" i="1"/>
  <c r="AK321" i="1"/>
  <c r="AK335" i="1" s="1"/>
  <c r="AL321" i="1"/>
  <c r="AM321" i="1"/>
  <c r="AO321" i="1"/>
  <c r="AP321" i="1"/>
  <c r="AQ321" i="1"/>
  <c r="AR321" i="1"/>
  <c r="AR328" i="1" s="1"/>
  <c r="AS321" i="1"/>
  <c r="AT321" i="1"/>
  <c r="AT328" i="1" s="1"/>
  <c r="AU321" i="1"/>
  <c r="AV321" i="1"/>
  <c r="AW321" i="1"/>
  <c r="AW328" i="1" s="1"/>
  <c r="AX321" i="1"/>
  <c r="H322" i="1"/>
  <c r="L329" i="1" s="1"/>
  <c r="I322" i="1"/>
  <c r="J322" i="1"/>
  <c r="K322" i="1"/>
  <c r="K336" i="1" s="1"/>
  <c r="L322" i="1"/>
  <c r="M322" i="1"/>
  <c r="N322" i="1"/>
  <c r="O322" i="1"/>
  <c r="P322" i="1"/>
  <c r="Q322" i="1"/>
  <c r="Q336" i="1" s="1"/>
  <c r="R322" i="1"/>
  <c r="S322" i="1"/>
  <c r="S336" i="1" s="1"/>
  <c r="T322" i="1"/>
  <c r="T329" i="1" s="1"/>
  <c r="U322" i="1"/>
  <c r="V322" i="1"/>
  <c r="V329" i="1" s="1"/>
  <c r="W322" i="1"/>
  <c r="X322" i="1"/>
  <c r="X329" i="1" s="1"/>
  <c r="Y322" i="1"/>
  <c r="AC329" i="1" s="1"/>
  <c r="Z322" i="1"/>
  <c r="AA322" i="1"/>
  <c r="AE329" i="1" s="1"/>
  <c r="AB322" i="1"/>
  <c r="AC322" i="1"/>
  <c r="AD322" i="1"/>
  <c r="AE322" i="1"/>
  <c r="AF322" i="1"/>
  <c r="AG322" i="1"/>
  <c r="AH322" i="1"/>
  <c r="AI322" i="1"/>
  <c r="AI336" i="1" s="1"/>
  <c r="AJ322" i="1"/>
  <c r="AJ329" i="1" s="1"/>
  <c r="AK322" i="1"/>
  <c r="AL322" i="1"/>
  <c r="AL329" i="1" s="1"/>
  <c r="AM322" i="1"/>
  <c r="AO322" i="1"/>
  <c r="AP322" i="1"/>
  <c r="AQ322" i="1"/>
  <c r="AR322" i="1"/>
  <c r="AS329" i="1" s="1"/>
  <c r="AS322" i="1"/>
  <c r="AT322" i="1"/>
  <c r="AU322" i="1"/>
  <c r="AV322" i="1"/>
  <c r="AW322" i="1"/>
  <c r="AX322" i="1"/>
  <c r="AX329" i="1" s="1"/>
  <c r="H323" i="1"/>
  <c r="I323" i="1"/>
  <c r="I337" i="1" s="1"/>
  <c r="J323" i="1"/>
  <c r="K337" i="1" s="1"/>
  <c r="K323" i="1"/>
  <c r="L323" i="1"/>
  <c r="L330" i="1" s="1"/>
  <c r="M323" i="1"/>
  <c r="N323" i="1"/>
  <c r="R330" i="1" s="1"/>
  <c r="O323" i="1"/>
  <c r="S330" i="1" s="1"/>
  <c r="P323" i="1"/>
  <c r="Q323" i="1"/>
  <c r="R323" i="1"/>
  <c r="S323" i="1"/>
  <c r="T323" i="1"/>
  <c r="C21" i="220" s="1"/>
  <c r="U323" i="1"/>
  <c r="D21" i="220" s="1"/>
  <c r="V323" i="1"/>
  <c r="E21" i="220" s="1"/>
  <c r="W323" i="1"/>
  <c r="F21" i="220" s="1"/>
  <c r="X323" i="1"/>
  <c r="G21" i="220" s="1"/>
  <c r="Y323" i="1"/>
  <c r="H21" i="220" s="1"/>
  <c r="Z323" i="1"/>
  <c r="I21" i="220" s="1"/>
  <c r="AA323" i="1"/>
  <c r="AB323" i="1"/>
  <c r="K21" i="220" s="1"/>
  <c r="AC323" i="1"/>
  <c r="AD323" i="1"/>
  <c r="M21" i="220" s="1"/>
  <c r="AE323" i="1"/>
  <c r="N21" i="220" s="1"/>
  <c r="AF323" i="1"/>
  <c r="AG323" i="1"/>
  <c r="P21" i="220" s="1"/>
  <c r="AH323" i="1"/>
  <c r="AI323" i="1"/>
  <c r="AJ323" i="1"/>
  <c r="AK323" i="1"/>
  <c r="AL323" i="1"/>
  <c r="AM323" i="1"/>
  <c r="AM337" i="1" s="1"/>
  <c r="AO323" i="1"/>
  <c r="AP323" i="1"/>
  <c r="AQ323" i="1"/>
  <c r="AR323" i="1"/>
  <c r="AS323" i="1"/>
  <c r="AS330" i="1" s="1"/>
  <c r="AT323" i="1"/>
  <c r="AU323" i="1"/>
  <c r="AV323" i="1"/>
  <c r="AW323" i="1"/>
  <c r="AX323" i="1"/>
  <c r="H324" i="1"/>
  <c r="I324" i="1"/>
  <c r="J324" i="1"/>
  <c r="K324" i="1"/>
  <c r="L324" i="1"/>
  <c r="M324" i="1"/>
  <c r="M331" i="1" s="1"/>
  <c r="N324" i="1"/>
  <c r="N331" i="1" s="1"/>
  <c r="O324" i="1"/>
  <c r="O331" i="1" s="1"/>
  <c r="P324" i="1"/>
  <c r="P331" i="1" s="1"/>
  <c r="Q324" i="1"/>
  <c r="R324" i="1"/>
  <c r="R331" i="1" s="1"/>
  <c r="S324" i="1"/>
  <c r="S331" i="1" s="1"/>
  <c r="T324" i="1"/>
  <c r="T331" i="1" s="1"/>
  <c r="U324" i="1"/>
  <c r="U338" i="1" s="1"/>
  <c r="V324" i="1"/>
  <c r="W324" i="1"/>
  <c r="AA331" i="1" s="1"/>
  <c r="X324" i="1"/>
  <c r="Y324" i="1"/>
  <c r="Z324" i="1"/>
  <c r="AA324" i="1"/>
  <c r="AB324" i="1"/>
  <c r="AC324" i="1"/>
  <c r="AC331" i="1" s="1"/>
  <c r="AD324" i="1"/>
  <c r="AE324" i="1"/>
  <c r="AE331" i="1" s="1"/>
  <c r="AF324" i="1"/>
  <c r="AF331" i="1" s="1"/>
  <c r="AG324" i="1"/>
  <c r="AH324" i="1"/>
  <c r="AH331" i="1" s="1"/>
  <c r="AI324" i="1"/>
  <c r="AI331" i="1" s="1"/>
  <c r="AJ324" i="1"/>
  <c r="AJ331" i="1" s="1"/>
  <c r="AK324" i="1"/>
  <c r="AK338" i="1" s="1"/>
  <c r="AL324" i="1"/>
  <c r="AM324" i="1"/>
  <c r="AM331" i="1" s="1"/>
  <c r="AO324" i="1"/>
  <c r="AP324" i="1"/>
  <c r="AQ324" i="1"/>
  <c r="AR324" i="1"/>
  <c r="AS324" i="1"/>
  <c r="AT324" i="1"/>
  <c r="AT331" i="1" s="1"/>
  <c r="AU324" i="1"/>
  <c r="AV324" i="1"/>
  <c r="AV331" i="1" s="1"/>
  <c r="AW324" i="1"/>
  <c r="AW331" i="1" s="1"/>
  <c r="AX324" i="1"/>
  <c r="H325" i="1"/>
  <c r="I325" i="1"/>
  <c r="J325" i="1"/>
  <c r="N332" i="1" s="1"/>
  <c r="K325" i="1"/>
  <c r="L325" i="1"/>
  <c r="M325" i="1"/>
  <c r="N339" i="1" s="1"/>
  <c r="N325" i="1"/>
  <c r="O325" i="1"/>
  <c r="P325" i="1"/>
  <c r="P339" i="1" s="1"/>
  <c r="Q325" i="1"/>
  <c r="R325" i="1"/>
  <c r="S325" i="1"/>
  <c r="S332" i="1" s="1"/>
  <c r="T325" i="1"/>
  <c r="T332" i="1" s="1"/>
  <c r="U325" i="1"/>
  <c r="U339" i="1" s="1"/>
  <c r="V325" i="1"/>
  <c r="W325" i="1"/>
  <c r="X325" i="1"/>
  <c r="Y325" i="1"/>
  <c r="Z325" i="1"/>
  <c r="Z332" i="1" s="1"/>
  <c r="AA325" i="1"/>
  <c r="AA332" i="1" s="1"/>
  <c r="AB325" i="1"/>
  <c r="AC325" i="1"/>
  <c r="AC332" i="1" s="1"/>
  <c r="AD325" i="1"/>
  <c r="AE325" i="1"/>
  <c r="AF325" i="1"/>
  <c r="AG325" i="1"/>
  <c r="AH325" i="1"/>
  <c r="AH332" i="1" s="1"/>
  <c r="AI325" i="1"/>
  <c r="AI339" i="1" s="1"/>
  <c r="AJ325" i="1"/>
  <c r="AJ332" i="1" s="1"/>
  <c r="AK325" i="1"/>
  <c r="AK339" i="1" s="1"/>
  <c r="AL325" i="1"/>
  <c r="AM325" i="1"/>
  <c r="AO325" i="1"/>
  <c r="AP325" i="1"/>
  <c r="AQ325" i="1"/>
  <c r="AR325" i="1"/>
  <c r="AS325" i="1"/>
  <c r="AT325" i="1"/>
  <c r="AU325" i="1"/>
  <c r="AV325" i="1"/>
  <c r="AW325" i="1"/>
  <c r="AX325" i="1"/>
  <c r="AX332" i="1" s="1"/>
  <c r="M328" i="1"/>
  <c r="Q328" i="1"/>
  <c r="Z328" i="1"/>
  <c r="AB328" i="1"/>
  <c r="AC328" i="1"/>
  <c r="AQ328" i="1"/>
  <c r="P329" i="1"/>
  <c r="R329" i="1"/>
  <c r="S329" i="1"/>
  <c r="AF329" i="1"/>
  <c r="AI329" i="1"/>
  <c r="AT329" i="1"/>
  <c r="AU329" i="1"/>
  <c r="AV329" i="1"/>
  <c r="AW329" i="1"/>
  <c r="V330" i="1"/>
  <c r="X330" i="1"/>
  <c r="AL330" i="1"/>
  <c r="AR330" i="1"/>
  <c r="L331" i="1"/>
  <c r="Z331" i="1"/>
  <c r="AB331" i="1"/>
  <c r="AD331" i="1"/>
  <c r="AQ331" i="1"/>
  <c r="AR331" i="1"/>
  <c r="AS331" i="1"/>
  <c r="R332" i="1"/>
  <c r="AV332" i="1"/>
  <c r="AW332" i="1"/>
  <c r="I335" i="1"/>
  <c r="J335" i="1"/>
  <c r="W335" i="1"/>
  <c r="X335" i="1"/>
  <c r="Y335" i="1"/>
  <c r="Z335" i="1"/>
  <c r="AC335" i="1"/>
  <c r="AE335" i="1"/>
  <c r="AM335" i="1"/>
  <c r="M336" i="1"/>
  <c r="N336" i="1"/>
  <c r="O336" i="1"/>
  <c r="P336" i="1"/>
  <c r="AC336" i="1"/>
  <c r="AD336" i="1"/>
  <c r="AE336" i="1"/>
  <c r="AF336" i="1"/>
  <c r="J337" i="1"/>
  <c r="L337" i="1"/>
  <c r="S337" i="1"/>
  <c r="T337" i="1"/>
  <c r="U337" i="1"/>
  <c r="V337" i="1"/>
  <c r="AI337" i="1"/>
  <c r="AJ337" i="1"/>
  <c r="AK337" i="1"/>
  <c r="AL337" i="1"/>
  <c r="I338" i="1"/>
  <c r="J338" i="1"/>
  <c r="K338" i="1"/>
  <c r="L338" i="1"/>
  <c r="O338" i="1"/>
  <c r="Q338" i="1"/>
  <c r="R338" i="1"/>
  <c r="S338" i="1"/>
  <c r="Y338" i="1"/>
  <c r="Z338" i="1"/>
  <c r="AA338" i="1"/>
  <c r="AB338" i="1"/>
  <c r="AE338" i="1"/>
  <c r="AG338" i="1"/>
  <c r="O339" i="1"/>
  <c r="Q339" i="1"/>
  <c r="R339" i="1"/>
  <c r="AE339" i="1"/>
  <c r="AF339" i="1"/>
  <c r="AG339" i="1"/>
  <c r="AH339" i="1"/>
  <c r="H342" i="1"/>
  <c r="I352" i="1" s="1"/>
  <c r="I342" i="1"/>
  <c r="J342" i="1"/>
  <c r="J352" i="1" s="1"/>
  <c r="K342" i="1"/>
  <c r="L342" i="1"/>
  <c r="M342" i="1"/>
  <c r="N342" i="1"/>
  <c r="N352" i="1" s="1"/>
  <c r="O342" i="1"/>
  <c r="P342" i="1"/>
  <c r="P347" i="1" s="1"/>
  <c r="Q342" i="1"/>
  <c r="Q347" i="1" s="1"/>
  <c r="R342" i="1"/>
  <c r="R347" i="1" s="1"/>
  <c r="S342" i="1"/>
  <c r="W347" i="1" s="1"/>
  <c r="T342" i="1"/>
  <c r="X347" i="1" s="1"/>
  <c r="U342" i="1"/>
  <c r="V342" i="1"/>
  <c r="W342" i="1"/>
  <c r="X342" i="1"/>
  <c r="Y352" i="1" s="1"/>
  <c r="Y342" i="1"/>
  <c r="Z342" i="1"/>
  <c r="Z352" i="1" s="1"/>
  <c r="AA342" i="1"/>
  <c r="AA347" i="1" s="1"/>
  <c r="AB342" i="1"/>
  <c r="AC342" i="1"/>
  <c r="AD342" i="1"/>
  <c r="AE342" i="1"/>
  <c r="AF342" i="1"/>
  <c r="AF347" i="1" s="1"/>
  <c r="AG342" i="1"/>
  <c r="AG347" i="1" s="1"/>
  <c r="AH342" i="1"/>
  <c r="AH352" i="1" s="1"/>
  <c r="AI342" i="1"/>
  <c r="AJ342" i="1"/>
  <c r="AJ347" i="1" s="1"/>
  <c r="AK342" i="1"/>
  <c r="AL342" i="1"/>
  <c r="AM342" i="1"/>
  <c r="AO342" i="1"/>
  <c r="AP342" i="1"/>
  <c r="AQ342" i="1"/>
  <c r="AQ347" i="1" s="1"/>
  <c r="AR342" i="1"/>
  <c r="AS342" i="1"/>
  <c r="AS347" i="1" s="1"/>
  <c r="AT342" i="1"/>
  <c r="AT347" i="1" s="1"/>
  <c r="AU342" i="1"/>
  <c r="AV342" i="1"/>
  <c r="AW342" i="1"/>
  <c r="AX342" i="1"/>
  <c r="AX347" i="1" s="1"/>
  <c r="H343" i="1"/>
  <c r="L348" i="1" s="1"/>
  <c r="I343" i="1"/>
  <c r="J343" i="1"/>
  <c r="K343" i="1"/>
  <c r="L343" i="1"/>
  <c r="M343" i="1"/>
  <c r="N343" i="1"/>
  <c r="N353" i="1" s="1"/>
  <c r="O343" i="1"/>
  <c r="P343" i="1"/>
  <c r="P353" i="1" s="1"/>
  <c r="Q343" i="1"/>
  <c r="R343" i="1"/>
  <c r="S343" i="1"/>
  <c r="S353" i="1" s="1"/>
  <c r="T343" i="1"/>
  <c r="U343" i="1"/>
  <c r="U353" i="1" s="1"/>
  <c r="V343" i="1"/>
  <c r="V348" i="1" s="1"/>
  <c r="W343" i="1"/>
  <c r="W348" i="1" s="1"/>
  <c r="X343" i="1"/>
  <c r="Y343" i="1"/>
  <c r="Y348" i="1" s="1"/>
  <c r="Z343" i="1"/>
  <c r="AD348" i="1" s="1"/>
  <c r="AA343" i="1"/>
  <c r="AB343" i="1"/>
  <c r="AC343" i="1"/>
  <c r="AD343" i="1"/>
  <c r="AD353" i="1" s="1"/>
  <c r="AE343" i="1"/>
  <c r="AF343" i="1"/>
  <c r="AF353" i="1" s="1"/>
  <c r="AG343" i="1"/>
  <c r="AH343" i="1"/>
  <c r="AH348" i="1" s="1"/>
  <c r="AI343" i="1"/>
  <c r="AI348" i="1" s="1"/>
  <c r="AJ343" i="1"/>
  <c r="AK343" i="1"/>
  <c r="AK353" i="1" s="1"/>
  <c r="AL343" i="1"/>
  <c r="AL348" i="1" s="1"/>
  <c r="AM343" i="1"/>
  <c r="AM348" i="1" s="1"/>
  <c r="AO343" i="1"/>
  <c r="AP343" i="1"/>
  <c r="AQ343" i="1"/>
  <c r="AR343" i="1"/>
  <c r="AS343" i="1"/>
  <c r="AT343" i="1"/>
  <c r="AU343" i="1"/>
  <c r="AU348" i="1" s="1"/>
  <c r="AV343" i="1"/>
  <c r="AW343" i="1"/>
  <c r="AW348" i="1" s="1"/>
  <c r="AX343" i="1"/>
  <c r="H344" i="1"/>
  <c r="I344" i="1"/>
  <c r="I354" i="1" s="1"/>
  <c r="J344" i="1"/>
  <c r="K344" i="1"/>
  <c r="L344" i="1"/>
  <c r="L354" i="1" s="1"/>
  <c r="M344" i="1"/>
  <c r="M349" i="1" s="1"/>
  <c r="N344" i="1"/>
  <c r="N349" i="1" s="1"/>
  <c r="O344" i="1"/>
  <c r="O349" i="1" s="1"/>
  <c r="P344" i="1"/>
  <c r="P349" i="1" s="1"/>
  <c r="Q344" i="1"/>
  <c r="U349" i="1" s="1"/>
  <c r="R344" i="1"/>
  <c r="S344" i="1"/>
  <c r="T344" i="1"/>
  <c r="U344" i="1"/>
  <c r="V344" i="1"/>
  <c r="V354" i="1" s="1"/>
  <c r="W344" i="1"/>
  <c r="X344" i="1"/>
  <c r="X349" i="1" s="1"/>
  <c r="Y344" i="1"/>
  <c r="Y349" i="1" s="1"/>
  <c r="Z344" i="1"/>
  <c r="AA344" i="1"/>
  <c r="AB344" i="1"/>
  <c r="AB354" i="1" s="1"/>
  <c r="AC344" i="1"/>
  <c r="AD344" i="1"/>
  <c r="AE344" i="1"/>
  <c r="AF344" i="1"/>
  <c r="AF354" i="1" s="1"/>
  <c r="AG344" i="1"/>
  <c r="AK349" i="1" s="1"/>
  <c r="AH344" i="1"/>
  <c r="AI344" i="1"/>
  <c r="AJ344" i="1"/>
  <c r="AJ354" i="1" s="1"/>
  <c r="AK344" i="1"/>
  <c r="AL344" i="1"/>
  <c r="AL349" i="1" s="1"/>
  <c r="AM344" i="1"/>
  <c r="AO344" i="1"/>
  <c r="AP344" i="1"/>
  <c r="AP349" i="1" s="1"/>
  <c r="AQ344" i="1"/>
  <c r="AR344" i="1"/>
  <c r="AR349" i="1" s="1"/>
  <c r="AS344" i="1"/>
  <c r="AS349" i="1" s="1"/>
  <c r="AT344" i="1"/>
  <c r="AT349" i="1" s="1"/>
  <c r="AU344" i="1"/>
  <c r="AU349" i="1" s="1"/>
  <c r="AV344" i="1"/>
  <c r="AW344" i="1"/>
  <c r="AW349" i="1" s="1"/>
  <c r="AX344" i="1"/>
  <c r="Y347" i="1"/>
  <c r="AK347" i="1"/>
  <c r="AP347" i="1"/>
  <c r="O348" i="1"/>
  <c r="Q348" i="1"/>
  <c r="R348" i="1"/>
  <c r="S348" i="1"/>
  <c r="U348" i="1"/>
  <c r="AA348" i="1"/>
  <c r="AE348" i="1"/>
  <c r="AG348" i="1"/>
  <c r="AS348" i="1"/>
  <c r="AT348" i="1"/>
  <c r="AV348" i="1"/>
  <c r="W349" i="1"/>
  <c r="AA349" i="1"/>
  <c r="AB349" i="1"/>
  <c r="AC349" i="1"/>
  <c r="AF349" i="1"/>
  <c r="AM349" i="1"/>
  <c r="V352" i="1"/>
  <c r="W352" i="1"/>
  <c r="X352" i="1"/>
  <c r="AF352" i="1"/>
  <c r="AL352" i="1"/>
  <c r="AM352" i="1"/>
  <c r="L353" i="1"/>
  <c r="M353" i="1"/>
  <c r="O353" i="1"/>
  <c r="R353" i="1"/>
  <c r="AB353" i="1"/>
  <c r="AC353" i="1"/>
  <c r="AH353" i="1"/>
  <c r="R354" i="1"/>
  <c r="S354" i="1"/>
  <c r="T354" i="1"/>
  <c r="U354" i="1"/>
  <c r="X354" i="1"/>
  <c r="Y354" i="1"/>
  <c r="Z354" i="1"/>
  <c r="AH354" i="1"/>
  <c r="AI354" i="1"/>
  <c r="H357" i="1"/>
  <c r="I357" i="1"/>
  <c r="I367" i="1" s="1"/>
  <c r="J357" i="1"/>
  <c r="K357" i="1"/>
  <c r="L357" i="1"/>
  <c r="L362" i="1" s="1"/>
  <c r="M357" i="1"/>
  <c r="N357" i="1"/>
  <c r="N362" i="1" s="1"/>
  <c r="O357" i="1"/>
  <c r="O362" i="1" s="1"/>
  <c r="P357" i="1"/>
  <c r="Q357" i="1"/>
  <c r="Q362" i="1" s="1"/>
  <c r="R357" i="1"/>
  <c r="S357" i="1"/>
  <c r="T367" i="1" s="1"/>
  <c r="T357" i="1"/>
  <c r="U367" i="1" s="1"/>
  <c r="U357" i="1"/>
  <c r="V357" i="1"/>
  <c r="W357" i="1"/>
  <c r="X357" i="1"/>
  <c r="Y357" i="1"/>
  <c r="Y362" i="1" s="1"/>
  <c r="Z357" i="1"/>
  <c r="AA357" i="1"/>
  <c r="AB357" i="1"/>
  <c r="AB367" i="1" s="1"/>
  <c r="AC357" i="1"/>
  <c r="AD357" i="1"/>
  <c r="AE357" i="1"/>
  <c r="AE362" i="1" s="1"/>
  <c r="AF357" i="1"/>
  <c r="AG357" i="1"/>
  <c r="AG362" i="1" s="1"/>
  <c r="AH357" i="1"/>
  <c r="AI357" i="1"/>
  <c r="AJ357" i="1"/>
  <c r="AK357" i="1"/>
  <c r="AL357" i="1"/>
  <c r="AL367" i="1" s="1"/>
  <c r="AM357" i="1"/>
  <c r="AO357" i="1"/>
  <c r="AP357" i="1"/>
  <c r="AP362" i="1" s="1"/>
  <c r="AQ357" i="1"/>
  <c r="AS357" i="1"/>
  <c r="AT357" i="1"/>
  <c r="AT362" i="1" s="1"/>
  <c r="AU357" i="1"/>
  <c r="AV357" i="1"/>
  <c r="AV362" i="1" s="1"/>
  <c r="AW357" i="1"/>
  <c r="AX357" i="1"/>
  <c r="H358" i="1"/>
  <c r="I368" i="1" s="1"/>
  <c r="I358" i="1"/>
  <c r="J358" i="1"/>
  <c r="K358" i="1"/>
  <c r="K368" i="1" s="1"/>
  <c r="L358" i="1"/>
  <c r="M358" i="1"/>
  <c r="N358" i="1"/>
  <c r="O358" i="1"/>
  <c r="P358" i="1"/>
  <c r="Q358" i="1"/>
  <c r="R358" i="1"/>
  <c r="R368" i="1" s="1"/>
  <c r="S358" i="1"/>
  <c r="S363" i="1" s="1"/>
  <c r="T358" i="1"/>
  <c r="U358" i="1"/>
  <c r="U363" i="1" s="1"/>
  <c r="V358" i="1"/>
  <c r="W358" i="1"/>
  <c r="X358" i="1"/>
  <c r="Y358" i="1"/>
  <c r="Z358" i="1"/>
  <c r="Z368" i="1" s="1"/>
  <c r="AA358" i="1"/>
  <c r="AB358" i="1"/>
  <c r="AC358" i="1"/>
  <c r="AC368" i="1" s="1"/>
  <c r="AD358" i="1"/>
  <c r="AE358" i="1"/>
  <c r="AF358" i="1"/>
  <c r="AG358" i="1"/>
  <c r="AG363" i="1" s="1"/>
  <c r="AH358" i="1"/>
  <c r="AH368" i="1" s="1"/>
  <c r="AI358" i="1"/>
  <c r="AI363" i="1" s="1"/>
  <c r="AJ358" i="1"/>
  <c r="AK358" i="1"/>
  <c r="AK368" i="1" s="1"/>
  <c r="AL358" i="1"/>
  <c r="AM358" i="1"/>
  <c r="AO358" i="1"/>
  <c r="AP358" i="1"/>
  <c r="AP363" i="1" s="1"/>
  <c r="AQ358" i="1"/>
  <c r="AQ363" i="1" s="1"/>
  <c r="AS358" i="1"/>
  <c r="AT358" i="1"/>
  <c r="AU358" i="1"/>
  <c r="AU363" i="1" s="1"/>
  <c r="AV358" i="1"/>
  <c r="AW358" i="1"/>
  <c r="AX358" i="1"/>
  <c r="H359" i="1"/>
  <c r="I359" i="1"/>
  <c r="J359" i="1"/>
  <c r="K369" i="1" s="1"/>
  <c r="K359" i="1"/>
  <c r="L359" i="1"/>
  <c r="L369" i="1" s="1"/>
  <c r="M359" i="1"/>
  <c r="M364" i="1" s="1"/>
  <c r="N359" i="1"/>
  <c r="O359" i="1"/>
  <c r="S364" i="1" s="1"/>
  <c r="P359" i="1"/>
  <c r="Q359" i="1"/>
  <c r="R359" i="1"/>
  <c r="S359" i="1"/>
  <c r="T359" i="1"/>
  <c r="U359" i="1"/>
  <c r="V359" i="1"/>
  <c r="W359" i="1"/>
  <c r="X359" i="1"/>
  <c r="Y359" i="1"/>
  <c r="Y369" i="1" s="1"/>
  <c r="Z359" i="1"/>
  <c r="Z369" i="1" s="1"/>
  <c r="AA359" i="1"/>
  <c r="AB359" i="1"/>
  <c r="AB369" i="1" s="1"/>
  <c r="AC359" i="1"/>
  <c r="AD359" i="1"/>
  <c r="AE359" i="1"/>
  <c r="AE369" i="1" s="1"/>
  <c r="AF359" i="1"/>
  <c r="AG359" i="1"/>
  <c r="AH359" i="1"/>
  <c r="AI359" i="1"/>
  <c r="AJ359" i="1"/>
  <c r="AJ369" i="1" s="1"/>
  <c r="AK359" i="1"/>
  <c r="AL359" i="1"/>
  <c r="AM359" i="1"/>
  <c r="AO359" i="1"/>
  <c r="AP359" i="1"/>
  <c r="AQ359" i="1"/>
  <c r="AQ364" i="1" s="1"/>
  <c r="AS359" i="1"/>
  <c r="AT359" i="1"/>
  <c r="AU359" i="1"/>
  <c r="AV359" i="1"/>
  <c r="AW359" i="1"/>
  <c r="AW364" i="1" s="1"/>
  <c r="AX359" i="1"/>
  <c r="X362" i="1"/>
  <c r="Y363" i="1"/>
  <c r="AL364" i="1"/>
  <c r="V367" i="1"/>
  <c r="W367" i="1"/>
  <c r="X367" i="1"/>
  <c r="AK367" i="1"/>
  <c r="J368" i="1"/>
  <c r="L368" i="1"/>
  <c r="M368" i="1"/>
  <c r="Y368" i="1"/>
  <c r="AD368" i="1"/>
  <c r="AE368" i="1"/>
  <c r="I369" i="1"/>
  <c r="H374" i="1"/>
  <c r="H376" i="1" s="1"/>
  <c r="I374" i="1"/>
  <c r="I376" i="1" s="1"/>
  <c r="J374" i="1"/>
  <c r="J376" i="1" s="1"/>
  <c r="K374" i="1"/>
  <c r="O385" i="1" s="1"/>
  <c r="L374" i="1"/>
  <c r="M374" i="1"/>
  <c r="N374" i="1"/>
  <c r="R385" i="1" s="1"/>
  <c r="AO374" i="1"/>
  <c r="AP374" i="1"/>
  <c r="AQ385" i="1" s="1"/>
  <c r="AQ374" i="1"/>
  <c r="AR374" i="1"/>
  <c r="AR385" i="1" s="1"/>
  <c r="AS374" i="1"/>
  <c r="AT374" i="1"/>
  <c r="AU374" i="1"/>
  <c r="AU385" i="1" s="1"/>
  <c r="AV374" i="1"/>
  <c r="AW374" i="1"/>
  <c r="AX374" i="1"/>
  <c r="AO375" i="1"/>
  <c r="AO397" i="1" s="1"/>
  <c r="AP375" i="1"/>
  <c r="AP386" i="1" s="1"/>
  <c r="AQ375" i="1"/>
  <c r="AQ408" i="1" s="1"/>
  <c r="AR375" i="1"/>
  <c r="AS375" i="1"/>
  <c r="AT375" i="1"/>
  <c r="AU375" i="1"/>
  <c r="AV375" i="1"/>
  <c r="AV376" i="1" s="1"/>
  <c r="AV378" i="1" s="1"/>
  <c r="AV380" i="1" s="1"/>
  <c r="AW375" i="1"/>
  <c r="AX375" i="1"/>
  <c r="AX386" i="1" s="1"/>
  <c r="O376" i="1"/>
  <c r="O409" i="1" s="1"/>
  <c r="P376" i="1"/>
  <c r="P409" i="1" s="1"/>
  <c r="Q376" i="1"/>
  <c r="Q409" i="1" s="1"/>
  <c r="R376" i="1"/>
  <c r="R378" i="1" s="1"/>
  <c r="S376" i="1"/>
  <c r="T376" i="1"/>
  <c r="U376" i="1"/>
  <c r="V376" i="1"/>
  <c r="W376" i="1"/>
  <c r="X376" i="1"/>
  <c r="Y376" i="1"/>
  <c r="Y431" i="1" s="1"/>
  <c r="Z376" i="1"/>
  <c r="AA376" i="1"/>
  <c r="AB376" i="1"/>
  <c r="AC376" i="1"/>
  <c r="AC378" i="1" s="1"/>
  <c r="AC380" i="1" s="1"/>
  <c r="AD376" i="1"/>
  <c r="AD378" i="1" s="1"/>
  <c r="AD380" i="1" s="1"/>
  <c r="AD455" i="1" s="1"/>
  <c r="AE376" i="1"/>
  <c r="AE387" i="1" s="1"/>
  <c r="AF376" i="1"/>
  <c r="AG376" i="1"/>
  <c r="AG378" i="1" s="1"/>
  <c r="AG380" i="1" s="1"/>
  <c r="AH376" i="1"/>
  <c r="AI376" i="1"/>
  <c r="AJ376" i="1"/>
  <c r="AK376" i="1"/>
  <c r="AL376" i="1"/>
  <c r="AM376" i="1"/>
  <c r="AM409" i="1" s="1"/>
  <c r="H377" i="1"/>
  <c r="I377" i="1"/>
  <c r="J377" i="1"/>
  <c r="K377" i="1"/>
  <c r="K410" i="1" s="1"/>
  <c r="L377" i="1"/>
  <c r="L421" i="1" s="1"/>
  <c r="M377" i="1"/>
  <c r="M410" i="1" s="1"/>
  <c r="N377" i="1"/>
  <c r="N432" i="1" s="1"/>
  <c r="O377" i="1"/>
  <c r="O432" i="1" s="1"/>
  <c r="P377" i="1"/>
  <c r="P432" i="1" s="1"/>
  <c r="Q377" i="1"/>
  <c r="S377" i="1"/>
  <c r="T377" i="1"/>
  <c r="U377" i="1"/>
  <c r="V377" i="1"/>
  <c r="V388" i="1" s="1"/>
  <c r="W377" i="1"/>
  <c r="X377" i="1"/>
  <c r="X388" i="1" s="1"/>
  <c r="Y377" i="1"/>
  <c r="Y388" i="1" s="1"/>
  <c r="Z377" i="1"/>
  <c r="Z388" i="1" s="1"/>
  <c r="AA377" i="1"/>
  <c r="AB377" i="1"/>
  <c r="AC377" i="1"/>
  <c r="AC388" i="1" s="1"/>
  <c r="AD377" i="1"/>
  <c r="AD388" i="1" s="1"/>
  <c r="AE377" i="1"/>
  <c r="AE388" i="1" s="1"/>
  <c r="AF377" i="1"/>
  <c r="AF421" i="1" s="1"/>
  <c r="AG377" i="1"/>
  <c r="AG410" i="1" s="1"/>
  <c r="AH377" i="1"/>
  <c r="AH388" i="1" s="1"/>
  <c r="AI377" i="1"/>
  <c r="AJ377" i="1"/>
  <c r="AK377" i="1"/>
  <c r="AL377" i="1"/>
  <c r="AM377" i="1"/>
  <c r="AO377" i="1"/>
  <c r="AO410" i="1" s="1"/>
  <c r="AP377" i="1"/>
  <c r="AQ377" i="1"/>
  <c r="AR377" i="1"/>
  <c r="AR388" i="1" s="1"/>
  <c r="AS377" i="1"/>
  <c r="AT377" i="1"/>
  <c r="AU377" i="1"/>
  <c r="AU388" i="1" s="1"/>
  <c r="AV377" i="1"/>
  <c r="AV388" i="1" s="1"/>
  <c r="AW377" i="1"/>
  <c r="AW388" i="1" s="1"/>
  <c r="H379" i="1"/>
  <c r="H412" i="1" s="1"/>
  <c r="I379" i="1"/>
  <c r="J379" i="1"/>
  <c r="K379" i="1"/>
  <c r="K412" i="1" s="1"/>
  <c r="L379" i="1"/>
  <c r="M379" i="1"/>
  <c r="M423" i="1" s="1"/>
  <c r="N379" i="1"/>
  <c r="N390" i="1" s="1"/>
  <c r="O379" i="1"/>
  <c r="O390" i="1" s="1"/>
  <c r="P379" i="1"/>
  <c r="P423" i="1" s="1"/>
  <c r="Q379" i="1"/>
  <c r="Q434" i="1" s="1"/>
  <c r="R379" i="1"/>
  <c r="R434" i="1" s="1"/>
  <c r="S379" i="1"/>
  <c r="T379" i="1"/>
  <c r="U379" i="1"/>
  <c r="V379" i="1"/>
  <c r="W379" i="1"/>
  <c r="X379" i="1"/>
  <c r="X390" i="1" s="1"/>
  <c r="Y379" i="1"/>
  <c r="Y390" i="1" s="1"/>
  <c r="Z379" i="1"/>
  <c r="Z390" i="1" s="1"/>
  <c r="AA379" i="1"/>
  <c r="AA390" i="1" s="1"/>
  <c r="AB379" i="1"/>
  <c r="AC379" i="1"/>
  <c r="AC390" i="1" s="1"/>
  <c r="AD379" i="1"/>
  <c r="AD390" i="1" s="1"/>
  <c r="AE379" i="1"/>
  <c r="AF379" i="1"/>
  <c r="AG379" i="1"/>
  <c r="AO379" i="1"/>
  <c r="AP423" i="1" s="1"/>
  <c r="AP379" i="1"/>
  <c r="AQ379" i="1"/>
  <c r="AR379" i="1"/>
  <c r="AS379" i="1"/>
  <c r="AT379" i="1"/>
  <c r="AU379" i="1"/>
  <c r="AV379" i="1"/>
  <c r="AW379" i="1"/>
  <c r="AX379" i="1"/>
  <c r="AX412" i="1" s="1"/>
  <c r="H381" i="1"/>
  <c r="H414" i="1" s="1"/>
  <c r="I381" i="1"/>
  <c r="J381" i="1"/>
  <c r="N425" i="1" s="1"/>
  <c r="K381" i="1"/>
  <c r="K414" i="1" s="1"/>
  <c r="L381" i="1"/>
  <c r="L414" i="1" s="1"/>
  <c r="M381" i="1"/>
  <c r="N381" i="1"/>
  <c r="O381" i="1"/>
  <c r="O414" i="1" s="1"/>
  <c r="P381" i="1"/>
  <c r="Q381" i="1"/>
  <c r="Q392" i="1" s="1"/>
  <c r="R381" i="1"/>
  <c r="R392" i="1" s="1"/>
  <c r="S381" i="1"/>
  <c r="T381" i="1"/>
  <c r="T392" i="1" s="1"/>
  <c r="U381" i="1"/>
  <c r="U414" i="1" s="1"/>
  <c r="V381" i="1"/>
  <c r="W381" i="1"/>
  <c r="W436" i="1" s="1"/>
  <c r="X381" i="1"/>
  <c r="Y381" i="1"/>
  <c r="Y436" i="1" s="1"/>
  <c r="Z381" i="1"/>
  <c r="Z392" i="1" s="1"/>
  <c r="AA381" i="1"/>
  <c r="AB381" i="1"/>
  <c r="AV381" i="1" s="1"/>
  <c r="AC381" i="1"/>
  <c r="AD381" i="1"/>
  <c r="AE381" i="1"/>
  <c r="AF381" i="1"/>
  <c r="AG381" i="1"/>
  <c r="AK392" i="1" s="1"/>
  <c r="AO381" i="1"/>
  <c r="AP425" i="1" s="1"/>
  <c r="AP381" i="1"/>
  <c r="AX381" i="1"/>
  <c r="S385" i="1"/>
  <c r="T385" i="1"/>
  <c r="U385" i="1"/>
  <c r="V385" i="1"/>
  <c r="W385" i="1"/>
  <c r="X385" i="1"/>
  <c r="Y385" i="1"/>
  <c r="Z385" i="1"/>
  <c r="AA385" i="1"/>
  <c r="AB385" i="1"/>
  <c r="AC385" i="1"/>
  <c r="AD385" i="1"/>
  <c r="AE385" i="1"/>
  <c r="AF385" i="1"/>
  <c r="AG385" i="1"/>
  <c r="AH385" i="1"/>
  <c r="AI385" i="1"/>
  <c r="AJ385" i="1"/>
  <c r="AK385" i="1"/>
  <c r="AL385" i="1"/>
  <c r="AM385" i="1"/>
  <c r="AW385" i="1"/>
  <c r="L386" i="1"/>
  <c r="M386" i="1"/>
  <c r="N386" i="1"/>
  <c r="O386" i="1"/>
  <c r="P386" i="1"/>
  <c r="Q386" i="1"/>
  <c r="R386" i="1"/>
  <c r="S386" i="1"/>
  <c r="T386" i="1"/>
  <c r="U386" i="1"/>
  <c r="V386" i="1"/>
  <c r="W386" i="1"/>
  <c r="X386" i="1"/>
  <c r="Y386" i="1"/>
  <c r="Z386" i="1"/>
  <c r="AA386" i="1"/>
  <c r="AB386" i="1"/>
  <c r="AC386" i="1"/>
  <c r="AD386" i="1"/>
  <c r="AE386" i="1"/>
  <c r="AF386" i="1"/>
  <c r="AG386" i="1"/>
  <c r="AH386" i="1"/>
  <c r="AI386" i="1"/>
  <c r="AJ386" i="1"/>
  <c r="AK386" i="1"/>
  <c r="AL386" i="1"/>
  <c r="AM386" i="1"/>
  <c r="U387" i="1"/>
  <c r="Z387" i="1"/>
  <c r="M388" i="1"/>
  <c r="P388" i="1"/>
  <c r="Q388" i="1"/>
  <c r="R388" i="1"/>
  <c r="T388" i="1"/>
  <c r="U388" i="1"/>
  <c r="W388" i="1"/>
  <c r="AG388" i="1"/>
  <c r="AK388" i="1"/>
  <c r="M390" i="1"/>
  <c r="Q390" i="1"/>
  <c r="W390" i="1"/>
  <c r="AL390" i="1"/>
  <c r="AM390" i="1"/>
  <c r="AQ390" i="1"/>
  <c r="AR390" i="1"/>
  <c r="AS390" i="1"/>
  <c r="AT390" i="1"/>
  <c r="AW390" i="1"/>
  <c r="L392" i="1"/>
  <c r="AB392" i="1"/>
  <c r="AH392" i="1"/>
  <c r="AI392" i="1"/>
  <c r="AJ392" i="1"/>
  <c r="AL392" i="1"/>
  <c r="AM392" i="1"/>
  <c r="H404" i="1"/>
  <c r="H402" i="1" s="1"/>
  <c r="I404" i="1"/>
  <c r="I402" i="1" s="1"/>
  <c r="I400" i="1" s="1"/>
  <c r="I398" i="1"/>
  <c r="I396" i="1" s="1"/>
  <c r="I407" i="1" s="1"/>
  <c r="J404" i="1"/>
  <c r="AQ404" i="1" s="1"/>
  <c r="K404" i="1"/>
  <c r="K402" i="1" s="1"/>
  <c r="K400" i="1" s="1"/>
  <c r="K398" i="1" s="1"/>
  <c r="L404" i="1"/>
  <c r="L402" i="1"/>
  <c r="L400" i="1" s="1"/>
  <c r="M404" i="1"/>
  <c r="N404" i="1"/>
  <c r="N402" i="1" s="1"/>
  <c r="N400" i="1" s="1"/>
  <c r="N398" i="1" s="1"/>
  <c r="N396" i="1" s="1"/>
  <c r="AO404" i="1"/>
  <c r="AO402" i="1" s="1"/>
  <c r="AO400" i="1" s="1"/>
  <c r="AO398" i="1" s="1"/>
  <c r="AP404" i="1"/>
  <c r="AP402" i="1"/>
  <c r="AP400" i="1" s="1"/>
  <c r="AP397" i="1"/>
  <c r="AP419" i="1" s="1"/>
  <c r="AS396" i="1"/>
  <c r="AT396" i="1"/>
  <c r="AU396" i="1"/>
  <c r="AV396" i="1"/>
  <c r="AW396" i="1"/>
  <c r="AX396" i="1"/>
  <c r="AX407" i="1" s="1"/>
  <c r="AQ397" i="1"/>
  <c r="AR397" i="1"/>
  <c r="AS397" i="1"/>
  <c r="AT397" i="1"/>
  <c r="AU397" i="1"/>
  <c r="AV397" i="1"/>
  <c r="AW397" i="1"/>
  <c r="AW408" i="1" s="1"/>
  <c r="AX397" i="1"/>
  <c r="AX408" i="1" s="1"/>
  <c r="S398" i="1"/>
  <c r="S420" i="1" s="1"/>
  <c r="T398" i="1"/>
  <c r="X420" i="1" s="1"/>
  <c r="U398" i="1"/>
  <c r="U409" i="1" s="1"/>
  <c r="V398" i="1"/>
  <c r="V420" i="1" s="1"/>
  <c r="W398" i="1"/>
  <c r="X398" i="1"/>
  <c r="Y398" i="1"/>
  <c r="Z398" i="1"/>
  <c r="AU398" i="1" s="1"/>
  <c r="AA398" i="1"/>
  <c r="AB398" i="1"/>
  <c r="AB431" i="1" s="1"/>
  <c r="AC398" i="1"/>
  <c r="AC409" i="1" s="1"/>
  <c r="AD398" i="1"/>
  <c r="AD400" i="1" s="1"/>
  <c r="AE398" i="1"/>
  <c r="AE400" i="1" s="1"/>
  <c r="AF398" i="1"/>
  <c r="AG398" i="1"/>
  <c r="AG400" i="1" s="1"/>
  <c r="AX398" i="1"/>
  <c r="T399" i="1"/>
  <c r="AT399" i="1" s="1"/>
  <c r="AT410" i="1" s="1"/>
  <c r="U399" i="1"/>
  <c r="V432" i="1" s="1"/>
  <c r="V399" i="1"/>
  <c r="W399" i="1"/>
  <c r="AQ399" i="1"/>
  <c r="AR399" i="1"/>
  <c r="AR410" i="1" s="1"/>
  <c r="AV399" i="1"/>
  <c r="AV410" i="1" s="1"/>
  <c r="AW399" i="1"/>
  <c r="AW410" i="1" s="1"/>
  <c r="AX399" i="1"/>
  <c r="AX400" i="1"/>
  <c r="S404" i="1"/>
  <c r="S402" i="1" s="1"/>
  <c r="T404" i="1"/>
  <c r="T402" i="1" s="1"/>
  <c r="U404" i="1"/>
  <c r="U402" i="1" s="1"/>
  <c r="V404" i="1"/>
  <c r="W404" i="1"/>
  <c r="W402" i="1"/>
  <c r="X404" i="1"/>
  <c r="X402" i="1" s="1"/>
  <c r="Y404" i="1"/>
  <c r="AU404" i="1" s="1"/>
  <c r="Z401" i="1"/>
  <c r="AA401" i="1"/>
  <c r="AA434" i="1" s="1"/>
  <c r="AB401" i="1"/>
  <c r="AC401" i="1"/>
  <c r="AC434" i="1" s="1"/>
  <c r="AD401" i="1"/>
  <c r="AE401" i="1"/>
  <c r="AE434" i="1" s="1"/>
  <c r="AF401" i="1"/>
  <c r="AF434" i="1" s="1"/>
  <c r="AQ401" i="1"/>
  <c r="AQ423" i="1" s="1"/>
  <c r="AR401" i="1"/>
  <c r="AR412" i="1" s="1"/>
  <c r="AX401" i="1"/>
  <c r="AX402" i="1"/>
  <c r="Z404" i="1"/>
  <c r="AA404" i="1"/>
  <c r="AB404" i="1"/>
  <c r="AC404" i="1"/>
  <c r="AD404" i="1"/>
  <c r="AE404" i="1"/>
  <c r="AF404" i="1"/>
  <c r="AG404" i="1"/>
  <c r="AW404" i="1" s="1"/>
  <c r="AQ403" i="1"/>
  <c r="AR403" i="1"/>
  <c r="AS403" i="1"/>
  <c r="AT403" i="1"/>
  <c r="AX403" i="1"/>
  <c r="AX404" i="1"/>
  <c r="O407" i="1"/>
  <c r="P407" i="1"/>
  <c r="Q407" i="1"/>
  <c r="R407" i="1"/>
  <c r="S407" i="1"/>
  <c r="T407" i="1"/>
  <c r="U407" i="1"/>
  <c r="V407" i="1"/>
  <c r="W407" i="1"/>
  <c r="X407" i="1"/>
  <c r="Y407" i="1"/>
  <c r="Z407" i="1"/>
  <c r="AA407" i="1"/>
  <c r="AB407" i="1"/>
  <c r="AC407" i="1"/>
  <c r="AD407" i="1"/>
  <c r="AE407" i="1"/>
  <c r="AF407" i="1"/>
  <c r="AG407" i="1"/>
  <c r="AH407" i="1"/>
  <c r="AI407" i="1"/>
  <c r="AJ407" i="1"/>
  <c r="AK407" i="1"/>
  <c r="AL407" i="1"/>
  <c r="AM407" i="1"/>
  <c r="AS407" i="1"/>
  <c r="AV407" i="1"/>
  <c r="AW407" i="1"/>
  <c r="L408" i="1"/>
  <c r="M408" i="1"/>
  <c r="N408" i="1"/>
  <c r="O408" i="1"/>
  <c r="P408" i="1"/>
  <c r="Q408" i="1"/>
  <c r="R408" i="1"/>
  <c r="S408" i="1"/>
  <c r="T408" i="1"/>
  <c r="U408" i="1"/>
  <c r="V408" i="1"/>
  <c r="W408" i="1"/>
  <c r="X408" i="1"/>
  <c r="Y408" i="1"/>
  <c r="Z408" i="1"/>
  <c r="AA408" i="1"/>
  <c r="AB408" i="1"/>
  <c r="AC408" i="1"/>
  <c r="AD408" i="1"/>
  <c r="AE408" i="1"/>
  <c r="AF408" i="1"/>
  <c r="AG408" i="1"/>
  <c r="AH408" i="1"/>
  <c r="AI408" i="1"/>
  <c r="AJ408" i="1"/>
  <c r="AK408" i="1"/>
  <c r="AL408" i="1"/>
  <c r="AM408" i="1"/>
  <c r="X409" i="1"/>
  <c r="AH409" i="1"/>
  <c r="AJ409" i="1"/>
  <c r="AL409" i="1"/>
  <c r="H410" i="1"/>
  <c r="I410" i="1"/>
  <c r="J410" i="1"/>
  <c r="L410" i="1"/>
  <c r="AC410" i="1"/>
  <c r="AH410" i="1"/>
  <c r="AI410" i="1"/>
  <c r="AJ410" i="1"/>
  <c r="AK410" i="1"/>
  <c r="AL410" i="1"/>
  <c r="AM410" i="1"/>
  <c r="AP410" i="1"/>
  <c r="I412" i="1"/>
  <c r="J412" i="1"/>
  <c r="L412" i="1"/>
  <c r="N412" i="1"/>
  <c r="O412" i="1"/>
  <c r="AO412" i="1"/>
  <c r="AP412" i="1"/>
  <c r="AQ412" i="1"/>
  <c r="M414" i="1"/>
  <c r="N414" i="1"/>
  <c r="P414" i="1"/>
  <c r="T414" i="1"/>
  <c r="V414" i="1"/>
  <c r="X414" i="1"/>
  <c r="AH414" i="1"/>
  <c r="AI414" i="1"/>
  <c r="AJ414" i="1"/>
  <c r="AK414" i="1"/>
  <c r="AL414" i="1"/>
  <c r="AM414" i="1"/>
  <c r="AW418" i="1"/>
  <c r="AL420" i="1"/>
  <c r="M421" i="1"/>
  <c r="N421" i="1"/>
  <c r="P421" i="1"/>
  <c r="Q421" i="1"/>
  <c r="R421" i="1"/>
  <c r="T421" i="1"/>
  <c r="U421" i="1"/>
  <c r="V421" i="1"/>
  <c r="AG421" i="1"/>
  <c r="AK421" i="1"/>
  <c r="AL421" i="1"/>
  <c r="AM421" i="1"/>
  <c r="AQ421" i="1"/>
  <c r="AL423" i="1"/>
  <c r="AM423" i="1"/>
  <c r="AR423" i="1"/>
  <c r="O425" i="1"/>
  <c r="P425" i="1"/>
  <c r="R425" i="1"/>
  <c r="T425" i="1"/>
  <c r="AL425" i="1"/>
  <c r="AM425" i="1"/>
  <c r="P429" i="1"/>
  <c r="Q429" i="1"/>
  <c r="R429" i="1"/>
  <c r="S429" i="1"/>
  <c r="T429" i="1"/>
  <c r="U429" i="1"/>
  <c r="V429" i="1"/>
  <c r="W429" i="1"/>
  <c r="X429" i="1"/>
  <c r="Y429" i="1"/>
  <c r="Z429" i="1"/>
  <c r="AA429" i="1"/>
  <c r="AB429" i="1"/>
  <c r="AC429" i="1"/>
  <c r="AD429" i="1"/>
  <c r="AE429" i="1"/>
  <c r="AF429" i="1"/>
  <c r="AG429" i="1"/>
  <c r="AH429" i="1"/>
  <c r="AI429" i="1"/>
  <c r="AJ429" i="1"/>
  <c r="AK429" i="1"/>
  <c r="AL429" i="1"/>
  <c r="AM429" i="1"/>
  <c r="I430" i="1"/>
  <c r="J430" i="1"/>
  <c r="K430" i="1"/>
  <c r="L430" i="1"/>
  <c r="M430" i="1"/>
  <c r="N430" i="1"/>
  <c r="O430" i="1"/>
  <c r="P430" i="1"/>
  <c r="Q430" i="1"/>
  <c r="R430" i="1"/>
  <c r="S430" i="1"/>
  <c r="T430" i="1"/>
  <c r="U430" i="1"/>
  <c r="V430" i="1"/>
  <c r="W430" i="1"/>
  <c r="X430" i="1"/>
  <c r="Y430" i="1"/>
  <c r="Z430" i="1"/>
  <c r="AA430" i="1"/>
  <c r="AB430" i="1"/>
  <c r="AC430" i="1"/>
  <c r="AD430" i="1"/>
  <c r="AE430" i="1"/>
  <c r="AF430" i="1"/>
  <c r="AG430" i="1"/>
  <c r="AH430" i="1"/>
  <c r="AI430" i="1"/>
  <c r="AJ430" i="1"/>
  <c r="AK430" i="1"/>
  <c r="AL430" i="1"/>
  <c r="AM430" i="1"/>
  <c r="P431" i="1"/>
  <c r="Q431" i="1"/>
  <c r="R431" i="1"/>
  <c r="X431" i="1"/>
  <c r="AD431" i="1"/>
  <c r="AJ431" i="1"/>
  <c r="AK431" i="1"/>
  <c r="AL431" i="1"/>
  <c r="AM431" i="1"/>
  <c r="I432" i="1"/>
  <c r="J432" i="1"/>
  <c r="K432" i="1"/>
  <c r="L432" i="1"/>
  <c r="M432" i="1"/>
  <c r="U432" i="1"/>
  <c r="W432" i="1"/>
  <c r="AC432" i="1"/>
  <c r="AD432" i="1"/>
  <c r="AE432" i="1"/>
  <c r="AF432" i="1"/>
  <c r="AG432" i="1"/>
  <c r="AH432" i="1"/>
  <c r="AI432" i="1"/>
  <c r="AJ432" i="1"/>
  <c r="AK432" i="1"/>
  <c r="AL432" i="1"/>
  <c r="AM432" i="1"/>
  <c r="J434" i="1"/>
  <c r="K434" i="1"/>
  <c r="L434" i="1"/>
  <c r="M434" i="1"/>
  <c r="N434" i="1"/>
  <c r="O434" i="1"/>
  <c r="AD434" i="1"/>
  <c r="AI434" i="1"/>
  <c r="AJ434" i="1"/>
  <c r="AK434" i="1"/>
  <c r="AL434" i="1"/>
  <c r="AM434" i="1"/>
  <c r="L436" i="1"/>
  <c r="M436" i="1"/>
  <c r="N436" i="1"/>
  <c r="O436" i="1"/>
  <c r="P436" i="1"/>
  <c r="Q436" i="1"/>
  <c r="T436" i="1"/>
  <c r="U436" i="1"/>
  <c r="AI436" i="1"/>
  <c r="AJ436" i="1"/>
  <c r="AK436" i="1"/>
  <c r="AL436" i="1"/>
  <c r="AM436" i="1"/>
  <c r="H442" i="1"/>
  <c r="I442" i="1"/>
  <c r="J442" i="1"/>
  <c r="K442" i="1"/>
  <c r="K440" i="1" s="1"/>
  <c r="L442" i="1"/>
  <c r="M442" i="1"/>
  <c r="M440" i="1" s="1"/>
  <c r="N442" i="1"/>
  <c r="N440" i="1"/>
  <c r="N450" i="1" s="1"/>
  <c r="O442" i="1"/>
  <c r="O440" i="1" s="1"/>
  <c r="P442" i="1"/>
  <c r="Q442" i="1"/>
  <c r="Q440" i="1" s="1"/>
  <c r="R442" i="1"/>
  <c r="R440" i="1" s="1"/>
  <c r="S442" i="1"/>
  <c r="S452" i="1" s="1"/>
  <c r="S440" i="1"/>
  <c r="S450" i="1" s="1"/>
  <c r="T442" i="1"/>
  <c r="U442" i="1"/>
  <c r="V442" i="1"/>
  <c r="V440" i="1" s="1"/>
  <c r="W442" i="1"/>
  <c r="W440" i="1"/>
  <c r="X442" i="1"/>
  <c r="Y442" i="1"/>
  <c r="Z442" i="1"/>
  <c r="AA442" i="1"/>
  <c r="AE447" i="1" s="1"/>
  <c r="AB442" i="1"/>
  <c r="AB456" i="1"/>
  <c r="AC442" i="1"/>
  <c r="AO442" i="1"/>
  <c r="AP442" i="1"/>
  <c r="AP440" i="1" s="1"/>
  <c r="AQ441" i="1"/>
  <c r="AR441" i="1"/>
  <c r="AS441" i="1"/>
  <c r="AT441" i="1"/>
  <c r="AX441" i="1"/>
  <c r="AW442" i="1"/>
  <c r="L446" i="1"/>
  <c r="M446" i="1"/>
  <c r="N446" i="1"/>
  <c r="O446" i="1"/>
  <c r="P446" i="1"/>
  <c r="Q446" i="1"/>
  <c r="R446" i="1"/>
  <c r="S446" i="1"/>
  <c r="T446" i="1"/>
  <c r="U446" i="1"/>
  <c r="V446" i="1"/>
  <c r="W446" i="1"/>
  <c r="X446" i="1"/>
  <c r="Z446" i="1"/>
  <c r="AD446" i="1"/>
  <c r="AH446" i="1"/>
  <c r="AI446" i="1"/>
  <c r="AJ446" i="1"/>
  <c r="AL446" i="1"/>
  <c r="AM446" i="1"/>
  <c r="AP446" i="1"/>
  <c r="AQ446" i="1"/>
  <c r="AR446" i="1"/>
  <c r="AS446" i="1"/>
  <c r="AT446" i="1"/>
  <c r="W447" i="1"/>
  <c r="AA447" i="1"/>
  <c r="AB447" i="1"/>
  <c r="AF447" i="1"/>
  <c r="AH447" i="1"/>
  <c r="AI447" i="1"/>
  <c r="AJ447" i="1"/>
  <c r="AL447" i="1"/>
  <c r="AM447" i="1"/>
  <c r="AE450" i="1"/>
  <c r="AF450" i="1"/>
  <c r="AI450" i="1"/>
  <c r="AJ450" i="1"/>
  <c r="AM450" i="1"/>
  <c r="I451" i="1"/>
  <c r="J451" i="1"/>
  <c r="K451" i="1"/>
  <c r="L451" i="1"/>
  <c r="M451" i="1"/>
  <c r="N451" i="1"/>
  <c r="O451" i="1"/>
  <c r="P451" i="1"/>
  <c r="Q451" i="1"/>
  <c r="R451" i="1"/>
  <c r="S451" i="1"/>
  <c r="T451" i="1"/>
  <c r="U451" i="1"/>
  <c r="V451" i="1"/>
  <c r="W451" i="1"/>
  <c r="X451" i="1"/>
  <c r="AE451" i="1"/>
  <c r="AF451" i="1"/>
  <c r="AI451" i="1"/>
  <c r="AJ451" i="1"/>
  <c r="AK451" i="1"/>
  <c r="AL451" i="1"/>
  <c r="AM451" i="1"/>
  <c r="N452" i="1"/>
  <c r="O452" i="1"/>
  <c r="P452" i="1"/>
  <c r="AE452" i="1"/>
  <c r="AF452" i="1"/>
  <c r="AG452" i="1"/>
  <c r="AH452" i="1"/>
  <c r="AI452" i="1"/>
  <c r="AJ452" i="1"/>
  <c r="AM452" i="1"/>
  <c r="H456" i="1"/>
  <c r="K456" i="1"/>
  <c r="L456" i="1"/>
  <c r="M456" i="1"/>
  <c r="N456" i="1"/>
  <c r="O456" i="1"/>
  <c r="P456" i="1"/>
  <c r="Q456" i="1"/>
  <c r="S456" i="1"/>
  <c r="T456" i="1"/>
  <c r="U456" i="1"/>
  <c r="V456" i="1"/>
  <c r="W456" i="1"/>
  <c r="X456" i="1"/>
  <c r="AD456" i="1"/>
  <c r="AE456" i="1"/>
  <c r="AF456" i="1"/>
  <c r="AP456" i="1"/>
  <c r="AX456" i="1"/>
  <c r="H462" i="1"/>
  <c r="I462" i="1"/>
  <c r="I460" i="1" s="1"/>
  <c r="J462" i="1"/>
  <c r="J460" i="1" s="1"/>
  <c r="K462" i="1"/>
  <c r="L462" i="1"/>
  <c r="L460" i="1" s="1"/>
  <c r="M462" i="1"/>
  <c r="N462" i="1"/>
  <c r="N460" i="1" s="1"/>
  <c r="O462" i="1"/>
  <c r="O460" i="1"/>
  <c r="P462" i="1"/>
  <c r="P460" i="1"/>
  <c r="Q462" i="1"/>
  <c r="Q460" i="1" s="1"/>
  <c r="R462" i="1"/>
  <c r="R460" i="1"/>
  <c r="S462" i="1"/>
  <c r="T462" i="1"/>
  <c r="T460" i="1" s="1"/>
  <c r="U462" i="1"/>
  <c r="V462" i="1"/>
  <c r="V460" i="1" s="1"/>
  <c r="W462" i="1"/>
  <c r="X462" i="1"/>
  <c r="X460" i="1"/>
  <c r="Y462" i="1"/>
  <c r="Y460" i="1"/>
  <c r="Z462" i="1"/>
  <c r="Z463" i="1" s="1"/>
  <c r="AA462" i="1"/>
  <c r="AA463" i="1" s="1"/>
  <c r="AB462" i="1"/>
  <c r="AB460" i="1" s="1"/>
  <c r="AC462" i="1"/>
  <c r="AC460" i="1" s="1"/>
  <c r="AD462" i="1"/>
  <c r="AE462" i="1"/>
  <c r="AI463" i="1" s="1"/>
  <c r="AF462" i="1"/>
  <c r="AJ463" i="1" s="1"/>
  <c r="AG462" i="1"/>
  <c r="AK463" i="1" s="1"/>
  <c r="AO462" i="1"/>
  <c r="AO460" i="1"/>
  <c r="AP462" i="1"/>
  <c r="AX460" i="1"/>
  <c r="AQ461" i="1"/>
  <c r="AR461" i="1"/>
  <c r="AS461" i="1"/>
  <c r="AT461" i="1"/>
  <c r="AU461" i="1"/>
  <c r="AV461" i="1"/>
  <c r="AW461" i="1"/>
  <c r="AX461" i="1"/>
  <c r="AX462" i="1"/>
  <c r="Y463" i="1"/>
  <c r="AB463" i="1"/>
  <c r="AL463" i="1"/>
  <c r="AM463" i="1"/>
  <c r="H469" i="1"/>
  <c r="H467" i="1"/>
  <c r="I469" i="1"/>
  <c r="I467" i="1"/>
  <c r="J469" i="1"/>
  <c r="K469" i="1"/>
  <c r="K467" i="1" s="1"/>
  <c r="L469" i="1"/>
  <c r="L467" i="1" s="1"/>
  <c r="AR467" i="1" s="1"/>
  <c r="M469" i="1"/>
  <c r="M467" i="1"/>
  <c r="N469" i="1"/>
  <c r="N470" i="1" s="1"/>
  <c r="N467" i="1"/>
  <c r="O469" i="1"/>
  <c r="O467" i="1" s="1"/>
  <c r="P469" i="1"/>
  <c r="P470" i="1" s="1"/>
  <c r="P467" i="1"/>
  <c r="Q469" i="1"/>
  <c r="Q470" i="1" s="1"/>
  <c r="Q467" i="1"/>
  <c r="R469" i="1"/>
  <c r="S469" i="1"/>
  <c r="S467" i="1" s="1"/>
  <c r="T469" i="1"/>
  <c r="T467" i="1" s="1"/>
  <c r="U469" i="1"/>
  <c r="V469" i="1"/>
  <c r="V470" i="1" s="1"/>
  <c r="V467" i="1"/>
  <c r="W469" i="1"/>
  <c r="W467" i="1" s="1"/>
  <c r="X469" i="1"/>
  <c r="X470" i="1" s="1"/>
  <c r="X467" i="1"/>
  <c r="Y469" i="1"/>
  <c r="Y467" i="1"/>
  <c r="Z469" i="1"/>
  <c r="AA469" i="1"/>
  <c r="AA467" i="1" s="1"/>
  <c r="AB469" i="1"/>
  <c r="AB467" i="1" s="1"/>
  <c r="AC469" i="1"/>
  <c r="AC467" i="1" s="1"/>
  <c r="AD469" i="1"/>
  <c r="AE469" i="1"/>
  <c r="AE467" i="1" s="1"/>
  <c r="AF469" i="1"/>
  <c r="AJ470" i="1" s="1"/>
  <c r="AG469" i="1"/>
  <c r="AG470" i="1" s="1"/>
  <c r="AG467" i="1"/>
  <c r="AO469" i="1"/>
  <c r="AO467" i="1" s="1"/>
  <c r="AP469" i="1"/>
  <c r="AX467" i="1"/>
  <c r="AQ468" i="1"/>
  <c r="AR468" i="1"/>
  <c r="AS468" i="1"/>
  <c r="AT468" i="1"/>
  <c r="AU468" i="1"/>
  <c r="AV468" i="1"/>
  <c r="AW468" i="1"/>
  <c r="AX468" i="1"/>
  <c r="AX469" i="1"/>
  <c r="L470" i="1"/>
  <c r="M470" i="1"/>
  <c r="AB470" i="1"/>
  <c r="AE470" i="1"/>
  <c r="AI470" i="1"/>
  <c r="AK470" i="1"/>
  <c r="AL470" i="1"/>
  <c r="AM470" i="1"/>
  <c r="H476" i="1"/>
  <c r="H474" i="1" s="1"/>
  <c r="H475" i="1"/>
  <c r="I476" i="1"/>
  <c r="I475" i="1"/>
  <c r="J476" i="1"/>
  <c r="AQ476" i="1" s="1"/>
  <c r="J475" i="1"/>
  <c r="N480" i="1" s="1"/>
  <c r="K476" i="1"/>
  <c r="K475" i="1"/>
  <c r="K485" i="1" s="1"/>
  <c r="L476" i="1"/>
  <c r="L475" i="1"/>
  <c r="AR475" i="1" s="1"/>
  <c r="M476" i="1"/>
  <c r="Q481" i="1" s="1"/>
  <c r="M475" i="1"/>
  <c r="M485" i="1" s="1"/>
  <c r="N476" i="1"/>
  <c r="N475" i="1"/>
  <c r="O476" i="1"/>
  <c r="O474" i="1" s="1"/>
  <c r="O475" i="1"/>
  <c r="P476" i="1"/>
  <c r="P475" i="1"/>
  <c r="Q476" i="1"/>
  <c r="Q475" i="1"/>
  <c r="R476" i="1"/>
  <c r="R475" i="1"/>
  <c r="R474" i="1"/>
  <c r="S476" i="1"/>
  <c r="S475" i="1"/>
  <c r="T476" i="1"/>
  <c r="T474" i="1" s="1"/>
  <c r="T475" i="1"/>
  <c r="U476" i="1"/>
  <c r="U475" i="1"/>
  <c r="U485" i="1" s="1"/>
  <c r="V476" i="1"/>
  <c r="V475" i="1"/>
  <c r="W476" i="1"/>
  <c r="W475" i="1"/>
  <c r="W485" i="1" s="1"/>
  <c r="X476" i="1"/>
  <c r="X475" i="1"/>
  <c r="X480" i="1" s="1"/>
  <c r="X474" i="1"/>
  <c r="Y476" i="1"/>
  <c r="AC481" i="1" s="1"/>
  <c r="Z476" i="1"/>
  <c r="AA476" i="1"/>
  <c r="AB476" i="1"/>
  <c r="AC476" i="1"/>
  <c r="AD476" i="1"/>
  <c r="AE476" i="1"/>
  <c r="AF476" i="1"/>
  <c r="AG476" i="1"/>
  <c r="AG481" i="1" s="1"/>
  <c r="AH474" i="1"/>
  <c r="AI474" i="1"/>
  <c r="AJ474" i="1"/>
  <c r="AL474" i="1"/>
  <c r="AL476" i="1" s="1"/>
  <c r="AM474" i="1"/>
  <c r="AM476" i="1" s="1"/>
  <c r="AO476" i="1"/>
  <c r="AO475" i="1"/>
  <c r="AO485" i="1" s="1"/>
  <c r="AP476" i="1"/>
  <c r="AP481" i="1" s="1"/>
  <c r="AP475" i="1"/>
  <c r="AP480" i="1" s="1"/>
  <c r="AX475" i="1"/>
  <c r="R480" i="1"/>
  <c r="T480" i="1"/>
  <c r="V480" i="1"/>
  <c r="AL480" i="1"/>
  <c r="AM480" i="1"/>
  <c r="O481" i="1"/>
  <c r="R481" i="1"/>
  <c r="X481" i="1"/>
  <c r="AD481" i="1"/>
  <c r="AE481" i="1"/>
  <c r="AF481" i="1"/>
  <c r="N485" i="1"/>
  <c r="O485" i="1"/>
  <c r="P485" i="1"/>
  <c r="R485" i="1"/>
  <c r="T485" i="1"/>
  <c r="AH485" i="1"/>
  <c r="AI485" i="1"/>
  <c r="AJ485" i="1"/>
  <c r="AK485" i="1"/>
  <c r="AL485" i="1"/>
  <c r="AM485" i="1"/>
  <c r="AP485" i="1"/>
  <c r="AX485" i="1"/>
  <c r="T492" i="1"/>
  <c r="T497" i="1" s="1"/>
  <c r="U492" i="1"/>
  <c r="U497" i="1" s="1"/>
  <c r="V492" i="1"/>
  <c r="V497" i="1" s="1"/>
  <c r="W492" i="1"/>
  <c r="X492" i="1"/>
  <c r="Y492" i="1"/>
  <c r="Z492" i="1"/>
  <c r="AA492" i="1"/>
  <c r="AB492" i="1"/>
  <c r="AC492" i="1"/>
  <c r="AC497" i="1" s="1"/>
  <c r="AD492" i="1"/>
  <c r="AD497" i="1" s="1"/>
  <c r="AE492" i="1"/>
  <c r="AF492" i="1"/>
  <c r="AG492" i="1"/>
  <c r="AO492" i="1"/>
  <c r="AU492" i="1"/>
  <c r="AU497" i="1" s="1"/>
  <c r="AV492" i="1"/>
  <c r="AV497" i="1" s="1"/>
  <c r="L496" i="1"/>
  <c r="M496" i="1"/>
  <c r="N496" i="1"/>
  <c r="O496" i="1"/>
  <c r="P496" i="1"/>
  <c r="Q496" i="1"/>
  <c r="R496" i="1"/>
  <c r="S496" i="1"/>
  <c r="T496" i="1"/>
  <c r="U496" i="1"/>
  <c r="V496" i="1"/>
  <c r="W496" i="1"/>
  <c r="X496" i="1"/>
  <c r="Y496" i="1"/>
  <c r="Z496" i="1"/>
  <c r="AA496" i="1"/>
  <c r="AB496" i="1"/>
  <c r="AC496" i="1"/>
  <c r="AD496" i="1"/>
  <c r="AE496" i="1"/>
  <c r="AF496" i="1"/>
  <c r="AG496" i="1"/>
  <c r="AP496" i="1"/>
  <c r="AQ496" i="1"/>
  <c r="AR496" i="1"/>
  <c r="AS496" i="1"/>
  <c r="AT496" i="1"/>
  <c r="AU496" i="1"/>
  <c r="AV496" i="1"/>
  <c r="L497" i="1"/>
  <c r="M497" i="1"/>
  <c r="N497" i="1"/>
  <c r="O497" i="1"/>
  <c r="P497" i="1"/>
  <c r="Q497" i="1"/>
  <c r="R497" i="1"/>
  <c r="S497" i="1"/>
  <c r="AE497" i="1"/>
  <c r="AF497" i="1"/>
  <c r="AP497" i="1"/>
  <c r="AQ497" i="1"/>
  <c r="AR497" i="1"/>
  <c r="AS497" i="1"/>
  <c r="AT497" i="1"/>
  <c r="L498" i="1"/>
  <c r="M498" i="1"/>
  <c r="N498" i="1"/>
  <c r="O498" i="1"/>
  <c r="P498" i="1"/>
  <c r="Q498" i="1"/>
  <c r="R498" i="1"/>
  <c r="S498" i="1"/>
  <c r="T498" i="1"/>
  <c r="U498" i="1"/>
  <c r="V498" i="1"/>
  <c r="W498" i="1"/>
  <c r="X498" i="1"/>
  <c r="Y498" i="1"/>
  <c r="Z498" i="1"/>
  <c r="AA498" i="1"/>
  <c r="AB498" i="1"/>
  <c r="AC498" i="1"/>
  <c r="AD498" i="1"/>
  <c r="AE498" i="1"/>
  <c r="AF498" i="1"/>
  <c r="AG498" i="1"/>
  <c r="AP498" i="1"/>
  <c r="AQ498" i="1"/>
  <c r="AR498" i="1"/>
  <c r="AS498" i="1"/>
  <c r="AT498" i="1"/>
  <c r="AU498" i="1"/>
  <c r="AV498" i="1"/>
  <c r="H501" i="1"/>
  <c r="I501" i="1"/>
  <c r="J501" i="1"/>
  <c r="K502" i="1"/>
  <c r="K501" i="1" s="1"/>
  <c r="L502" i="1"/>
  <c r="L501" i="1"/>
  <c r="M502" i="1"/>
  <c r="M507" i="1" s="1"/>
  <c r="M501" i="1"/>
  <c r="M506" i="1" s="1"/>
  <c r="N502" i="1"/>
  <c r="N501" i="1" s="1"/>
  <c r="O502" i="1"/>
  <c r="O501" i="1"/>
  <c r="O506" i="1" s="1"/>
  <c r="P502" i="1"/>
  <c r="P501" i="1" s="1"/>
  <c r="Q502" i="1"/>
  <c r="Q501" i="1"/>
  <c r="Q506" i="1" s="1"/>
  <c r="R502" i="1"/>
  <c r="R501" i="1"/>
  <c r="S502" i="1"/>
  <c r="S501" i="1" s="1"/>
  <c r="T502" i="1"/>
  <c r="T501" i="1"/>
  <c r="U502" i="1"/>
  <c r="Y507" i="1" s="1"/>
  <c r="V502" i="1"/>
  <c r="W502" i="1"/>
  <c r="W501" i="1" s="1"/>
  <c r="W506" i="1" s="1"/>
  <c r="X502" i="1"/>
  <c r="X501" i="1" s="1"/>
  <c r="Y502" i="1"/>
  <c r="Y501" i="1"/>
  <c r="Z502" i="1"/>
  <c r="Z501" i="1"/>
  <c r="AA502" i="1"/>
  <c r="AA514" i="1" s="1"/>
  <c r="AA521" i="1" s="1"/>
  <c r="AB502" i="1"/>
  <c r="AF507" i="1" s="1"/>
  <c r="AB501" i="1"/>
  <c r="AF506" i="1" s="1"/>
  <c r="AC502" i="1"/>
  <c r="AC507" i="1" s="1"/>
  <c r="AD502" i="1"/>
  <c r="AD501" i="1"/>
  <c r="AE502" i="1"/>
  <c r="AE501" i="1"/>
  <c r="AF502" i="1"/>
  <c r="AF501" i="1" s="1"/>
  <c r="AG502" i="1"/>
  <c r="AG501" i="1"/>
  <c r="AO502" i="1"/>
  <c r="AO501" i="1"/>
  <c r="AO526" i="1" s="1"/>
  <c r="AP502" i="1"/>
  <c r="AP501" i="1" s="1"/>
  <c r="AP526" i="1" s="1"/>
  <c r="AQ502" i="1"/>
  <c r="AQ514" i="1" s="1"/>
  <c r="AQ528" i="1" s="1"/>
  <c r="AQ501" i="1"/>
  <c r="AR502" i="1"/>
  <c r="AR514" i="1" s="1"/>
  <c r="AR501" i="1"/>
  <c r="AR525" i="1" s="1"/>
  <c r="AS502" i="1"/>
  <c r="AS501" i="1" s="1"/>
  <c r="AT502" i="1"/>
  <c r="AT501" i="1"/>
  <c r="AU502" i="1"/>
  <c r="AU501" i="1" s="1"/>
  <c r="AU506" i="1" s="1"/>
  <c r="AV502" i="1"/>
  <c r="AV501" i="1"/>
  <c r="AV506" i="1" s="1"/>
  <c r="H503" i="1"/>
  <c r="I503" i="1"/>
  <c r="J503" i="1"/>
  <c r="K503" i="1"/>
  <c r="L503" i="1"/>
  <c r="L508" i="1" s="1"/>
  <c r="M503" i="1"/>
  <c r="M508" i="1" s="1"/>
  <c r="N503" i="1"/>
  <c r="O503" i="1"/>
  <c r="O508" i="1" s="1"/>
  <c r="P503" i="1"/>
  <c r="Q503" i="1"/>
  <c r="R503" i="1"/>
  <c r="S503" i="1"/>
  <c r="T503" i="1"/>
  <c r="U503" i="1"/>
  <c r="V503" i="1"/>
  <c r="W503" i="1"/>
  <c r="AA508" i="1" s="1"/>
  <c r="X503" i="1"/>
  <c r="Y503" i="1"/>
  <c r="Z503" i="1"/>
  <c r="Z508" i="1" s="1"/>
  <c r="AA503" i="1"/>
  <c r="AB503" i="1"/>
  <c r="AB508" i="1" s="1"/>
  <c r="AC503" i="1"/>
  <c r="AC508" i="1" s="1"/>
  <c r="AD503" i="1"/>
  <c r="AE503" i="1"/>
  <c r="AE508" i="1" s="1"/>
  <c r="AF503" i="1"/>
  <c r="AG503" i="1"/>
  <c r="AG529" i="1" s="1"/>
  <c r="AO503" i="1"/>
  <c r="AP503" i="1"/>
  <c r="AQ503" i="1"/>
  <c r="AR503" i="1"/>
  <c r="AR508" i="1" s="1"/>
  <c r="AS503" i="1"/>
  <c r="AT503" i="1"/>
  <c r="AU503" i="1"/>
  <c r="AV503" i="1"/>
  <c r="L506" i="1"/>
  <c r="S506" i="1"/>
  <c r="T506" i="1"/>
  <c r="L507" i="1"/>
  <c r="S507" i="1"/>
  <c r="X507" i="1"/>
  <c r="AQ507" i="1"/>
  <c r="AU507" i="1"/>
  <c r="AV507" i="1"/>
  <c r="V508" i="1"/>
  <c r="X508" i="1"/>
  <c r="Y508" i="1"/>
  <c r="AS508" i="1"/>
  <c r="AU508" i="1"/>
  <c r="AV508" i="1"/>
  <c r="K511" i="1"/>
  <c r="L511" i="1"/>
  <c r="M511" i="1"/>
  <c r="M518" i="1" s="1"/>
  <c r="N511" i="1"/>
  <c r="O511" i="1"/>
  <c r="P511" i="1"/>
  <c r="P518" i="1" s="1"/>
  <c r="Q511" i="1"/>
  <c r="Q518" i="1" s="1"/>
  <c r="R511" i="1"/>
  <c r="S511" i="1"/>
  <c r="T511" i="1"/>
  <c r="T525" i="1" s="1"/>
  <c r="U511" i="1"/>
  <c r="V511" i="1"/>
  <c r="W511" i="1"/>
  <c r="X511" i="1"/>
  <c r="Y511" i="1"/>
  <c r="Y525" i="1" s="1"/>
  <c r="Z511" i="1"/>
  <c r="AA511" i="1"/>
  <c r="AB511" i="1"/>
  <c r="AC511" i="1"/>
  <c r="AD511" i="1"/>
  <c r="AE511" i="1"/>
  <c r="AE525" i="1" s="1"/>
  <c r="AF511" i="1"/>
  <c r="AF518" i="1" s="1"/>
  <c r="AG511" i="1"/>
  <c r="AO511" i="1"/>
  <c r="AO525" i="1" s="1"/>
  <c r="AP511" i="1"/>
  <c r="AP525" i="1" s="1"/>
  <c r="AQ511" i="1"/>
  <c r="AR511" i="1"/>
  <c r="AS511" i="1"/>
  <c r="AT511" i="1"/>
  <c r="AT525" i="1" s="1"/>
  <c r="AU511" i="1"/>
  <c r="AV511" i="1"/>
  <c r="AV525" i="1" s="1"/>
  <c r="H514" i="1"/>
  <c r="H513" i="1" s="1"/>
  <c r="I514" i="1"/>
  <c r="I513" i="1" s="1"/>
  <c r="I512" i="1" s="1"/>
  <c r="I526" i="1" s="1"/>
  <c r="J514" i="1"/>
  <c r="K515" i="1"/>
  <c r="K514" i="1"/>
  <c r="L515" i="1"/>
  <c r="L514" i="1"/>
  <c r="L528" i="1" s="1"/>
  <c r="M515" i="1"/>
  <c r="M513" i="1" s="1"/>
  <c r="M512" i="1" s="1"/>
  <c r="M514" i="1"/>
  <c r="M521" i="1" s="1"/>
  <c r="N515" i="1"/>
  <c r="O515" i="1"/>
  <c r="P515" i="1"/>
  <c r="P514" i="1"/>
  <c r="Q515" i="1"/>
  <c r="R515" i="1"/>
  <c r="R529" i="1" s="1"/>
  <c r="R514" i="1"/>
  <c r="R513" i="1"/>
  <c r="S515" i="1"/>
  <c r="S514" i="1"/>
  <c r="T515" i="1"/>
  <c r="T514" i="1"/>
  <c r="U515" i="1"/>
  <c r="U514" i="1"/>
  <c r="U513" i="1"/>
  <c r="U512" i="1" s="1"/>
  <c r="V515" i="1"/>
  <c r="W515" i="1"/>
  <c r="W529" i="1" s="1"/>
  <c r="W514" i="1"/>
  <c r="X515" i="1"/>
  <c r="Y515" i="1"/>
  <c r="Y522" i="1" s="1"/>
  <c r="Y514" i="1"/>
  <c r="Y521" i="1" s="1"/>
  <c r="Y513" i="1"/>
  <c r="Z515" i="1"/>
  <c r="Z514" i="1"/>
  <c r="Z513" i="1"/>
  <c r="AA515" i="1"/>
  <c r="AB515" i="1"/>
  <c r="AB514" i="1"/>
  <c r="AB513" i="1" s="1"/>
  <c r="AB512" i="1"/>
  <c r="AB526" i="1" s="1"/>
  <c r="AC515" i="1"/>
  <c r="AC514" i="1"/>
  <c r="AC513" i="1"/>
  <c r="AC512" i="1" s="1"/>
  <c r="AD515" i="1"/>
  <c r="AE515" i="1"/>
  <c r="AE514" i="1"/>
  <c r="AE528" i="1" s="1"/>
  <c r="AF515" i="1"/>
  <c r="AF529" i="1" s="1"/>
  <c r="AF514" i="1"/>
  <c r="AF528" i="1" s="1"/>
  <c r="AG515" i="1"/>
  <c r="AG514" i="1"/>
  <c r="AO512" i="1"/>
  <c r="AP512" i="1"/>
  <c r="AQ512" i="1"/>
  <c r="AR512" i="1"/>
  <c r="AS512" i="1"/>
  <c r="AT512" i="1"/>
  <c r="AT526" i="1" s="1"/>
  <c r="AU512" i="1"/>
  <c r="AV512" i="1"/>
  <c r="AV526" i="1" s="1"/>
  <c r="AO515" i="1"/>
  <c r="AO529" i="1" s="1"/>
  <c r="AO514" i="1"/>
  <c r="AO528" i="1" s="1"/>
  <c r="AO513" i="1"/>
  <c r="AO527" i="1" s="1"/>
  <c r="AP515" i="1"/>
  <c r="AP529" i="1" s="1"/>
  <c r="AP514" i="1"/>
  <c r="AP521" i="1" s="1"/>
  <c r="AQ515" i="1"/>
  <c r="AQ522" i="1" s="1"/>
  <c r="AR515" i="1"/>
  <c r="AR529" i="1" s="1"/>
  <c r="AS515" i="1"/>
  <c r="AT515" i="1"/>
  <c r="AT514" i="1"/>
  <c r="AT513" i="1" s="1"/>
  <c r="AU515" i="1"/>
  <c r="AU522" i="1" s="1"/>
  <c r="AU514" i="1"/>
  <c r="AU528" i="1" s="1"/>
  <c r="AU513" i="1"/>
  <c r="AV515" i="1"/>
  <c r="AV514" i="1"/>
  <c r="AV528" i="1" s="1"/>
  <c r="N518" i="1"/>
  <c r="T518" i="1"/>
  <c r="V518" i="1"/>
  <c r="AC521" i="1"/>
  <c r="AV521" i="1"/>
  <c r="N522" i="1"/>
  <c r="R522" i="1"/>
  <c r="V522" i="1"/>
  <c r="AR522" i="1"/>
  <c r="H525" i="1"/>
  <c r="I525" i="1"/>
  <c r="J525" i="1"/>
  <c r="M525" i="1"/>
  <c r="O525" i="1"/>
  <c r="R525" i="1"/>
  <c r="AD525" i="1"/>
  <c r="AR526" i="1"/>
  <c r="AU526" i="1"/>
  <c r="I527" i="1"/>
  <c r="I528" i="1"/>
  <c r="K528" i="1"/>
  <c r="M528" i="1"/>
  <c r="R528" i="1"/>
  <c r="W528" i="1"/>
  <c r="Z528" i="1"/>
  <c r="AB528" i="1"/>
  <c r="AC528" i="1"/>
  <c r="AT528" i="1"/>
  <c r="H529" i="1"/>
  <c r="I529" i="1"/>
  <c r="J529" i="1"/>
  <c r="U529" i="1"/>
  <c r="V529" i="1"/>
  <c r="X529" i="1"/>
  <c r="Y529" i="1"/>
  <c r="Z529" i="1"/>
  <c r="AQ529" i="1"/>
  <c r="AS529" i="1"/>
  <c r="AQ533" i="1"/>
  <c r="AR533" i="1"/>
  <c r="AS533" i="1"/>
  <c r="AT533" i="1"/>
  <c r="AW419" i="1" l="1"/>
  <c r="AG392" i="1"/>
  <c r="AS385" i="1"/>
  <c r="I336" i="1"/>
  <c r="AV279" i="1"/>
  <c r="AT276" i="1"/>
  <c r="AW275" i="1"/>
  <c r="AB446" i="1"/>
  <c r="O392" i="1"/>
  <c r="AF392" i="1"/>
  <c r="AX364" i="1"/>
  <c r="AC337" i="1"/>
  <c r="M330" i="1"/>
  <c r="AM329" i="1"/>
  <c r="W329" i="1"/>
  <c r="AX328" i="1"/>
  <c r="AT279" i="1"/>
  <c r="AX277" i="1"/>
  <c r="AR276" i="1"/>
  <c r="AU275" i="1"/>
  <c r="W282" i="1"/>
  <c r="AV364" i="1"/>
  <c r="R364" i="1"/>
  <c r="AM363" i="1"/>
  <c r="W368" i="1"/>
  <c r="AX362" i="1"/>
  <c r="AF362" i="1"/>
  <c r="P362" i="1"/>
  <c r="N337" i="1"/>
  <c r="AF328" i="1"/>
  <c r="AA311" i="1"/>
  <c r="X311" i="1"/>
  <c r="AU310" i="1"/>
  <c r="AI277" i="1"/>
  <c r="AL368" i="1"/>
  <c r="V368" i="1"/>
  <c r="AW362" i="1"/>
  <c r="AL339" i="1"/>
  <c r="V339" i="1"/>
  <c r="AQ330" i="1"/>
  <c r="AU328" i="1"/>
  <c r="N284" i="1"/>
  <c r="AS408" i="1"/>
  <c r="AD409" i="1"/>
  <c r="AE392" i="1"/>
  <c r="AG284" i="1"/>
  <c r="N277" i="1"/>
  <c r="M392" i="1"/>
  <c r="AA367" i="1"/>
  <c r="T339" i="1"/>
  <c r="AF284" i="1"/>
  <c r="AR248" i="1"/>
  <c r="AG431" i="1"/>
  <c r="X392" i="1"/>
  <c r="Q363" i="1"/>
  <c r="AE284" i="1"/>
  <c r="Q425" i="1"/>
  <c r="Q414" i="1"/>
  <c r="W336" i="1"/>
  <c r="AD284" i="1"/>
  <c r="AI387" i="1"/>
  <c r="S387" i="1"/>
  <c r="AW376" i="1"/>
  <c r="AW378" i="1" s="1"/>
  <c r="O369" i="1"/>
  <c r="AJ364" i="1"/>
  <c r="AE363" i="1"/>
  <c r="O363" i="1"/>
  <c r="AV385" i="1"/>
  <c r="AI364" i="1"/>
  <c r="AK369" i="1"/>
  <c r="AV363" i="1"/>
  <c r="N368" i="1"/>
  <c r="AF316" i="1"/>
  <c r="AT309" i="1"/>
  <c r="AL279" i="1"/>
  <c r="AW381" i="1"/>
  <c r="AW392" i="1" s="1"/>
  <c r="AK363" i="1"/>
  <c r="Q330" i="1"/>
  <c r="AG279" i="1"/>
  <c r="Q279" i="1"/>
  <c r="AK277" i="1"/>
  <c r="U277" i="1"/>
  <c r="L276" i="1"/>
  <c r="AE275" i="1"/>
  <c r="O275" i="1"/>
  <c r="AB420" i="1"/>
  <c r="AT385" i="1"/>
  <c r="AB332" i="1"/>
  <c r="L332" i="1"/>
  <c r="P330" i="1"/>
  <c r="Z329" i="1"/>
  <c r="AJ276" i="1"/>
  <c r="AF279" i="1"/>
  <c r="P279" i="1"/>
  <c r="AX262" i="1"/>
  <c r="AP470" i="1"/>
  <c r="AP467" i="1"/>
  <c r="AG497" i="1"/>
  <c r="S518" i="1"/>
  <c r="W518" i="1"/>
  <c r="M519" i="1"/>
  <c r="M526" i="1"/>
  <c r="AG518" i="1"/>
  <c r="AG525" i="1"/>
  <c r="U507" i="1"/>
  <c r="Q514" i="1"/>
  <c r="Q528" i="1" s="1"/>
  <c r="U470" i="1"/>
  <c r="U467" i="1"/>
  <c r="AT467" i="1" s="1"/>
  <c r="L513" i="1"/>
  <c r="L527" i="1" s="1"/>
  <c r="Z506" i="1"/>
  <c r="S485" i="1"/>
  <c r="S480" i="1"/>
  <c r="T529" i="1"/>
  <c r="T522" i="1"/>
  <c r="S481" i="1"/>
  <c r="S474" i="1"/>
  <c r="S479" i="1" s="1"/>
  <c r="AH470" i="1"/>
  <c r="AD467" i="1"/>
  <c r="AD470" i="1"/>
  <c r="AV469" i="1"/>
  <c r="L463" i="1"/>
  <c r="H460" i="1"/>
  <c r="AD447" i="1"/>
  <c r="Z452" i="1"/>
  <c r="AU442" i="1"/>
  <c r="Z447" i="1"/>
  <c r="AR419" i="1"/>
  <c r="AR408" i="1"/>
  <c r="AO474" i="1"/>
  <c r="Z512" i="1"/>
  <c r="Z527" i="1"/>
  <c r="R512" i="1"/>
  <c r="R526" i="1" s="1"/>
  <c r="R527" i="1"/>
  <c r="V514" i="1"/>
  <c r="V528" i="1" s="1"/>
  <c r="V507" i="1"/>
  <c r="V501" i="1"/>
  <c r="V506" i="1" s="1"/>
  <c r="X479" i="1"/>
  <c r="M480" i="1"/>
  <c r="I485" i="1"/>
  <c r="R463" i="1"/>
  <c r="I440" i="1"/>
  <c r="M445" i="1" s="1"/>
  <c r="J452" i="1"/>
  <c r="J528" i="1"/>
  <c r="J513" i="1"/>
  <c r="AG528" i="1"/>
  <c r="AG521" i="1"/>
  <c r="I474" i="1"/>
  <c r="AH463" i="1"/>
  <c r="AD460" i="1"/>
  <c r="Q513" i="1"/>
  <c r="AT529" i="1"/>
  <c r="AT508" i="1"/>
  <c r="Y470" i="1"/>
  <c r="U452" i="1"/>
  <c r="U440" i="1"/>
  <c r="AQ402" i="1"/>
  <c r="H400" i="1"/>
  <c r="AA528" i="1"/>
  <c r="Y518" i="1"/>
  <c r="X514" i="1"/>
  <c r="P528" i="1"/>
  <c r="P521" i="1"/>
  <c r="P513" i="1"/>
  <c r="P512" i="1" s="1"/>
  <c r="P526" i="1" s="1"/>
  <c r="T481" i="1"/>
  <c r="AS476" i="1"/>
  <c r="M481" i="1"/>
  <c r="M474" i="1"/>
  <c r="AB527" i="1"/>
  <c r="AA522" i="1"/>
  <c r="P522" i="1"/>
  <c r="Z522" i="1"/>
  <c r="AD522" i="1"/>
  <c r="Q525" i="1"/>
  <c r="W508" i="1"/>
  <c r="AG513" i="1"/>
  <c r="Y527" i="1"/>
  <c r="Y520" i="1"/>
  <c r="P525" i="1"/>
  <c r="U518" i="1"/>
  <c r="V474" i="1"/>
  <c r="V479" i="1" s="1"/>
  <c r="V485" i="1"/>
  <c r="P434" i="1"/>
  <c r="V425" i="1"/>
  <c r="AW421" i="1"/>
  <c r="AF420" i="1"/>
  <c r="P378" i="1"/>
  <c r="P433" i="1" s="1"/>
  <c r="Q378" i="1"/>
  <c r="Q433" i="1" s="1"/>
  <c r="Z336" i="1"/>
  <c r="AG285" i="1"/>
  <c r="J285" i="1"/>
  <c r="Y278" i="1"/>
  <c r="AS246" i="1"/>
  <c r="R518" i="1"/>
  <c r="AF508" i="1"/>
  <c r="W480" i="1"/>
  <c r="U431" i="1"/>
  <c r="AR421" i="1"/>
  <c r="AE420" i="1"/>
  <c r="J402" i="1"/>
  <c r="J400" i="1" s="1"/>
  <c r="J398" i="1" s="1"/>
  <c r="P392" i="1"/>
  <c r="O378" i="1"/>
  <c r="O411" i="1" s="1"/>
  <c r="P369" i="1"/>
  <c r="AF369" i="1"/>
  <c r="AV349" i="1"/>
  <c r="AP348" i="1"/>
  <c r="I353" i="1"/>
  <c r="AI352" i="1"/>
  <c r="Z339" i="1"/>
  <c r="Y336" i="1"/>
  <c r="AM330" i="1"/>
  <c r="Q329" i="1"/>
  <c r="AS332" i="1"/>
  <c r="AL338" i="1"/>
  <c r="V338" i="1"/>
  <c r="AF337" i="1"/>
  <c r="AQ329" i="1"/>
  <c r="J336" i="1"/>
  <c r="AJ335" i="1"/>
  <c r="Q301" i="1"/>
  <c r="Q296" i="1"/>
  <c r="AD283" i="1"/>
  <c r="AR246" i="1"/>
  <c r="AW242" i="1"/>
  <c r="AV460" i="1"/>
  <c r="AP421" i="1"/>
  <c r="U420" i="1"/>
  <c r="P412" i="1"/>
  <c r="AF378" i="1"/>
  <c r="AF380" i="1" s="1"/>
  <c r="AF455" i="1" s="1"/>
  <c r="S339" i="1"/>
  <c r="AV330" i="1"/>
  <c r="AD316" i="1"/>
  <c r="AW309" i="1"/>
  <c r="Q282" i="1"/>
  <c r="Q278" i="1"/>
  <c r="AS259" i="1"/>
  <c r="Z507" i="1"/>
  <c r="AW469" i="1"/>
  <c r="AW470" i="1" s="1"/>
  <c r="T420" i="1"/>
  <c r="AS398" i="1"/>
  <c r="AX390" i="1"/>
  <c r="AE378" i="1"/>
  <c r="AE380" i="1" s="1"/>
  <c r="AE455" i="1" s="1"/>
  <c r="AD369" i="1"/>
  <c r="AW347" i="1"/>
  <c r="W330" i="1"/>
  <c r="AC316" i="1"/>
  <c r="AM311" i="1"/>
  <c r="W311" i="1"/>
  <c r="AG301" i="1"/>
  <c r="AS296" i="1"/>
  <c r="N296" i="1"/>
  <c r="AM286" i="1"/>
  <c r="AS278" i="1"/>
  <c r="AT245" i="1"/>
  <c r="R456" i="1"/>
  <c r="AA446" i="1"/>
  <c r="R414" i="1"/>
  <c r="U400" i="1"/>
  <c r="AI368" i="1"/>
  <c r="AU364" i="1"/>
  <c r="AE367" i="1"/>
  <c r="AK331" i="1"/>
  <c r="AL311" i="1"/>
  <c r="V311" i="1"/>
  <c r="M296" i="1"/>
  <c r="AB285" i="1"/>
  <c r="O278" i="1"/>
  <c r="N276" i="1"/>
  <c r="K513" i="1"/>
  <c r="K512" i="1" s="1"/>
  <c r="K526" i="1" s="1"/>
  <c r="AR507" i="1"/>
  <c r="P506" i="1"/>
  <c r="X485" i="1"/>
  <c r="P480" i="1"/>
  <c r="AU476" i="1"/>
  <c r="AF470" i="1"/>
  <c r="AU469" i="1"/>
  <c r="AF467" i="1"/>
  <c r="AW467" i="1" s="1"/>
  <c r="AG463" i="1"/>
  <c r="Z460" i="1"/>
  <c r="T463" i="1"/>
  <c r="V447" i="1"/>
  <c r="R445" i="1"/>
  <c r="L425" i="1"/>
  <c r="O421" i="1"/>
  <c r="AX419" i="1"/>
  <c r="M412" i="1"/>
  <c r="AI409" i="1"/>
  <c r="AF409" i="1"/>
  <c r="AV408" i="1"/>
  <c r="AJ387" i="1"/>
  <c r="Y367" i="1"/>
  <c r="AA369" i="1"/>
  <c r="O364" i="1"/>
  <c r="AJ368" i="1"/>
  <c r="T368" i="1"/>
  <c r="AU362" i="1"/>
  <c r="AC367" i="1"/>
  <c r="M362" i="1"/>
  <c r="AK352" i="1"/>
  <c r="AQ349" i="1"/>
  <c r="Z349" i="1"/>
  <c r="AJ348" i="1"/>
  <c r="T353" i="1"/>
  <c r="AU347" i="1"/>
  <c r="AD352" i="1"/>
  <c r="P338" i="1"/>
  <c r="P337" i="1"/>
  <c r="AX331" i="1"/>
  <c r="AG331" i="1"/>
  <c r="Q331" i="1"/>
  <c r="AA330" i="1"/>
  <c r="U329" i="1"/>
  <c r="AE328" i="1"/>
  <c r="O328" i="1"/>
  <c r="AX311" i="1"/>
  <c r="K301" i="1"/>
  <c r="AL301" i="1"/>
  <c r="V301" i="1"/>
  <c r="AV295" i="1"/>
  <c r="Z285" i="1"/>
  <c r="AB284" i="1"/>
  <c r="AR279" i="1"/>
  <c r="AA286" i="1"/>
  <c r="K286" i="1"/>
  <c r="AK278" i="1"/>
  <c r="U278" i="1"/>
  <c r="AV277" i="1"/>
  <c r="O277" i="1"/>
  <c r="AO456" i="1"/>
  <c r="Q445" i="1"/>
  <c r="I434" i="1"/>
  <c r="AJ421" i="1"/>
  <c r="AF410" i="1"/>
  <c r="N364" i="1"/>
  <c r="X296" i="1"/>
  <c r="AK279" i="1"/>
  <c r="M278" i="1"/>
  <c r="AP507" i="1"/>
  <c r="AL479" i="1"/>
  <c r="AI421" i="1"/>
  <c r="AE410" i="1"/>
  <c r="AG409" i="1"/>
  <c r="AJ388" i="1"/>
  <c r="AU376" i="1"/>
  <c r="AP385" i="1"/>
  <c r="AA368" i="1"/>
  <c r="J354" i="1"/>
  <c r="L349" i="1"/>
  <c r="AI338" i="1"/>
  <c r="N338" i="1"/>
  <c r="X316" i="1"/>
  <c r="AG296" i="1"/>
  <c r="AU294" i="1"/>
  <c r="AM296" i="1"/>
  <c r="W296" i="1"/>
  <c r="AJ279" i="1"/>
  <c r="AG278" i="1"/>
  <c r="K529" i="1"/>
  <c r="W521" i="1"/>
  <c r="AD518" i="1"/>
  <c r="AB507" i="1"/>
  <c r="AF525" i="1"/>
  <c r="AC470" i="1"/>
  <c r="R450" i="1"/>
  <c r="V436" i="1"/>
  <c r="AH431" i="1"/>
  <c r="AH421" i="1"/>
  <c r="AX418" i="1"/>
  <c r="AD410" i="1"/>
  <c r="AE409" i="1"/>
  <c r="Y402" i="1"/>
  <c r="Y387" i="1"/>
  <c r="AX385" i="1"/>
  <c r="AP388" i="1"/>
  <c r="AD387" i="1"/>
  <c r="AT376" i="1"/>
  <c r="AT387" i="1" s="1"/>
  <c r="X369" i="1"/>
  <c r="AQ362" i="1"/>
  <c r="K367" i="1"/>
  <c r="AI353" i="1"/>
  <c r="AX348" i="1"/>
  <c r="AH338" i="1"/>
  <c r="M338" i="1"/>
  <c r="AK332" i="1"/>
  <c r="V328" i="1"/>
  <c r="AJ339" i="1"/>
  <c r="AU331" i="1"/>
  <c r="AH329" i="1"/>
  <c r="L335" i="1"/>
  <c r="AU311" i="1"/>
  <c r="AA301" i="1"/>
  <c r="AL296" i="1"/>
  <c r="V296" i="1"/>
  <c r="AS295" i="1"/>
  <c r="X286" i="1"/>
  <c r="AH278" i="1"/>
  <c r="R278" i="1"/>
  <c r="R275" i="1"/>
  <c r="AS263" i="1"/>
  <c r="AT260" i="1"/>
  <c r="AQ248" i="1"/>
  <c r="AU525" i="1"/>
  <c r="X525" i="1"/>
  <c r="AE507" i="1"/>
  <c r="U501" i="1"/>
  <c r="P507" i="1"/>
  <c r="V481" i="1"/>
  <c r="AA470" i="1"/>
  <c r="V463" i="1"/>
  <c r="N447" i="1"/>
  <c r="R432" i="1"/>
  <c r="AF431" i="1"/>
  <c r="Q423" i="1"/>
  <c r="AK420" i="1"/>
  <c r="AO414" i="1"/>
  <c r="Q410" i="1"/>
  <c r="AQ410" i="1"/>
  <c r="AS376" i="1"/>
  <c r="AB387" i="1"/>
  <c r="U368" i="1"/>
  <c r="AL369" i="1"/>
  <c r="AW363" i="1"/>
  <c r="AE353" i="1"/>
  <c r="S352" i="1"/>
  <c r="AF338" i="1"/>
  <c r="AD335" i="1"/>
  <c r="AI332" i="1"/>
  <c r="Y331" i="1"/>
  <c r="AS311" i="1"/>
  <c r="Y301" i="1"/>
  <c r="AD296" i="1"/>
  <c r="Q286" i="1"/>
  <c r="Z279" i="1"/>
  <c r="AD278" i="1"/>
  <c r="AH277" i="1"/>
  <c r="AQ526" i="1"/>
  <c r="AD506" i="1"/>
  <c r="N481" i="1"/>
  <c r="O480" i="1"/>
  <c r="R436" i="1"/>
  <c r="AB434" i="1"/>
  <c r="Q432" i="1"/>
  <c r="AE431" i="1"/>
  <c r="AJ420" i="1"/>
  <c r="P410" i="1"/>
  <c r="R409" i="1"/>
  <c r="Z399" i="1"/>
  <c r="S368" i="1"/>
  <c r="U364" i="1"/>
  <c r="AL354" i="1"/>
  <c r="R352" i="1"/>
  <c r="X331" i="1"/>
  <c r="X301" i="1"/>
  <c r="AI296" i="1"/>
  <c r="S296" i="1"/>
  <c r="P286" i="1"/>
  <c r="L284" i="1"/>
  <c r="AC278" i="1"/>
  <c r="AH276" i="1"/>
  <c r="AS261" i="1"/>
  <c r="AS225" i="1"/>
  <c r="AG522" i="1"/>
  <c r="AU529" i="1"/>
  <c r="V525" i="1"/>
  <c r="T507" i="1"/>
  <c r="AJ476" i="1"/>
  <c r="AJ481" i="1" s="1"/>
  <c r="AQ475" i="1"/>
  <c r="P463" i="1"/>
  <c r="AF460" i="1"/>
  <c r="AA456" i="1"/>
  <c r="I456" i="1"/>
  <c r="N423" i="1"/>
  <c r="AI420" i="1"/>
  <c r="O410" i="1"/>
  <c r="X399" i="1"/>
  <c r="X378" i="1"/>
  <c r="X380" i="1" s="1"/>
  <c r="X484" i="1" s="1"/>
  <c r="AL378" i="1"/>
  <c r="AL380" i="1" s="1"/>
  <c r="AL484" i="1" s="1"/>
  <c r="AB362" i="1"/>
  <c r="V362" i="1"/>
  <c r="AK354" i="1"/>
  <c r="Q352" i="1"/>
  <c r="AD338" i="1"/>
  <c r="AB335" i="1"/>
  <c r="AH296" i="1"/>
  <c r="R296" i="1"/>
  <c r="AJ285" i="1"/>
  <c r="AB278" i="1"/>
  <c r="AA275" i="1"/>
  <c r="AT522" i="1"/>
  <c r="AC501" i="1"/>
  <c r="W470" i="1"/>
  <c r="R452" i="1"/>
  <c r="W452" i="1"/>
  <c r="AC431" i="1"/>
  <c r="AH420" i="1"/>
  <c r="N410" i="1"/>
  <c r="V378" i="1"/>
  <c r="AK378" i="1"/>
  <c r="AK380" i="1" s="1"/>
  <c r="U378" i="1"/>
  <c r="U380" i="1" s="1"/>
  <c r="U382" i="1" s="1"/>
  <c r="O368" i="1"/>
  <c r="AA362" i="1"/>
  <c r="AB363" i="1"/>
  <c r="L363" i="1"/>
  <c r="P352" i="1"/>
  <c r="AK348" i="1"/>
  <c r="U347" i="1"/>
  <c r="AC338" i="1"/>
  <c r="AA335" i="1"/>
  <c r="AB329" i="1"/>
  <c r="U301" i="1"/>
  <c r="AA296" i="1"/>
  <c r="AI285" i="1"/>
  <c r="W279" i="1"/>
  <c r="AA278" i="1"/>
  <c r="V276" i="1"/>
  <c r="Y275" i="1"/>
  <c r="AA513" i="1"/>
  <c r="AA512" i="1" s="1"/>
  <c r="T521" i="1"/>
  <c r="AQ525" i="1"/>
  <c r="AS506" i="1"/>
  <c r="S525" i="1"/>
  <c r="L485" i="1"/>
  <c r="AV476" i="1"/>
  <c r="AT475" i="1"/>
  <c r="N474" i="1"/>
  <c r="S470" i="1"/>
  <c r="R470" i="1"/>
  <c r="AE460" i="1"/>
  <c r="Q452" i="1"/>
  <c r="X425" i="1"/>
  <c r="L423" i="1"/>
  <c r="AG420" i="1"/>
  <c r="AS404" i="1"/>
  <c r="AA420" i="1"/>
  <c r="AV418" i="1"/>
  <c r="S390" i="1"/>
  <c r="AT364" i="1"/>
  <c r="AH369" i="1"/>
  <c r="R369" i="1"/>
  <c r="AB336" i="1"/>
  <c r="AI316" i="1"/>
  <c r="T301" i="1"/>
  <c r="L285" i="1"/>
  <c r="U276" i="1"/>
  <c r="R279" i="1"/>
  <c r="AL277" i="1"/>
  <c r="V277" i="1"/>
  <c r="Y276" i="1"/>
  <c r="M276" i="1"/>
  <c r="AF275" i="1"/>
  <c r="P275" i="1"/>
  <c r="AS227" i="1"/>
  <c r="I378" i="1"/>
  <c r="I409" i="1"/>
  <c r="J431" i="1"/>
  <c r="AU407" i="1"/>
  <c r="Z378" i="1"/>
  <c r="AD339" i="1"/>
  <c r="R337" i="1"/>
  <c r="AA336" i="1"/>
  <c r="AX330" i="1"/>
  <c r="AK316" i="1"/>
  <c r="T431" i="1"/>
  <c r="Y425" i="1"/>
  <c r="Y409" i="1"/>
  <c r="N385" i="1"/>
  <c r="AQ381" i="1"/>
  <c r="AP376" i="1"/>
  <c r="AP378" i="1" s="1"/>
  <c r="AP411" i="1" s="1"/>
  <c r="N369" i="1"/>
  <c r="AR359" i="1"/>
  <c r="AR364" i="1" s="1"/>
  <c r="Q337" i="1"/>
  <c r="AR332" i="1"/>
  <c r="K339" i="1"/>
  <c r="AI335" i="1"/>
  <c r="S335" i="1"/>
  <c r="AT310" i="1"/>
  <c r="S286" i="1"/>
  <c r="AH279" i="1"/>
  <c r="AW279" i="1"/>
  <c r="AJ284" i="1"/>
  <c r="T284" i="1"/>
  <c r="AU276" i="1"/>
  <c r="AX275" i="1"/>
  <c r="Q332" i="1"/>
  <c r="U330" i="1"/>
  <c r="R286" i="1"/>
  <c r="AW276" i="1"/>
  <c r="W425" i="1"/>
  <c r="W409" i="1"/>
  <c r="V400" i="1"/>
  <c r="W420" i="1"/>
  <c r="AD392" i="1"/>
  <c r="AT381" i="1"/>
  <c r="AQ386" i="1"/>
  <c r="J369" i="1"/>
  <c r="AA363" i="1"/>
  <c r="AP364" i="1"/>
  <c r="O337" i="1"/>
  <c r="O332" i="1"/>
  <c r="N330" i="1"/>
  <c r="AU330" i="1"/>
  <c r="AG335" i="1"/>
  <c r="Q335" i="1"/>
  <c r="AH316" i="1"/>
  <c r="R316" i="1"/>
  <c r="AR310" i="1"/>
  <c r="AB275" i="1"/>
  <c r="AS276" i="1"/>
  <c r="AV275" i="1"/>
  <c r="X282" i="1"/>
  <c r="AQ245" i="1"/>
  <c r="L275" i="1"/>
  <c r="T409" i="1"/>
  <c r="AV386" i="1"/>
  <c r="AG364" i="1"/>
  <c r="AH337" i="1"/>
  <c r="Z456" i="1"/>
  <c r="J456" i="1"/>
  <c r="U425" i="1"/>
  <c r="AQ419" i="1"/>
  <c r="S409" i="1"/>
  <c r="T400" i="1"/>
  <c r="AG411" i="1"/>
  <c r="AA392" i="1"/>
  <c r="AU386" i="1"/>
  <c r="O367" i="1"/>
  <c r="AD364" i="1"/>
  <c r="X363" i="1"/>
  <c r="AA364" i="1"/>
  <c r="AR357" i="1"/>
  <c r="AR362" i="1" s="1"/>
  <c r="AE337" i="1"/>
  <c r="M337" i="1"/>
  <c r="AL332" i="1"/>
  <c r="AT330" i="1"/>
  <c r="O329" i="1"/>
  <c r="S328" i="1"/>
  <c r="O330" i="1"/>
  <c r="AV328" i="1"/>
  <c r="AV311" i="1"/>
  <c r="AI311" i="1"/>
  <c r="S311" i="1"/>
  <c r="AX309" i="1"/>
  <c r="AI286" i="1"/>
  <c r="O286" i="1"/>
  <c r="Z275" i="1"/>
  <c r="AB286" i="1"/>
  <c r="L286" i="1"/>
  <c r="V282" i="1"/>
  <c r="J414" i="1"/>
  <c r="AK387" i="1"/>
  <c r="N367" i="1"/>
  <c r="AC364" i="1"/>
  <c r="W363" i="1"/>
  <c r="Z364" i="1"/>
  <c r="AJ363" i="1"/>
  <c r="T363" i="1"/>
  <c r="AD362" i="1"/>
  <c r="AD337" i="1"/>
  <c r="N329" i="1"/>
  <c r="R328" i="1"/>
  <c r="AH311" i="1"/>
  <c r="R311" i="1"/>
  <c r="AH286" i="1"/>
  <c r="N286" i="1"/>
  <c r="J283" i="1"/>
  <c r="M282" i="1"/>
  <c r="AX242" i="1"/>
  <c r="I414" i="1"/>
  <c r="V392" i="1"/>
  <c r="AL387" i="1"/>
  <c r="V387" i="1"/>
  <c r="M367" i="1"/>
  <c r="AC362" i="1"/>
  <c r="M329" i="1"/>
  <c r="AG286" i="1"/>
  <c r="M286" i="1"/>
  <c r="I283" i="1"/>
  <c r="K282" i="1"/>
  <c r="X275" i="1"/>
  <c r="AH94" i="1"/>
  <c r="AH100" i="1"/>
  <c r="AH104" i="1" s="1"/>
  <c r="AH93" i="1"/>
  <c r="K436" i="1"/>
  <c r="AD420" i="1"/>
  <c r="Y414" i="1"/>
  <c r="AT419" i="1"/>
  <c r="U392" i="1"/>
  <c r="L367" i="1"/>
  <c r="X364" i="1"/>
  <c r="AB337" i="1"/>
  <c r="P328" i="1"/>
  <c r="AF286" i="1"/>
  <c r="V279" i="1"/>
  <c r="Z277" i="1"/>
  <c r="AT275" i="1"/>
  <c r="W275" i="1"/>
  <c r="AR262" i="1"/>
  <c r="J436" i="1"/>
  <c r="AC420" i="1"/>
  <c r="AS419" i="1"/>
  <c r="AH387" i="1"/>
  <c r="J367" i="1"/>
  <c r="Q364" i="1"/>
  <c r="J339" i="1"/>
  <c r="AA337" i="1"/>
  <c r="AM336" i="1"/>
  <c r="L336" i="1"/>
  <c r="V335" i="1"/>
  <c r="AH336" i="1"/>
  <c r="R336" i="1"/>
  <c r="AB316" i="1"/>
  <c r="L316" i="1"/>
  <c r="AE286" i="1"/>
  <c r="S284" i="1"/>
  <c r="Z283" i="1"/>
  <c r="U279" i="1"/>
  <c r="T277" i="1"/>
  <c r="I286" i="1"/>
  <c r="AT277" i="1"/>
  <c r="AE283" i="1"/>
  <c r="O283" i="1"/>
  <c r="AQ262" i="1"/>
  <c r="AP259" i="1"/>
  <c r="I436" i="1"/>
  <c r="W414" i="1"/>
  <c r="AK413" i="1"/>
  <c r="AK409" i="1"/>
  <c r="AG387" i="1"/>
  <c r="AD367" i="1"/>
  <c r="Z337" i="1"/>
  <c r="AG336" i="1"/>
  <c r="AG332" i="1"/>
  <c r="AM328" i="1"/>
  <c r="L328" i="1"/>
  <c r="T316" i="1"/>
  <c r="T311" i="1"/>
  <c r="AD286" i="1"/>
  <c r="R284" i="1"/>
  <c r="Y283" i="1"/>
  <c r="T279" i="1"/>
  <c r="S277" i="1"/>
  <c r="U275" i="1"/>
  <c r="AP262" i="1"/>
  <c r="M425" i="1"/>
  <c r="U413" i="1"/>
  <c r="AF387" i="1"/>
  <c r="AR381" i="1"/>
  <c r="J378" i="1"/>
  <c r="J411" i="1" s="1"/>
  <c r="AR358" i="1"/>
  <c r="AR363" i="1" s="1"/>
  <c r="AK362" i="1"/>
  <c r="U362" i="1"/>
  <c r="X337" i="1"/>
  <c r="O335" i="1"/>
  <c r="AE332" i="1"/>
  <c r="AK330" i="1"/>
  <c r="AG329" i="1"/>
  <c r="AL328" i="1"/>
  <c r="S316" i="1"/>
  <c r="Q311" i="1"/>
  <c r="AC286" i="1"/>
  <c r="Q284" i="1"/>
  <c r="X283" i="1"/>
  <c r="AS277" i="1"/>
  <c r="AR245" i="1"/>
  <c r="X436" i="1"/>
  <c r="AA431" i="1"/>
  <c r="Y420" i="1"/>
  <c r="AK411" i="1"/>
  <c r="Z409" i="1"/>
  <c r="P364" i="1"/>
  <c r="N335" i="1"/>
  <c r="AD330" i="1"/>
  <c r="AI328" i="1"/>
  <c r="Q316" i="1"/>
  <c r="P311" i="1"/>
  <c r="P284" i="1"/>
  <c r="W283" i="1"/>
  <c r="AC282" i="1"/>
  <c r="L279" i="1"/>
  <c r="Z431" i="1"/>
  <c r="AU408" i="1"/>
  <c r="H378" i="1"/>
  <c r="W369" i="1"/>
  <c r="AE364" i="1"/>
  <c r="V332" i="1"/>
  <c r="Z330" i="1"/>
  <c r="AH328" i="1"/>
  <c r="O311" i="1"/>
  <c r="AI284" i="1"/>
  <c r="O284" i="1"/>
  <c r="V283" i="1"/>
  <c r="AA282" i="1"/>
  <c r="X276" i="1"/>
  <c r="AX414" i="1"/>
  <c r="W400" i="1"/>
  <c r="W401" i="1" s="1"/>
  <c r="N392" i="1"/>
  <c r="AA387" i="1"/>
  <c r="AW386" i="1"/>
  <c r="T369" i="1"/>
  <c r="Z367" i="1"/>
  <c r="X368" i="1"/>
  <c r="AL335" i="1"/>
  <c r="U332" i="1"/>
  <c r="Y330" i="1"/>
  <c r="AD329" i="1"/>
  <c r="AG328" i="1"/>
  <c r="AJ316" i="1"/>
  <c r="O316" i="1"/>
  <c r="N311" i="1"/>
  <c r="AJ277" i="1"/>
  <c r="W276" i="1"/>
  <c r="AS248" i="1"/>
  <c r="AI98" i="1"/>
  <c r="AW98" i="1" s="1"/>
  <c r="AW74" i="1"/>
  <c r="AW82" i="1" s="1"/>
  <c r="AX41" i="1"/>
  <c r="AX42" i="1"/>
  <c r="AT527" i="1"/>
  <c r="L520" i="1"/>
  <c r="H512" i="1"/>
  <c r="H526" i="1" s="1"/>
  <c r="H527" i="1"/>
  <c r="Q512" i="1"/>
  <c r="Q527" i="1"/>
  <c r="Q520" i="1"/>
  <c r="U520" i="1"/>
  <c r="N506" i="1"/>
  <c r="N525" i="1"/>
  <c r="R506" i="1"/>
  <c r="Q508" i="1"/>
  <c r="U508" i="1"/>
  <c r="AF513" i="1"/>
  <c r="T513" i="1"/>
  <c r="P508" i="1"/>
  <c r="T508" i="1"/>
  <c r="AQ480" i="1"/>
  <c r="AQ485" i="1"/>
  <c r="AR521" i="1"/>
  <c r="AR513" i="1"/>
  <c r="AR528" i="1"/>
  <c r="Y512" i="1"/>
  <c r="AC519" i="1" s="1"/>
  <c r="W525" i="1"/>
  <c r="AD508" i="1"/>
  <c r="AD529" i="1"/>
  <c r="N508" i="1"/>
  <c r="N529" i="1"/>
  <c r="AA507" i="1"/>
  <c r="AV481" i="1"/>
  <c r="R479" i="1"/>
  <c r="AO440" i="1"/>
  <c r="AP447" i="1"/>
  <c r="U445" i="1"/>
  <c r="U455" i="1"/>
  <c r="AQ521" i="1"/>
  <c r="H528" i="1"/>
  <c r="Q521" i="1"/>
  <c r="AU520" i="1"/>
  <c r="AE513" i="1"/>
  <c r="S513" i="1"/>
  <c r="S529" i="1"/>
  <c r="L512" i="1"/>
  <c r="AG508" i="1"/>
  <c r="W507" i="1"/>
  <c r="S522" i="1"/>
  <c r="AV467" i="1"/>
  <c r="AV513" i="1"/>
  <c r="AV522" i="1"/>
  <c r="M529" i="1"/>
  <c r="M522" i="1"/>
  <c r="Q522" i="1"/>
  <c r="Q529" i="1"/>
  <c r="AU527" i="1"/>
  <c r="AR480" i="1"/>
  <c r="AS525" i="1"/>
  <c r="O529" i="1"/>
  <c r="Y528" i="1"/>
  <c r="O522" i="1"/>
  <c r="M520" i="1"/>
  <c r="AS526" i="1"/>
  <c r="L529" i="1"/>
  <c r="L522" i="1"/>
  <c r="X506" i="1"/>
  <c r="AB506" i="1"/>
  <c r="O507" i="1"/>
  <c r="O514" i="1"/>
  <c r="O513" i="1" s="1"/>
  <c r="L474" i="1"/>
  <c r="L481" i="1"/>
  <c r="AR476" i="1"/>
  <c r="M460" i="1"/>
  <c r="AR460" i="1" s="1"/>
  <c r="M463" i="1"/>
  <c r="Q463" i="1"/>
  <c r="AV529" i="1"/>
  <c r="M527" i="1"/>
  <c r="Z526" i="1"/>
  <c r="Z518" i="1"/>
  <c r="AC529" i="1"/>
  <c r="AC522" i="1"/>
  <c r="X522" i="1"/>
  <c r="W463" i="1"/>
  <c r="W460" i="1"/>
  <c r="V433" i="1"/>
  <c r="V422" i="1"/>
  <c r="V411" i="1"/>
  <c r="AP398" i="1"/>
  <c r="AP522" i="1"/>
  <c r="AU521" i="1"/>
  <c r="X518" i="1"/>
  <c r="AS514" i="1"/>
  <c r="W522" i="1"/>
  <c r="W513" i="1"/>
  <c r="X497" i="1"/>
  <c r="AB497" i="1"/>
  <c r="AI476" i="1"/>
  <c r="AM481" i="1" s="1"/>
  <c r="AM479" i="1"/>
  <c r="Q474" i="1"/>
  <c r="Q485" i="1"/>
  <c r="AS475" i="1"/>
  <c r="Q480" i="1"/>
  <c r="O445" i="1"/>
  <c r="O450" i="1"/>
  <c r="AS522" i="1"/>
  <c r="AR506" i="1"/>
  <c r="V513" i="1"/>
  <c r="V521" i="1"/>
  <c r="Z521" i="1"/>
  <c r="W497" i="1"/>
  <c r="AA497" i="1"/>
  <c r="W474" i="1"/>
  <c r="W481" i="1"/>
  <c r="AA481" i="1"/>
  <c r="N514" i="1"/>
  <c r="N507" i="1"/>
  <c r="R507" i="1"/>
  <c r="K527" i="1"/>
  <c r="T528" i="1"/>
  <c r="AE529" i="1"/>
  <c r="AC527" i="1"/>
  <c r="AF522" i="1"/>
  <c r="AG512" i="1"/>
  <c r="AG527" i="1"/>
  <c r="AG520" i="1"/>
  <c r="AB529" i="1"/>
  <c r="AB522" i="1"/>
  <c r="P527" i="1"/>
  <c r="P520" i="1"/>
  <c r="AC518" i="1"/>
  <c r="AQ506" i="1"/>
  <c r="AT506" i="1"/>
  <c r="U525" i="1"/>
  <c r="Y506" i="1"/>
  <c r="AP528" i="1"/>
  <c r="S528" i="1"/>
  <c r="Z525" i="1"/>
  <c r="AF521" i="1"/>
  <c r="U526" i="1"/>
  <c r="AA529" i="1"/>
  <c r="AE522" i="1"/>
  <c r="AE521" i="1"/>
  <c r="AQ513" i="1"/>
  <c r="U521" i="1"/>
  <c r="U528" i="1"/>
  <c r="AB518" i="1"/>
  <c r="AB525" i="1"/>
  <c r="L518" i="1"/>
  <c r="L525" i="1"/>
  <c r="AT507" i="1"/>
  <c r="AP506" i="1"/>
  <c r="AP508" i="1"/>
  <c r="AQ508" i="1"/>
  <c r="S508" i="1"/>
  <c r="AD514" i="1"/>
  <c r="AD507" i="1"/>
  <c r="L521" i="1"/>
  <c r="AC520" i="1"/>
  <c r="AP513" i="1"/>
  <c r="U522" i="1"/>
  <c r="P529" i="1"/>
  <c r="AA518" i="1"/>
  <c r="AE518" i="1"/>
  <c r="O518" i="1"/>
  <c r="K525" i="1"/>
  <c r="AS507" i="1"/>
  <c r="R508" i="1"/>
  <c r="U422" i="1"/>
  <c r="U411" i="1"/>
  <c r="U480" i="1"/>
  <c r="P474" i="1"/>
  <c r="K474" i="1"/>
  <c r="AV470" i="1"/>
  <c r="K460" i="1"/>
  <c r="AQ460" i="1" s="1"/>
  <c r="AT442" i="1"/>
  <c r="T440" i="1"/>
  <c r="P481" i="1"/>
  <c r="J474" i="1"/>
  <c r="N479" i="1" s="1"/>
  <c r="U463" i="1"/>
  <c r="U460" i="1"/>
  <c r="AT462" i="1"/>
  <c r="AC447" i="1"/>
  <c r="AG447" i="1"/>
  <c r="AC452" i="1"/>
  <c r="S445" i="1"/>
  <c r="H440" i="1"/>
  <c r="I450" i="1" s="1"/>
  <c r="AQ442" i="1"/>
  <c r="AT460" i="1"/>
  <c r="AB451" i="1"/>
  <c r="U474" i="1"/>
  <c r="Z470" i="1"/>
  <c r="S460" i="1"/>
  <c r="AS460" i="1" s="1"/>
  <c r="S463" i="1"/>
  <c r="AB452" i="1"/>
  <c r="AV442" i="1"/>
  <c r="AW447" i="1" s="1"/>
  <c r="AV404" i="1"/>
  <c r="AD411" i="1"/>
  <c r="AD402" i="1"/>
  <c r="O429" i="1"/>
  <c r="R418" i="1"/>
  <c r="N407" i="1"/>
  <c r="J485" i="1"/>
  <c r="AT469" i="1"/>
  <c r="AA451" i="1"/>
  <c r="M402" i="1"/>
  <c r="AR404" i="1"/>
  <c r="AG507" i="1"/>
  <c r="Q507" i="1"/>
  <c r="AB481" i="1"/>
  <c r="AH476" i="1"/>
  <c r="AR469" i="1"/>
  <c r="O463" i="1"/>
  <c r="P440" i="1"/>
  <c r="AS442" i="1"/>
  <c r="AA501" i="1"/>
  <c r="AA525" i="1" s="1"/>
  <c r="Z497" i="1"/>
  <c r="H485" i="1"/>
  <c r="AP474" i="1"/>
  <c r="Z467" i="1"/>
  <c r="AU467" i="1" s="1"/>
  <c r="R467" i="1"/>
  <c r="J467" i="1"/>
  <c r="N463" i="1"/>
  <c r="AA460" i="1"/>
  <c r="AQ462" i="1"/>
  <c r="Y447" i="1"/>
  <c r="Y497" i="1"/>
  <c r="Z481" i="1"/>
  <c r="O447" i="1"/>
  <c r="S447" i="1"/>
  <c r="V402" i="1"/>
  <c r="AG382" i="1"/>
  <c r="AG391" i="1"/>
  <c r="AK391" i="1"/>
  <c r="AQ481" i="1"/>
  <c r="Y481" i="1"/>
  <c r="U401" i="1"/>
  <c r="L480" i="1"/>
  <c r="M479" i="1"/>
  <c r="AF463" i="1"/>
  <c r="AP460" i="1"/>
  <c r="AP463" i="1"/>
  <c r="AD452" i="1"/>
  <c r="U447" i="1"/>
  <c r="X440" i="1"/>
  <c r="X452" i="1"/>
  <c r="X447" i="1"/>
  <c r="AS467" i="1"/>
  <c r="AQ467" i="1"/>
  <c r="AE463" i="1"/>
  <c r="AW462" i="1"/>
  <c r="T447" i="1"/>
  <c r="W450" i="1"/>
  <c r="W445" i="1"/>
  <c r="T470" i="1"/>
  <c r="AS469" i="1"/>
  <c r="AQ469" i="1"/>
  <c r="AD463" i="1"/>
  <c r="AV462" i="1"/>
  <c r="AU460" i="1"/>
  <c r="V452" i="1"/>
  <c r="P447" i="1"/>
  <c r="M447" i="1"/>
  <c r="Q447" i="1"/>
  <c r="M452" i="1"/>
  <c r="AF423" i="1"/>
  <c r="AJ423" i="1"/>
  <c r="Z420" i="1"/>
  <c r="V431" i="1"/>
  <c r="V409" i="1"/>
  <c r="W431" i="1"/>
  <c r="AT398" i="1"/>
  <c r="AT407" i="1"/>
  <c r="AT418" i="1"/>
  <c r="AU418" i="1"/>
  <c r="AQ425" i="1"/>
  <c r="AP414" i="1"/>
  <c r="AP392" i="1"/>
  <c r="S392" i="1"/>
  <c r="W392" i="1"/>
  <c r="S414" i="1"/>
  <c r="S425" i="1"/>
  <c r="S436" i="1"/>
  <c r="U481" i="1"/>
  <c r="O470" i="1"/>
  <c r="AC463" i="1"/>
  <c r="AS462" i="1"/>
  <c r="AG460" i="1"/>
  <c r="AW460" i="1" s="1"/>
  <c r="AU462" i="1"/>
  <c r="X463" i="1"/>
  <c r="L447" i="1"/>
  <c r="AF446" i="1"/>
  <c r="V450" i="1"/>
  <c r="V445" i="1"/>
  <c r="AR442" i="1"/>
  <c r="L452" i="1"/>
  <c r="L440" i="1"/>
  <c r="AE423" i="1"/>
  <c r="AI423" i="1"/>
  <c r="AT476" i="1"/>
  <c r="T452" i="1"/>
  <c r="AE446" i="1"/>
  <c r="AP445" i="1"/>
  <c r="AF382" i="1"/>
  <c r="AF464" i="1" s="1"/>
  <c r="AP380" i="1"/>
  <c r="AP455" i="1" s="1"/>
  <c r="AV401" i="1"/>
  <c r="L398" i="1"/>
  <c r="AE382" i="1"/>
  <c r="AE464" i="1" s="1"/>
  <c r="R390" i="1"/>
  <c r="V390" i="1"/>
  <c r="AS388" i="1"/>
  <c r="AT388" i="1"/>
  <c r="AB378" i="1"/>
  <c r="AB410" i="1"/>
  <c r="AB388" i="1"/>
  <c r="T401" i="1"/>
  <c r="AS381" i="1"/>
  <c r="AT392" i="1" s="1"/>
  <c r="X382" i="1"/>
  <c r="X457" i="1" s="1"/>
  <c r="AG390" i="1"/>
  <c r="AK390" i="1"/>
  <c r="Q412" i="1"/>
  <c r="U390" i="1"/>
  <c r="AA399" i="1"/>
  <c r="AA400" i="1" s="1"/>
  <c r="AA378" i="1"/>
  <c r="AA388" i="1"/>
  <c r="AT404" i="1"/>
  <c r="K396" i="1"/>
  <c r="O380" i="1"/>
  <c r="O455" i="1" s="1"/>
  <c r="AF390" i="1"/>
  <c r="AJ390" i="1"/>
  <c r="P390" i="1"/>
  <c r="T390" i="1"/>
  <c r="AQ388" i="1"/>
  <c r="AS402" i="1"/>
  <c r="AE390" i="1"/>
  <c r="AI390" i="1"/>
  <c r="AW398" i="1"/>
  <c r="AF400" i="1"/>
  <c r="AD382" i="1"/>
  <c r="R412" i="1"/>
  <c r="AT408" i="1"/>
  <c r="AO396" i="1"/>
  <c r="AO407" i="1" s="1"/>
  <c r="AC382" i="1"/>
  <c r="AU378" i="1"/>
  <c r="AU387" i="1"/>
  <c r="AV387" i="1"/>
  <c r="J396" i="1"/>
  <c r="N418" i="1" s="1"/>
  <c r="J409" i="1"/>
  <c r="Y378" i="1"/>
  <c r="AT378" i="1"/>
  <c r="AE402" i="1"/>
  <c r="AE403" i="1" s="1"/>
  <c r="V380" i="1"/>
  <c r="V389" i="1"/>
  <c r="AS386" i="1"/>
  <c r="AT386" i="1"/>
  <c r="Q385" i="1"/>
  <c r="M385" i="1"/>
  <c r="M376" i="1"/>
  <c r="R447" i="1"/>
  <c r="R423" i="1"/>
  <c r="AU409" i="1"/>
  <c r="X401" i="1"/>
  <c r="AB400" i="1"/>
  <c r="AV398" i="1"/>
  <c r="AB409" i="1"/>
  <c r="O388" i="1"/>
  <c r="R380" i="1"/>
  <c r="R455" i="1" s="1"/>
  <c r="R411" i="1"/>
  <c r="AR386" i="1"/>
  <c r="AR376" i="1"/>
  <c r="L385" i="1"/>
  <c r="P385" i="1"/>
  <c r="L376" i="1"/>
  <c r="AA452" i="1"/>
  <c r="K452" i="1"/>
  <c r="J440" i="1"/>
  <c r="AH423" i="1"/>
  <c r="AK422" i="1"/>
  <c r="Y399" i="1"/>
  <c r="N388" i="1"/>
  <c r="Y392" i="1"/>
  <c r="AU381" i="1"/>
  <c r="AC392" i="1"/>
  <c r="P380" i="1"/>
  <c r="P411" i="1"/>
  <c r="AI388" i="1"/>
  <c r="AM388" i="1"/>
  <c r="S388" i="1"/>
  <c r="S399" i="1"/>
  <c r="AP390" i="1"/>
  <c r="AQ392" i="1"/>
  <c r="AU390" i="1"/>
  <c r="AV390" i="1"/>
  <c r="Q380" i="1"/>
  <c r="Q411" i="1"/>
  <c r="AR462" i="1"/>
  <c r="Y452" i="1"/>
  <c r="I452" i="1"/>
  <c r="O423" i="1"/>
  <c r="AV419" i="1"/>
  <c r="AC400" i="1"/>
  <c r="L388" i="1"/>
  <c r="AJ378" i="1"/>
  <c r="AX376" i="1"/>
  <c r="T378" i="1"/>
  <c r="X389" i="1" s="1"/>
  <c r="T387" i="1"/>
  <c r="X387" i="1"/>
  <c r="AU419" i="1"/>
  <c r="X413" i="1"/>
  <c r="X400" i="1"/>
  <c r="H398" i="1"/>
  <c r="AQ400" i="1"/>
  <c r="AS378" i="1"/>
  <c r="AI378" i="1"/>
  <c r="AM387" i="1"/>
  <c r="AM420" i="1"/>
  <c r="AI431" i="1"/>
  <c r="S378" i="1"/>
  <c r="W387" i="1"/>
  <c r="S431" i="1"/>
  <c r="AD423" i="1"/>
  <c r="AG401" i="1"/>
  <c r="AG402" i="1" s="1"/>
  <c r="AH390" i="1"/>
  <c r="AF388" i="1"/>
  <c r="V369" i="1"/>
  <c r="AK364" i="1"/>
  <c r="Z363" i="1"/>
  <c r="AM364" i="1"/>
  <c r="AI369" i="1"/>
  <c r="W364" i="1"/>
  <c r="S369" i="1"/>
  <c r="AT363" i="1"/>
  <c r="AC363" i="1"/>
  <c r="M363" i="1"/>
  <c r="AM362" i="1"/>
  <c r="W362" i="1"/>
  <c r="AM354" i="1"/>
  <c r="P354" i="1"/>
  <c r="V353" i="1"/>
  <c r="AG352" i="1"/>
  <c r="M348" i="1"/>
  <c r="V347" i="1"/>
  <c r="K352" i="1"/>
  <c r="AB368" i="1"/>
  <c r="AL362" i="1"/>
  <c r="AG369" i="1"/>
  <c r="Q369" i="1"/>
  <c r="V349" i="1"/>
  <c r="AR347" i="1"/>
  <c r="T347" i="1"/>
  <c r="AB390" i="1"/>
  <c r="L390" i="1"/>
  <c r="AH378" i="1"/>
  <c r="AL389" i="1" s="1"/>
  <c r="N376" i="1"/>
  <c r="AM369" i="1"/>
  <c r="AM367" i="1"/>
  <c r="AH364" i="1"/>
  <c r="AJ362" i="1"/>
  <c r="T362" i="1"/>
  <c r="AM353" i="1"/>
  <c r="AF348" i="1"/>
  <c r="S347" i="1"/>
  <c r="AG337" i="1"/>
  <c r="AC387" i="1"/>
  <c r="AG389" i="1"/>
  <c r="AL388" i="1"/>
  <c r="L364" i="1"/>
  <c r="V363" i="1"/>
  <c r="AI362" i="1"/>
  <c r="AI367" i="1"/>
  <c r="S362" i="1"/>
  <c r="S367" i="1"/>
  <c r="AL353" i="1"/>
  <c r="P332" i="1"/>
  <c r="W331" i="1"/>
  <c r="AA409" i="1"/>
  <c r="M369" i="1"/>
  <c r="AF364" i="1"/>
  <c r="AH362" i="1"/>
  <c r="AH367" i="1"/>
  <c r="R362" i="1"/>
  <c r="R367" i="1"/>
  <c r="Q353" i="1"/>
  <c r="AM347" i="1"/>
  <c r="M339" i="1"/>
  <c r="V331" i="1"/>
  <c r="U389" i="1"/>
  <c r="AX377" i="1"/>
  <c r="K376" i="1"/>
  <c r="AJ367" i="1"/>
  <c r="AJ353" i="1"/>
  <c r="U352" i="1"/>
  <c r="AC348" i="1"/>
  <c r="AL347" i="1"/>
  <c r="AR348" i="1"/>
  <c r="L339" i="1"/>
  <c r="U331" i="1"/>
  <c r="AF367" i="1"/>
  <c r="AG367" i="1"/>
  <c r="P367" i="1"/>
  <c r="Q367" i="1"/>
  <c r="T352" i="1"/>
  <c r="AJ349" i="1"/>
  <c r="AG354" i="1"/>
  <c r="T349" i="1"/>
  <c r="Q354" i="1"/>
  <c r="AQ348" i="1"/>
  <c r="Z353" i="1"/>
  <c r="AA353" i="1"/>
  <c r="Z348" i="1"/>
  <c r="J353" i="1"/>
  <c r="K353" i="1"/>
  <c r="AT332" i="1"/>
  <c r="AM338" i="1"/>
  <c r="W338" i="1"/>
  <c r="AI349" i="1"/>
  <c r="AE354" i="1"/>
  <c r="S349" i="1"/>
  <c r="O354" i="1"/>
  <c r="O21" i="220"/>
  <c r="AF330" i="1"/>
  <c r="AJ330" i="1"/>
  <c r="AQ376" i="1"/>
  <c r="AC369" i="1"/>
  <c r="AB364" i="1"/>
  <c r="Z362" i="1"/>
  <c r="AG353" i="1"/>
  <c r="AE349" i="1"/>
  <c r="T348" i="1"/>
  <c r="AI347" i="1"/>
  <c r="AH349" i="1"/>
  <c r="AD354" i="1"/>
  <c r="R349" i="1"/>
  <c r="N354" i="1"/>
  <c r="X348" i="1"/>
  <c r="AB348" i="1"/>
  <c r="AM378" i="1"/>
  <c r="W378" i="1"/>
  <c r="AM368" i="1"/>
  <c r="V364" i="1"/>
  <c r="AL363" i="1"/>
  <c r="W354" i="1"/>
  <c r="AD349" i="1"/>
  <c r="AH347" i="1"/>
  <c r="AG349" i="1"/>
  <c r="AC354" i="1"/>
  <c r="Q349" i="1"/>
  <c r="M354" i="1"/>
  <c r="AW330" i="1"/>
  <c r="AQ332" i="1"/>
  <c r="AJ338" i="1"/>
  <c r="T338" i="1"/>
  <c r="AO376" i="1"/>
  <c r="AC339" i="1"/>
  <c r="AF332" i="1"/>
  <c r="AL331" i="1"/>
  <c r="Y332" i="1"/>
  <c r="Y339" i="1"/>
  <c r="I339" i="1"/>
  <c r="M332" i="1"/>
  <c r="L21" i="220"/>
  <c r="AC330" i="1"/>
  <c r="T364" i="1"/>
  <c r="AX363" i="1"/>
  <c r="Z347" i="1"/>
  <c r="AA354" i="1"/>
  <c r="K354" i="1"/>
  <c r="AV347" i="1"/>
  <c r="AE347" i="1"/>
  <c r="AE352" i="1"/>
  <c r="O347" i="1"/>
  <c r="O352" i="1"/>
  <c r="AB339" i="1"/>
  <c r="X332" i="1"/>
  <c r="X339" i="1"/>
  <c r="AF368" i="1"/>
  <c r="AG368" i="1"/>
  <c r="AF363" i="1"/>
  <c r="P368" i="1"/>
  <c r="Q368" i="1"/>
  <c r="P363" i="1"/>
  <c r="Y353" i="1"/>
  <c r="AJ352" i="1"/>
  <c r="AX349" i="1"/>
  <c r="P348" i="1"/>
  <c r="AD347" i="1"/>
  <c r="N347" i="1"/>
  <c r="AM339" i="1"/>
  <c r="AM332" i="1"/>
  <c r="W339" i="1"/>
  <c r="W332" i="1"/>
  <c r="J21" i="220"/>
  <c r="AE330" i="1"/>
  <c r="AK329" i="1"/>
  <c r="AK336" i="1"/>
  <c r="Y364" i="1"/>
  <c r="U369" i="1"/>
  <c r="X353" i="1"/>
  <c r="AC347" i="1"/>
  <c r="AC352" i="1"/>
  <c r="M347" i="1"/>
  <c r="M352" i="1"/>
  <c r="AD363" i="1"/>
  <c r="AH363" i="1"/>
  <c r="N363" i="1"/>
  <c r="R363" i="1"/>
  <c r="W353" i="1"/>
  <c r="N348" i="1"/>
  <c r="AB347" i="1"/>
  <c r="AB352" i="1"/>
  <c r="L347" i="1"/>
  <c r="L352" i="1"/>
  <c r="U316" i="1"/>
  <c r="AK311" i="1"/>
  <c r="U311" i="1"/>
  <c r="AK296" i="1"/>
  <c r="U296" i="1"/>
  <c r="AJ74" i="1"/>
  <c r="AJ76" i="1" s="1"/>
  <c r="AK328" i="1"/>
  <c r="U328" i="1"/>
  <c r="AB330" i="1"/>
  <c r="AJ328" i="1"/>
  <c r="T328" i="1"/>
  <c r="AX245" i="1"/>
  <c r="AI78" i="1"/>
  <c r="AI79" i="1" s="1"/>
  <c r="AI80" i="1"/>
  <c r="AW76" i="1"/>
  <c r="AW78" i="1" s="1"/>
  <c r="AW79" i="1" s="1"/>
  <c r="AW92" i="1"/>
  <c r="AW88" i="1"/>
  <c r="AW89" i="1"/>
  <c r="AI89" i="1"/>
  <c r="AI92" i="1"/>
  <c r="AM93" i="1" s="1"/>
  <c r="AI88" i="1"/>
  <c r="AM76" i="1"/>
  <c r="AA329" i="1"/>
  <c r="AA339" i="1"/>
  <c r="Y337" i="1"/>
  <c r="X336" i="1"/>
  <c r="AD332" i="1"/>
  <c r="AB282" i="1"/>
  <c r="L282" i="1"/>
  <c r="AI279" i="1"/>
  <c r="S279" i="1"/>
  <c r="AM278" i="1"/>
  <c r="W278" i="1"/>
  <c r="AE276" i="1"/>
  <c r="O276" i="1"/>
  <c r="AR329" i="1"/>
  <c r="Y329" i="1"/>
  <c r="AL94" i="1"/>
  <c r="AL100" i="1"/>
  <c r="AL104" i="1" s="1"/>
  <c r="AL93" i="1"/>
  <c r="X338" i="1"/>
  <c r="W337" i="1"/>
  <c r="AL336" i="1"/>
  <c r="V336" i="1"/>
  <c r="U335" i="1"/>
  <c r="AU332" i="1"/>
  <c r="T330" i="1"/>
  <c r="AW310" i="1"/>
  <c r="AW295" i="1"/>
  <c r="Z282" i="1"/>
  <c r="J282" i="1"/>
  <c r="Y277" i="1"/>
  <c r="AC276" i="1"/>
  <c r="U336" i="1"/>
  <c r="T335" i="1"/>
  <c r="AI330" i="1"/>
  <c r="Y311" i="1"/>
  <c r="Y296" i="1"/>
  <c r="Y286" i="1"/>
  <c r="AM284" i="1"/>
  <c r="W284" i="1"/>
  <c r="AF283" i="1"/>
  <c r="P283" i="1"/>
  <c r="Y282" i="1"/>
  <c r="I282" i="1"/>
  <c r="AJ278" i="1"/>
  <c r="T278" i="1"/>
  <c r="X277" i="1"/>
  <c r="AU248" i="1"/>
  <c r="AM88" i="1"/>
  <c r="AA352" i="1"/>
  <c r="AJ336" i="1"/>
  <c r="T336" i="1"/>
  <c r="AH330" i="1"/>
  <c r="AS328" i="1"/>
  <c r="AL284" i="1"/>
  <c r="V284" i="1"/>
  <c r="AM94" i="1"/>
  <c r="AM100" i="1"/>
  <c r="AM104" i="1" s="1"/>
  <c r="E20" i="216"/>
  <c r="E21" i="216" s="1"/>
  <c r="E22" i="216" s="1"/>
  <c r="F20" i="216"/>
  <c r="F21" i="216" s="1"/>
  <c r="F22" i="216" s="1"/>
  <c r="G20" i="216"/>
  <c r="G21" i="216" s="1"/>
  <c r="G22" i="216" s="1"/>
  <c r="H20" i="216"/>
  <c r="I20" i="216"/>
  <c r="J20" i="216"/>
  <c r="K20" i="216"/>
  <c r="R20" i="216"/>
  <c r="L20" i="216"/>
  <c r="M20" i="216"/>
  <c r="N20" i="216"/>
  <c r="O20" i="216"/>
  <c r="P20" i="216"/>
  <c r="Q20" i="216"/>
  <c r="AG330" i="1"/>
  <c r="AK284" i="1"/>
  <c r="U284" i="1"/>
  <c r="AU246" i="1"/>
  <c r="AL80" i="1"/>
  <c r="AL81" i="1" s="1"/>
  <c r="AL78" i="1"/>
  <c r="AL79" i="1" s="1"/>
  <c r="AJ87" i="1"/>
  <c r="AW387" i="1" l="1"/>
  <c r="AX392" i="1"/>
  <c r="J433" i="1"/>
  <c r="J380" i="1"/>
  <c r="J413" i="1" s="1"/>
  <c r="AT485" i="1"/>
  <c r="AS409" i="1"/>
  <c r="AL433" i="1"/>
  <c r="AE411" i="1"/>
  <c r="AL411" i="1"/>
  <c r="X421" i="1"/>
  <c r="AB421" i="1"/>
  <c r="X432" i="1"/>
  <c r="AC506" i="1"/>
  <c r="AC525" i="1"/>
  <c r="X528" i="1"/>
  <c r="X521" i="1"/>
  <c r="J512" i="1"/>
  <c r="J526" i="1" s="1"/>
  <c r="J527" i="1"/>
  <c r="AG506" i="1"/>
  <c r="X513" i="1"/>
  <c r="U527" i="1"/>
  <c r="U506" i="1"/>
  <c r="AX470" i="1"/>
  <c r="AK382" i="1"/>
  <c r="AE433" i="1"/>
  <c r="AC526" i="1"/>
  <c r="AB521" i="1"/>
  <c r="AK389" i="1"/>
  <c r="Z400" i="1"/>
  <c r="Z402" i="1" s="1"/>
  <c r="Z403" i="1" s="1"/>
  <c r="S20" i="216" s="1"/>
  <c r="Z421" i="1"/>
  <c r="AD421" i="1"/>
  <c r="R433" i="1"/>
  <c r="Z380" i="1"/>
  <c r="Z391" i="1" s="1"/>
  <c r="Z389" i="1"/>
  <c r="U415" i="1"/>
  <c r="U471" i="1"/>
  <c r="U486" i="1"/>
  <c r="AQ456" i="1"/>
  <c r="AQ414" i="1"/>
  <c r="AT400" i="1"/>
  <c r="AT411" i="1" s="1"/>
  <c r="AR392" i="1"/>
  <c r="AR425" i="1"/>
  <c r="AR456" i="1"/>
  <c r="AR414" i="1"/>
  <c r="AW380" i="1"/>
  <c r="AW389" i="1"/>
  <c r="U464" i="1"/>
  <c r="AS363" i="1"/>
  <c r="AT414" i="1"/>
  <c r="AT456" i="1"/>
  <c r="AS362" i="1"/>
  <c r="U457" i="1"/>
  <c r="AH105" i="1"/>
  <c r="AH112" i="1"/>
  <c r="I380" i="1"/>
  <c r="I411" i="1"/>
  <c r="I433" i="1"/>
  <c r="H380" i="1"/>
  <c r="H455" i="1" s="1"/>
  <c r="H411" i="1"/>
  <c r="AD389" i="1"/>
  <c r="AI81" i="1"/>
  <c r="AW80" i="1"/>
  <c r="AW81" i="1" s="1"/>
  <c r="AR485" i="1"/>
  <c r="AS364" i="1"/>
  <c r="AL382" i="1"/>
  <c r="AL435" i="1"/>
  <c r="AL413" i="1"/>
  <c r="AL455" i="1"/>
  <c r="AJ78" i="1"/>
  <c r="AJ79" i="1" s="1"/>
  <c r="AJ80" i="1"/>
  <c r="AJ81" i="1" s="1"/>
  <c r="AG413" i="1"/>
  <c r="AK424" i="1"/>
  <c r="AG403" i="1"/>
  <c r="AU463" i="1"/>
  <c r="AW100" i="1"/>
  <c r="AW104" i="1" s="1"/>
  <c r="AW93" i="1"/>
  <c r="AW94" i="1"/>
  <c r="AQ387" i="1"/>
  <c r="AQ378" i="1"/>
  <c r="AQ422" i="1" s="1"/>
  <c r="AA421" i="1"/>
  <c r="AA432" i="1"/>
  <c r="AB432" i="1"/>
  <c r="AE421" i="1"/>
  <c r="X455" i="1"/>
  <c r="X445" i="1"/>
  <c r="X450" i="1"/>
  <c r="AH481" i="1"/>
  <c r="AB450" i="1"/>
  <c r="AR520" i="1"/>
  <c r="AR527" i="1"/>
  <c r="AU380" i="1"/>
  <c r="AU389" i="1"/>
  <c r="AV389" i="1"/>
  <c r="Q382" i="1"/>
  <c r="Q413" i="1"/>
  <c r="U424" i="1"/>
  <c r="U391" i="1"/>
  <c r="Q435" i="1"/>
  <c r="AT470" i="1"/>
  <c r="AU470" i="1"/>
  <c r="AJ98" i="1"/>
  <c r="W380" i="1"/>
  <c r="W435" i="1" s="1"/>
  <c r="W389" i="1"/>
  <c r="AI389" i="1"/>
  <c r="AI411" i="1"/>
  <c r="AI380" i="1"/>
  <c r="AI422" i="1"/>
  <c r="AI433" i="1"/>
  <c r="AA411" i="1"/>
  <c r="AA402" i="1"/>
  <c r="AA433" i="1"/>
  <c r="AA422" i="1"/>
  <c r="AE422" i="1"/>
  <c r="L378" i="1"/>
  <c r="L387" i="1"/>
  <c r="P387" i="1"/>
  <c r="X423" i="1"/>
  <c r="X412" i="1"/>
  <c r="X434" i="1"/>
  <c r="AB423" i="1"/>
  <c r="AC471" i="1"/>
  <c r="AC415" i="1"/>
  <c r="AC486" i="1"/>
  <c r="AC464" i="1"/>
  <c r="AS463" i="1"/>
  <c r="AV447" i="1"/>
  <c r="P484" i="1"/>
  <c r="P479" i="1"/>
  <c r="AS474" i="1"/>
  <c r="T479" i="1"/>
  <c r="AS480" i="1"/>
  <c r="AS485" i="1"/>
  <c r="L519" i="1"/>
  <c r="P519" i="1"/>
  <c r="L526" i="1"/>
  <c r="AS521" i="1"/>
  <c r="AS528" i="1"/>
  <c r="AM380" i="1"/>
  <c r="AM389" i="1"/>
  <c r="AM433" i="1"/>
  <c r="AM422" i="1"/>
  <c r="AM411" i="1"/>
  <c r="K378" i="1"/>
  <c r="O420" i="1"/>
  <c r="O387" i="1"/>
  <c r="K431" i="1"/>
  <c r="AS380" i="1"/>
  <c r="AS413" i="1" s="1"/>
  <c r="AC402" i="1"/>
  <c r="AD435" i="1" s="1"/>
  <c r="AC411" i="1"/>
  <c r="AC433" i="1"/>
  <c r="Y400" i="1"/>
  <c r="Y421" i="1"/>
  <c r="Y432" i="1"/>
  <c r="Z432" i="1"/>
  <c r="AC421" i="1"/>
  <c r="AE414" i="1"/>
  <c r="AI425" i="1"/>
  <c r="AE475" i="1"/>
  <c r="AE413" i="1"/>
  <c r="AE435" i="1"/>
  <c r="AT481" i="1"/>
  <c r="AA506" i="1"/>
  <c r="AA527" i="1"/>
  <c r="AA526" i="1"/>
  <c r="AL481" i="1"/>
  <c r="AU481" i="1"/>
  <c r="AR474" i="1"/>
  <c r="L479" i="1"/>
  <c r="AR470" i="1"/>
  <c r="AX410" i="1"/>
  <c r="AX388" i="1"/>
  <c r="AX421" i="1"/>
  <c r="W412" i="1"/>
  <c r="AA423" i="1"/>
  <c r="AT409" i="1"/>
  <c r="AT420" i="1"/>
  <c r="Q455" i="1"/>
  <c r="AQ474" i="1"/>
  <c r="J484" i="1"/>
  <c r="Q484" i="1"/>
  <c r="Q479" i="1"/>
  <c r="O528" i="1"/>
  <c r="O521" i="1"/>
  <c r="S520" i="1"/>
  <c r="S512" i="1"/>
  <c r="S527" i="1"/>
  <c r="AP387" i="1"/>
  <c r="AO378" i="1"/>
  <c r="AR378" i="1"/>
  <c r="AR387" i="1"/>
  <c r="AQ463" i="1"/>
  <c r="AP520" i="1"/>
  <c r="AP527" i="1"/>
  <c r="AP396" i="1"/>
  <c r="AP409" i="1"/>
  <c r="AP420" i="1"/>
  <c r="AE520" i="1"/>
  <c r="AE512" i="1"/>
  <c r="AE527" i="1"/>
  <c r="AT480" i="1"/>
  <c r="AR481" i="1"/>
  <c r="AQ411" i="1"/>
  <c r="AU399" i="1"/>
  <c r="AE437" i="1"/>
  <c r="AE415" i="1"/>
  <c r="AE471" i="1"/>
  <c r="AE486" i="1"/>
  <c r="AE457" i="1"/>
  <c r="AV463" i="1"/>
  <c r="AD433" i="1"/>
  <c r="J382" i="1"/>
  <c r="AO409" i="1"/>
  <c r="N378" i="1"/>
  <c r="N387" i="1"/>
  <c r="R387" i="1"/>
  <c r="N420" i="1"/>
  <c r="R420" i="1"/>
  <c r="O431" i="1"/>
  <c r="N409" i="1"/>
  <c r="AG423" i="1"/>
  <c r="AK423" i="1"/>
  <c r="AG434" i="1"/>
  <c r="AH434" i="1"/>
  <c r="AQ398" i="1"/>
  <c r="H396" i="1"/>
  <c r="I431" i="1"/>
  <c r="H409" i="1"/>
  <c r="S400" i="1"/>
  <c r="T432" i="1"/>
  <c r="W421" i="1"/>
  <c r="AS399" i="1"/>
  <c r="S432" i="1"/>
  <c r="S421" i="1"/>
  <c r="J450" i="1"/>
  <c r="K450" i="1"/>
  <c r="J455" i="1"/>
  <c r="N445" i="1"/>
  <c r="AT380" i="1"/>
  <c r="AT389" i="1"/>
  <c r="AR440" i="1"/>
  <c r="L445" i="1"/>
  <c r="L450" i="1"/>
  <c r="M450" i="1"/>
  <c r="AW463" i="1"/>
  <c r="AG393" i="1"/>
  <c r="AG437" i="1"/>
  <c r="AG426" i="1"/>
  <c r="AG464" i="1"/>
  <c r="AG471" i="1"/>
  <c r="AG415" i="1"/>
  <c r="AG486" i="1"/>
  <c r="AG457" i="1"/>
  <c r="AS447" i="1"/>
  <c r="AD413" i="1"/>
  <c r="AD424" i="1"/>
  <c r="AD403" i="1"/>
  <c r="T422" i="1"/>
  <c r="U433" i="1"/>
  <c r="AT521" i="1"/>
  <c r="Q526" i="1"/>
  <c r="Q519" i="1"/>
  <c r="AB380" i="1"/>
  <c r="AB455" i="1" s="1"/>
  <c r="AB389" i="1"/>
  <c r="AH389" i="1"/>
  <c r="AH411" i="1"/>
  <c r="AH380" i="1"/>
  <c r="AH435" i="1" s="1"/>
  <c r="AL422" i="1"/>
  <c r="AH433" i="1"/>
  <c r="X433" i="1"/>
  <c r="X422" i="1"/>
  <c r="X411" i="1"/>
  <c r="Z455" i="1"/>
  <c r="Y380" i="1"/>
  <c r="Y389" i="1"/>
  <c r="AC389" i="1"/>
  <c r="L409" i="1"/>
  <c r="L420" i="1"/>
  <c r="P420" i="1"/>
  <c r="L431" i="1"/>
  <c r="L396" i="1"/>
  <c r="AS440" i="1"/>
  <c r="P450" i="1"/>
  <c r="P445" i="1"/>
  <c r="P455" i="1"/>
  <c r="Q450" i="1"/>
  <c r="O479" i="1"/>
  <c r="AQ447" i="1"/>
  <c r="AQ520" i="1"/>
  <c r="AQ527" i="1"/>
  <c r="V512" i="1"/>
  <c r="V520" i="1"/>
  <c r="Z520" i="1"/>
  <c r="V527" i="1"/>
  <c r="AI481" i="1"/>
  <c r="AU420" i="1"/>
  <c r="AJ89" i="1"/>
  <c r="AJ92" i="1"/>
  <c r="AJ88" i="1"/>
  <c r="AG519" i="1"/>
  <c r="AG526" i="1"/>
  <c r="W484" i="1"/>
  <c r="W479" i="1"/>
  <c r="R382" i="1"/>
  <c r="R413" i="1"/>
  <c r="R435" i="1"/>
  <c r="R484" i="1"/>
  <c r="AS387" i="1"/>
  <c r="AD437" i="1"/>
  <c r="AD457" i="1"/>
  <c r="AD415" i="1"/>
  <c r="AD464" i="1"/>
  <c r="AD486" i="1"/>
  <c r="X415" i="1"/>
  <c r="X486" i="1"/>
  <c r="X464" i="1"/>
  <c r="X471" i="1"/>
  <c r="AV412" i="1"/>
  <c r="AR447" i="1"/>
  <c r="AQ470" i="1"/>
  <c r="AH422" i="1"/>
  <c r="U484" i="1"/>
  <c r="AT474" i="1"/>
  <c r="U479" i="1"/>
  <c r="AQ440" i="1"/>
  <c r="S521" i="1"/>
  <c r="AJ380" i="1"/>
  <c r="AX378" i="1"/>
  <c r="AJ389" i="1"/>
  <c r="AK433" i="1"/>
  <c r="AJ411" i="1"/>
  <c r="AJ433" i="1"/>
  <c r="AT463" i="1"/>
  <c r="AL105" i="1"/>
  <c r="AG422" i="1"/>
  <c r="AR463" i="1"/>
  <c r="M378" i="1"/>
  <c r="M387" i="1"/>
  <c r="Q387" i="1"/>
  <c r="AS392" i="1"/>
  <c r="AS425" i="1"/>
  <c r="AT425" i="1"/>
  <c r="AS414" i="1"/>
  <c r="AS456" i="1"/>
  <c r="AF389" i="1"/>
  <c r="AW401" i="1"/>
  <c r="AS470" i="1"/>
  <c r="AT440" i="1"/>
  <c r="T445" i="1"/>
  <c r="T450" i="1"/>
  <c r="AW476" i="1"/>
  <c r="R521" i="1"/>
  <c r="N528" i="1"/>
  <c r="N513" i="1"/>
  <c r="N521" i="1"/>
  <c r="AS513" i="1"/>
  <c r="AV520" i="1"/>
  <c r="AV527" i="1"/>
  <c r="AA380" i="1"/>
  <c r="AA455" i="1" s="1"/>
  <c r="AA389" i="1"/>
  <c r="AF411" i="1"/>
  <c r="AJ422" i="1"/>
  <c r="AF402" i="1"/>
  <c r="AG435" i="1" s="1"/>
  <c r="AW400" i="1"/>
  <c r="AF433" i="1"/>
  <c r="AF422" i="1"/>
  <c r="AG433" i="1"/>
  <c r="O382" i="1"/>
  <c r="O413" i="1"/>
  <c r="T423" i="1"/>
  <c r="T412" i="1"/>
  <c r="V401" i="1"/>
  <c r="W434" i="1" s="1"/>
  <c r="V424" i="1"/>
  <c r="V413" i="1"/>
  <c r="V435" i="1"/>
  <c r="M400" i="1"/>
  <c r="AR402" i="1"/>
  <c r="AT447" i="1"/>
  <c r="AX463" i="1"/>
  <c r="T527" i="1"/>
  <c r="T520" i="1"/>
  <c r="X520" i="1"/>
  <c r="T512" i="1"/>
  <c r="AX387" i="1"/>
  <c r="AX409" i="1"/>
  <c r="O520" i="1"/>
  <c r="O512" i="1"/>
  <c r="O527" i="1"/>
  <c r="AV420" i="1"/>
  <c r="AV409" i="1"/>
  <c r="J407" i="1"/>
  <c r="J429" i="1"/>
  <c r="AW420" i="1"/>
  <c r="AW409" i="1"/>
  <c r="AX420" i="1"/>
  <c r="K409" i="1"/>
  <c r="AT402" i="1"/>
  <c r="AP382" i="1"/>
  <c r="AP413" i="1"/>
  <c r="AD471" i="1"/>
  <c r="W411" i="1"/>
  <c r="AC457" i="1"/>
  <c r="AD528" i="1"/>
  <c r="AD513" i="1"/>
  <c r="AD521" i="1"/>
  <c r="AS481" i="1"/>
  <c r="AE506" i="1"/>
  <c r="AF527" i="1"/>
  <c r="AF520" i="1"/>
  <c r="AF512" i="1"/>
  <c r="AM80" i="1"/>
  <c r="AM81" i="1" s="1"/>
  <c r="AM78" i="1"/>
  <c r="AM79" i="1" s="1"/>
  <c r="AI94" i="1"/>
  <c r="AI100" i="1"/>
  <c r="AI104" i="1" s="1"/>
  <c r="AI93" i="1"/>
  <c r="P382" i="1"/>
  <c r="P413" i="1"/>
  <c r="P435" i="1"/>
  <c r="AB402" i="1"/>
  <c r="AB411" i="1"/>
  <c r="AV400" i="1"/>
  <c r="AB433" i="1"/>
  <c r="AB422" i="1"/>
  <c r="K407" i="1"/>
  <c r="O418" i="1"/>
  <c r="K429" i="1"/>
  <c r="AE389" i="1"/>
  <c r="O484" i="1"/>
  <c r="AA450" i="1"/>
  <c r="U519" i="1"/>
  <c r="W527" i="1"/>
  <c r="W512" i="1"/>
  <c r="W520" i="1"/>
  <c r="AA520" i="1"/>
  <c r="U450" i="1"/>
  <c r="AU392" i="1"/>
  <c r="AV392" i="1"/>
  <c r="V382" i="1"/>
  <c r="V455" i="1"/>
  <c r="V391" i="1"/>
  <c r="V484" i="1"/>
  <c r="S380" i="1"/>
  <c r="S389" i="1"/>
  <c r="T380" i="1"/>
  <c r="T455" i="1" s="1"/>
  <c r="T411" i="1"/>
  <c r="T389" i="1"/>
  <c r="AK393" i="1"/>
  <c r="Z414" i="1"/>
  <c r="Z475" i="1"/>
  <c r="AF471" i="1"/>
  <c r="AF415" i="1"/>
  <c r="AF437" i="1"/>
  <c r="AF486" i="1"/>
  <c r="AF457" i="1"/>
  <c r="W433" i="1"/>
  <c r="U423" i="1"/>
  <c r="U412" i="1"/>
  <c r="U434" i="1"/>
  <c r="AP479" i="1"/>
  <c r="AP484" i="1"/>
  <c r="AU447" i="1"/>
  <c r="Y519" i="1"/>
  <c r="Y526" i="1"/>
  <c r="Z422" i="1" l="1"/>
  <c r="Z425" i="1"/>
  <c r="Z424" i="1"/>
  <c r="Z436" i="1"/>
  <c r="AK415" i="1"/>
  <c r="AK471" i="1"/>
  <c r="AK464" i="1"/>
  <c r="X527" i="1"/>
  <c r="AB520" i="1"/>
  <c r="X512" i="1"/>
  <c r="AK426" i="1"/>
  <c r="AD422" i="1"/>
  <c r="AM105" i="1"/>
  <c r="Z411" i="1"/>
  <c r="AU400" i="1"/>
  <c r="AV422" i="1" s="1"/>
  <c r="AW105" i="1"/>
  <c r="AX80" i="1"/>
  <c r="AX81" i="1" s="1"/>
  <c r="AL471" i="1"/>
  <c r="AL437" i="1"/>
  <c r="AL457" i="1"/>
  <c r="AL464" i="1"/>
  <c r="AL486" i="1"/>
  <c r="AL415" i="1"/>
  <c r="I382" i="1"/>
  <c r="I413" i="1"/>
  <c r="I435" i="1"/>
  <c r="I484" i="1"/>
  <c r="I455" i="1"/>
  <c r="AH114" i="1"/>
  <c r="AH113" i="1"/>
  <c r="J435" i="1"/>
  <c r="AT391" i="1"/>
  <c r="H382" i="1"/>
  <c r="H413" i="1"/>
  <c r="H484" i="1"/>
  <c r="AW391" i="1"/>
  <c r="AT401" i="1"/>
  <c r="AT412" i="1" s="1"/>
  <c r="Z382" i="1"/>
  <c r="AD391" i="1"/>
  <c r="Z413" i="1"/>
  <c r="AR479" i="1"/>
  <c r="AI105" i="1"/>
  <c r="AI112" i="1"/>
  <c r="AQ479" i="1"/>
  <c r="L433" i="1"/>
  <c r="L380" i="1"/>
  <c r="L389" i="1"/>
  <c r="L422" i="1"/>
  <c r="P389" i="1"/>
  <c r="P422" i="1"/>
  <c r="L411" i="1"/>
  <c r="R520" i="1"/>
  <c r="N512" i="1"/>
  <c r="N527" i="1"/>
  <c r="N520" i="1"/>
  <c r="AJ94" i="1"/>
  <c r="AJ100" i="1"/>
  <c r="AJ93" i="1"/>
  <c r="AS410" i="1"/>
  <c r="AS421" i="1"/>
  <c r="AT421" i="1"/>
  <c r="AU421" i="1"/>
  <c r="AV421" i="1"/>
  <c r="AU410" i="1"/>
  <c r="O415" i="1"/>
  <c r="O464" i="1"/>
  <c r="O471" i="1"/>
  <c r="O486" i="1"/>
  <c r="O457" i="1"/>
  <c r="AX389" i="1"/>
  <c r="AX411" i="1"/>
  <c r="AD425" i="1"/>
  <c r="AD414" i="1"/>
  <c r="AH425" i="1"/>
  <c r="AD475" i="1"/>
  <c r="AM382" i="1"/>
  <c r="AM435" i="1"/>
  <c r="AM455" i="1"/>
  <c r="AM391" i="1"/>
  <c r="AM424" i="1"/>
  <c r="AM413" i="1"/>
  <c r="AM484" i="1"/>
  <c r="AW481" i="1"/>
  <c r="AX380" i="1"/>
  <c r="AJ391" i="1"/>
  <c r="AJ413" i="1"/>
  <c r="AJ382" i="1"/>
  <c r="AJ455" i="1"/>
  <c r="AJ435" i="1"/>
  <c r="AK435" i="1"/>
  <c r="AJ484" i="1"/>
  <c r="AS445" i="1"/>
  <c r="AS455" i="1"/>
  <c r="N389" i="1"/>
  <c r="R422" i="1"/>
  <c r="N411" i="1"/>
  <c r="N380" i="1"/>
  <c r="N422" i="1"/>
  <c r="O433" i="1"/>
  <c r="R389" i="1"/>
  <c r="Y433" i="1"/>
  <c r="Z433" i="1"/>
  <c r="Y422" i="1"/>
  <c r="Y411" i="1"/>
  <c r="Y401" i="1"/>
  <c r="AA413" i="1"/>
  <c r="AA424" i="1"/>
  <c r="AA435" i="1"/>
  <c r="AA403" i="1"/>
  <c r="AU402" i="1"/>
  <c r="AG414" i="1"/>
  <c r="AK425" i="1"/>
  <c r="AH436" i="1"/>
  <c r="M422" i="1"/>
  <c r="Q422" i="1"/>
  <c r="M398" i="1"/>
  <c r="M411" i="1"/>
  <c r="M433" i="1"/>
  <c r="N433" i="1"/>
  <c r="AR400" i="1"/>
  <c r="W519" i="1"/>
  <c r="W526" i="1"/>
  <c r="AA519" i="1"/>
  <c r="S382" i="1"/>
  <c r="AS382" i="1" s="1"/>
  <c r="S391" i="1"/>
  <c r="S455" i="1"/>
  <c r="S484" i="1"/>
  <c r="S435" i="1"/>
  <c r="S413" i="1"/>
  <c r="S424" i="1"/>
  <c r="AV411" i="1"/>
  <c r="AF519" i="1"/>
  <c r="AF526" i="1"/>
  <c r="AP457" i="1"/>
  <c r="AP486" i="1"/>
  <c r="AP464" i="1"/>
  <c r="AP471" i="1"/>
  <c r="AP415" i="1"/>
  <c r="T526" i="1"/>
  <c r="T519" i="1"/>
  <c r="P418" i="1"/>
  <c r="L407" i="1"/>
  <c r="L429" i="1"/>
  <c r="L418" i="1"/>
  <c r="AH424" i="1"/>
  <c r="S411" i="1"/>
  <c r="S422" i="1"/>
  <c r="AS400" i="1"/>
  <c r="S433" i="1"/>
  <c r="T433" i="1"/>
  <c r="W422" i="1"/>
  <c r="S401" i="1"/>
  <c r="AR380" i="1"/>
  <c r="AS391" i="1" s="1"/>
  <c r="AR389" i="1"/>
  <c r="AQ445" i="1"/>
  <c r="AO380" i="1"/>
  <c r="AO411" i="1"/>
  <c r="AP389" i="1"/>
  <c r="AP422" i="1"/>
  <c r="U426" i="1"/>
  <c r="Q415" i="1"/>
  <c r="Q437" i="1"/>
  <c r="Q457" i="1"/>
  <c r="Q464" i="1"/>
  <c r="Q486" i="1"/>
  <c r="U393" i="1"/>
  <c r="Q471" i="1"/>
  <c r="M380" i="1"/>
  <c r="M389" i="1"/>
  <c r="Q389" i="1"/>
  <c r="J415" i="1"/>
  <c r="J486" i="1"/>
  <c r="J471" i="1"/>
  <c r="J457" i="1"/>
  <c r="J464" i="1"/>
  <c r="AC413" i="1"/>
  <c r="AC403" i="1"/>
  <c r="AG425" i="1" s="1"/>
  <c r="AC424" i="1"/>
  <c r="AC435" i="1"/>
  <c r="AW411" i="1"/>
  <c r="AW422" i="1"/>
  <c r="AX422" i="1"/>
  <c r="AF413" i="1"/>
  <c r="AF424" i="1"/>
  <c r="AJ424" i="1"/>
  <c r="AW402" i="1"/>
  <c r="AF435" i="1"/>
  <c r="AF403" i="1"/>
  <c r="AT445" i="1"/>
  <c r="AT455" i="1"/>
  <c r="AH382" i="1"/>
  <c r="AH391" i="1"/>
  <c r="AL391" i="1"/>
  <c r="AH413" i="1"/>
  <c r="AL424" i="1"/>
  <c r="AH455" i="1"/>
  <c r="AH484" i="1"/>
  <c r="AQ396" i="1"/>
  <c r="H407" i="1"/>
  <c r="I429" i="1"/>
  <c r="AE424" i="1"/>
  <c r="AC422" i="1"/>
  <c r="AI382" i="1"/>
  <c r="AI391" i="1"/>
  <c r="AI413" i="1"/>
  <c r="AI435" i="1"/>
  <c r="AI455" i="1"/>
  <c r="AI484" i="1"/>
  <c r="AG424" i="1"/>
  <c r="AW423" i="1"/>
  <c r="AX423" i="1"/>
  <c r="AW412" i="1"/>
  <c r="O389" i="1"/>
  <c r="K433" i="1"/>
  <c r="K380" i="1"/>
  <c r="O422" i="1"/>
  <c r="K411" i="1"/>
  <c r="AS520" i="1"/>
  <c r="AS527" i="1"/>
  <c r="AT520" i="1"/>
  <c r="X519" i="1"/>
  <c r="AT479" i="1"/>
  <c r="AT484" i="1"/>
  <c r="AR445" i="1"/>
  <c r="AQ409" i="1"/>
  <c r="AQ420" i="1"/>
  <c r="AE519" i="1"/>
  <c r="AE526" i="1"/>
  <c r="S526" i="1"/>
  <c r="S519" i="1"/>
  <c r="AS389" i="1"/>
  <c r="AV402" i="1"/>
  <c r="AB413" i="1"/>
  <c r="AB424" i="1"/>
  <c r="AB435" i="1"/>
  <c r="AB403" i="1"/>
  <c r="R415" i="1"/>
  <c r="R437" i="1"/>
  <c r="R457" i="1"/>
  <c r="R486" i="1"/>
  <c r="R464" i="1"/>
  <c r="R471" i="1"/>
  <c r="V519" i="1"/>
  <c r="V526" i="1"/>
  <c r="Z519" i="1"/>
  <c r="AI424" i="1"/>
  <c r="AU391" i="1"/>
  <c r="AV391" i="1"/>
  <c r="AT413" i="1"/>
  <c r="AT424" i="1"/>
  <c r="J10" i="56"/>
  <c r="Z480" i="1"/>
  <c r="Z485" i="1"/>
  <c r="Z474" i="1"/>
  <c r="AD512" i="1"/>
  <c r="AD520" i="1"/>
  <c r="AD527" i="1"/>
  <c r="O10" i="56"/>
  <c r="AI480" i="1"/>
  <c r="AE485" i="1"/>
  <c r="AE474" i="1"/>
  <c r="T382" i="1"/>
  <c r="T424" i="1"/>
  <c r="T391" i="1"/>
  <c r="T413" i="1"/>
  <c r="X424" i="1"/>
  <c r="T484" i="1"/>
  <c r="T435" i="1"/>
  <c r="U435" i="1"/>
  <c r="X391" i="1"/>
  <c r="V393" i="1"/>
  <c r="V437" i="1"/>
  <c r="V457" i="1"/>
  <c r="V464" i="1"/>
  <c r="V486" i="1"/>
  <c r="V415" i="1"/>
  <c r="V426" i="1"/>
  <c r="V471" i="1"/>
  <c r="P415" i="1"/>
  <c r="P464" i="1"/>
  <c r="P471" i="1"/>
  <c r="P437" i="1"/>
  <c r="P457" i="1"/>
  <c r="P486" i="1"/>
  <c r="AA382" i="1"/>
  <c r="AA391" i="1"/>
  <c r="AE391" i="1"/>
  <c r="AE436" i="1"/>
  <c r="AS479" i="1"/>
  <c r="AS484" i="1"/>
  <c r="W382" i="1"/>
  <c r="X435" i="1"/>
  <c r="W424" i="1"/>
  <c r="W391" i="1"/>
  <c r="W413" i="1"/>
  <c r="W455" i="1"/>
  <c r="O526" i="1"/>
  <c r="O519" i="1"/>
  <c r="V412" i="1"/>
  <c r="V434" i="1"/>
  <c r="V423" i="1"/>
  <c r="Z423" i="1"/>
  <c r="Y391" i="1"/>
  <c r="Y435" i="1"/>
  <c r="Z435" i="1"/>
  <c r="Y382" i="1"/>
  <c r="Y424" i="1"/>
  <c r="Y413" i="1"/>
  <c r="AC391" i="1"/>
  <c r="AB391" i="1"/>
  <c r="AB382" i="1"/>
  <c r="AF391" i="1"/>
  <c r="AP407" i="1"/>
  <c r="AP418" i="1"/>
  <c r="AQ380" i="1"/>
  <c r="AQ455" i="1" s="1"/>
  <c r="AQ389" i="1"/>
  <c r="AU411" i="1" l="1"/>
  <c r="AU422" i="1"/>
  <c r="AB519" i="1"/>
  <c r="X526" i="1"/>
  <c r="AD436" i="1"/>
  <c r="AQ484" i="1"/>
  <c r="H415" i="1"/>
  <c r="H457" i="1"/>
  <c r="H471" i="1"/>
  <c r="H486" i="1"/>
  <c r="H464" i="1"/>
  <c r="I486" i="1"/>
  <c r="I464" i="1"/>
  <c r="I457" i="1"/>
  <c r="I415" i="1"/>
  <c r="I437" i="1"/>
  <c r="I471" i="1"/>
  <c r="Z415" i="1"/>
  <c r="Z486" i="1"/>
  <c r="Z464" i="1"/>
  <c r="Z457" i="1"/>
  <c r="Z471" i="1"/>
  <c r="AD393" i="1"/>
  <c r="AD426" i="1"/>
  <c r="Z393" i="1"/>
  <c r="Z426" i="1"/>
  <c r="J437" i="1"/>
  <c r="AB393" i="1"/>
  <c r="AV382" i="1"/>
  <c r="AB471" i="1"/>
  <c r="AB437" i="1"/>
  <c r="AB426" i="1"/>
  <c r="AB464" i="1"/>
  <c r="AB415" i="1"/>
  <c r="AF426" i="1"/>
  <c r="AB457" i="1"/>
  <c r="AB486" i="1"/>
  <c r="AF393" i="1"/>
  <c r="AC437" i="1"/>
  <c r="AF414" i="1"/>
  <c r="AF475" i="1"/>
  <c r="AF425" i="1"/>
  <c r="AF436" i="1"/>
  <c r="AJ425" i="1"/>
  <c r="AW403" i="1"/>
  <c r="AA437" i="1"/>
  <c r="AA426" i="1"/>
  <c r="AA393" i="1"/>
  <c r="AA415" i="1"/>
  <c r="AA486" i="1"/>
  <c r="AA471" i="1"/>
  <c r="AA457" i="1"/>
  <c r="AA464" i="1"/>
  <c r="AE393" i="1"/>
  <c r="AE426" i="1"/>
  <c r="Y412" i="1"/>
  <c r="Y434" i="1"/>
  <c r="Z434" i="1"/>
  <c r="Y423" i="1"/>
  <c r="AC423" i="1"/>
  <c r="AU401" i="1"/>
  <c r="N526" i="1"/>
  <c r="N519" i="1"/>
  <c r="R519" i="1"/>
  <c r="AW413" i="1"/>
  <c r="AW424" i="1"/>
  <c r="AX424" i="1"/>
  <c r="N10" i="56"/>
  <c r="O15" i="56" s="1"/>
  <c r="AD474" i="1"/>
  <c r="AD480" i="1"/>
  <c r="AH480" i="1"/>
  <c r="AD485" i="1"/>
  <c r="AJ393" i="1"/>
  <c r="AJ415" i="1"/>
  <c r="AJ437" i="1"/>
  <c r="AJ426" i="1"/>
  <c r="AJ464" i="1"/>
  <c r="AX382" i="1"/>
  <c r="AJ471" i="1"/>
  <c r="AK437" i="1"/>
  <c r="AJ486" i="1"/>
  <c r="AJ457" i="1"/>
  <c r="AQ407" i="1"/>
  <c r="AQ418" i="1"/>
  <c r="AO382" i="1"/>
  <c r="AO413" i="1"/>
  <c r="AO484" i="1"/>
  <c r="AO455" i="1"/>
  <c r="AP391" i="1"/>
  <c r="AP424" i="1"/>
  <c r="AI415" i="1"/>
  <c r="AI393" i="1"/>
  <c r="AI426" i="1"/>
  <c r="AI464" i="1"/>
  <c r="AI471" i="1"/>
  <c r="AI437" i="1"/>
  <c r="AI457" i="1"/>
  <c r="AI486" i="1"/>
  <c r="Z479" i="1"/>
  <c r="Z484" i="1"/>
  <c r="M382" i="1"/>
  <c r="M391" i="1"/>
  <c r="M484" i="1"/>
  <c r="M455" i="1"/>
  <c r="Q391" i="1"/>
  <c r="M413" i="1"/>
  <c r="Q424" i="1"/>
  <c r="M424" i="1"/>
  <c r="M435" i="1"/>
  <c r="AG436" i="1"/>
  <c r="AX391" i="1"/>
  <c r="AX413" i="1"/>
  <c r="L382" i="1"/>
  <c r="L391" i="1"/>
  <c r="L413" i="1"/>
  <c r="L424" i="1"/>
  <c r="L435" i="1"/>
  <c r="P391" i="1"/>
  <c r="P424" i="1"/>
  <c r="L455" i="1"/>
  <c r="L484" i="1"/>
  <c r="AV413" i="1"/>
  <c r="AV424" i="1"/>
  <c r="AD519" i="1"/>
  <c r="AD526" i="1"/>
  <c r="W393" i="1"/>
  <c r="W426" i="1"/>
  <c r="W437" i="1"/>
  <c r="W457" i="1"/>
  <c r="W471" i="1"/>
  <c r="W415" i="1"/>
  <c r="W464" i="1"/>
  <c r="W486" i="1"/>
  <c r="X437" i="1"/>
  <c r="AS415" i="1"/>
  <c r="AS486" i="1"/>
  <c r="AS471" i="1"/>
  <c r="AS457" i="1"/>
  <c r="AS464" i="1"/>
  <c r="N382" i="1"/>
  <c r="N391" i="1"/>
  <c r="N424" i="1"/>
  <c r="N413" i="1"/>
  <c r="N455" i="1"/>
  <c r="N484" i="1"/>
  <c r="N435" i="1"/>
  <c r="O435" i="1"/>
  <c r="R391" i="1"/>
  <c r="R424" i="1"/>
  <c r="Y437" i="1"/>
  <c r="Y457" i="1"/>
  <c r="Z437" i="1"/>
  <c r="Y393" i="1"/>
  <c r="Y415" i="1"/>
  <c r="Y464" i="1"/>
  <c r="Y471" i="1"/>
  <c r="Y486" i="1"/>
  <c r="Y426" i="1"/>
  <c r="AC426" i="1"/>
  <c r="AC393" i="1"/>
  <c r="AU382" i="1"/>
  <c r="AR391" i="1"/>
  <c r="AS424" i="1"/>
  <c r="M396" i="1"/>
  <c r="M409" i="1"/>
  <c r="M420" i="1"/>
  <c r="Q420" i="1"/>
  <c r="M431" i="1"/>
  <c r="N431" i="1"/>
  <c r="AR398" i="1"/>
  <c r="AR455" i="1"/>
  <c r="AS401" i="1"/>
  <c r="S423" i="1"/>
  <c r="S412" i="1"/>
  <c r="S434" i="1"/>
  <c r="T434" i="1"/>
  <c r="W423" i="1"/>
  <c r="S393" i="1"/>
  <c r="S415" i="1"/>
  <c r="S437" i="1"/>
  <c r="S457" i="1"/>
  <c r="S471" i="1"/>
  <c r="S486" i="1"/>
  <c r="S426" i="1"/>
  <c r="S464" i="1"/>
  <c r="AU424" i="1"/>
  <c r="AU413" i="1"/>
  <c r="AI114" i="1"/>
  <c r="AW114" i="1" s="1"/>
  <c r="AW112" i="1"/>
  <c r="AI113" i="1"/>
  <c r="AW113" i="1" s="1"/>
  <c r="AM415" i="1"/>
  <c r="AM393" i="1"/>
  <c r="AM426" i="1"/>
  <c r="AM457" i="1"/>
  <c r="AM464" i="1"/>
  <c r="AM437" i="1"/>
  <c r="AM471" i="1"/>
  <c r="AM486" i="1"/>
  <c r="K382" i="1"/>
  <c r="K435" i="1"/>
  <c r="K455" i="1"/>
  <c r="K413" i="1"/>
  <c r="K484" i="1"/>
  <c r="O391" i="1"/>
  <c r="O424" i="1"/>
  <c r="J15" i="56"/>
  <c r="J9" i="56"/>
  <c r="J14" i="56" s="1"/>
  <c r="AQ391" i="1"/>
  <c r="AQ424" i="1"/>
  <c r="AQ413" i="1"/>
  <c r="AR413" i="1"/>
  <c r="T393" i="1"/>
  <c r="T415" i="1"/>
  <c r="AT382" i="1"/>
  <c r="T437" i="1"/>
  <c r="U437" i="1"/>
  <c r="T464" i="1"/>
  <c r="T471" i="1"/>
  <c r="T486" i="1"/>
  <c r="T426" i="1"/>
  <c r="T457" i="1"/>
  <c r="X393" i="1"/>
  <c r="X426" i="1"/>
  <c r="AH393" i="1"/>
  <c r="AH415" i="1"/>
  <c r="AL426" i="1"/>
  <c r="AH426" i="1"/>
  <c r="AH464" i="1"/>
  <c r="AH471" i="1"/>
  <c r="AH437" i="1"/>
  <c r="AH457" i="1"/>
  <c r="AL393" i="1"/>
  <c r="AW382" i="1"/>
  <c r="AH486" i="1"/>
  <c r="AC425" i="1"/>
  <c r="AC436" i="1"/>
  <c r="AC414" i="1"/>
  <c r="AA425" i="1"/>
  <c r="AA436" i="1"/>
  <c r="AA414" i="1"/>
  <c r="AA475" i="1"/>
  <c r="Z20" i="216"/>
  <c r="W20" i="216"/>
  <c r="X20" i="216"/>
  <c r="T20" i="216"/>
  <c r="U20" i="216"/>
  <c r="V20" i="216"/>
  <c r="Y20" i="216"/>
  <c r="AU403" i="1"/>
  <c r="AE425" i="1"/>
  <c r="O9" i="56"/>
  <c r="AJ104" i="1"/>
  <c r="AJ105" i="1" s="1"/>
  <c r="AE484" i="1"/>
  <c r="AI479" i="1"/>
  <c r="AB425" i="1"/>
  <c r="AB436" i="1"/>
  <c r="AB414" i="1"/>
  <c r="AV403" i="1"/>
  <c r="AB475" i="1"/>
  <c r="AR424" i="1"/>
  <c r="AS422" i="1"/>
  <c r="AS411" i="1"/>
  <c r="AT422" i="1"/>
  <c r="AR411" i="1"/>
  <c r="AR422" i="1"/>
  <c r="AR484" i="1"/>
  <c r="M393" i="1" l="1"/>
  <c r="M471" i="1"/>
  <c r="M486" i="1"/>
  <c r="M464" i="1"/>
  <c r="M457" i="1"/>
  <c r="M437" i="1"/>
  <c r="M426" i="1"/>
  <c r="M415" i="1"/>
  <c r="Q426" i="1"/>
  <c r="Q393" i="1"/>
  <c r="P10" i="56"/>
  <c r="AF480" i="1"/>
  <c r="AF474" i="1"/>
  <c r="AJ480" i="1"/>
  <c r="AF485" i="1"/>
  <c r="N393" i="1"/>
  <c r="N464" i="1"/>
  <c r="N457" i="1"/>
  <c r="N426" i="1"/>
  <c r="N415" i="1"/>
  <c r="N437" i="1"/>
  <c r="N471" i="1"/>
  <c r="N486" i="1"/>
  <c r="R393" i="1"/>
  <c r="R426" i="1"/>
  <c r="O437" i="1"/>
  <c r="AJ112" i="1"/>
  <c r="AO415" i="1"/>
  <c r="AO464" i="1"/>
  <c r="AO471" i="1"/>
  <c r="AO457" i="1"/>
  <c r="AO486" i="1"/>
  <c r="AP426" i="1"/>
  <c r="AP393" i="1"/>
  <c r="AD484" i="1"/>
  <c r="AD479" i="1"/>
  <c r="AH479" i="1"/>
  <c r="AU425" i="1"/>
  <c r="AU414" i="1"/>
  <c r="AR409" i="1"/>
  <c r="AR420" i="1"/>
  <c r="AS420" i="1"/>
  <c r="N9" i="56"/>
  <c r="AW393" i="1"/>
  <c r="AW457" i="1"/>
  <c r="AW415" i="1"/>
  <c r="AW471" i="1"/>
  <c r="AW426" i="1"/>
  <c r="AW464" i="1"/>
  <c r="AW486" i="1"/>
  <c r="L10" i="56"/>
  <c r="AB480" i="1"/>
  <c r="AB485" i="1"/>
  <c r="AB474" i="1"/>
  <c r="K437" i="1"/>
  <c r="K415" i="1"/>
  <c r="K486" i="1"/>
  <c r="K464" i="1"/>
  <c r="K471" i="1"/>
  <c r="K457" i="1"/>
  <c r="AQ382" i="1"/>
  <c r="O393" i="1"/>
  <c r="O426" i="1"/>
  <c r="AU415" i="1"/>
  <c r="AU393" i="1"/>
  <c r="AU457" i="1"/>
  <c r="AU471" i="1"/>
  <c r="AU486" i="1"/>
  <c r="AU426" i="1"/>
  <c r="AU464" i="1"/>
  <c r="AR382" i="1"/>
  <c r="L393" i="1"/>
  <c r="L437" i="1"/>
  <c r="L426" i="1"/>
  <c r="L415" i="1"/>
  <c r="L471" i="1"/>
  <c r="L457" i="1"/>
  <c r="L464" i="1"/>
  <c r="L486" i="1"/>
  <c r="P426" i="1"/>
  <c r="P393" i="1"/>
  <c r="AS412" i="1"/>
  <c r="AS423" i="1"/>
  <c r="AT423" i="1"/>
  <c r="Q418" i="1"/>
  <c r="M407" i="1"/>
  <c r="M429" i="1"/>
  <c r="N429" i="1"/>
  <c r="M418" i="1"/>
  <c r="AR396" i="1"/>
  <c r="AX393" i="1"/>
  <c r="AX415" i="1"/>
  <c r="AX471" i="1"/>
  <c r="AX426" i="1"/>
  <c r="AX464" i="1"/>
  <c r="AU412" i="1"/>
  <c r="AU423" i="1"/>
  <c r="AV423" i="1"/>
  <c r="AW414" i="1"/>
  <c r="AW425" i="1"/>
  <c r="AX425" i="1"/>
  <c r="AV393" i="1"/>
  <c r="AV471" i="1"/>
  <c r="AV486" i="1"/>
  <c r="AV426" i="1"/>
  <c r="AV415" i="1"/>
  <c r="AV464" i="1"/>
  <c r="AV457" i="1"/>
  <c r="AV425" i="1"/>
  <c r="AV414" i="1"/>
  <c r="AT393" i="1"/>
  <c r="AT464" i="1"/>
  <c r="AT457" i="1"/>
  <c r="AT426" i="1"/>
  <c r="AT415" i="1"/>
  <c r="AT486" i="1"/>
  <c r="AT471" i="1"/>
  <c r="K10" i="56"/>
  <c r="AA480" i="1"/>
  <c r="AA485" i="1"/>
  <c r="AA474" i="1"/>
  <c r="AE480" i="1"/>
  <c r="AR393" i="1" l="1"/>
  <c r="AR471" i="1"/>
  <c r="AR426" i="1"/>
  <c r="AR415" i="1"/>
  <c r="AR464" i="1"/>
  <c r="AR486" i="1"/>
  <c r="AR457" i="1"/>
  <c r="AS393" i="1"/>
  <c r="AS426" i="1"/>
  <c r="AJ114" i="1"/>
  <c r="AJ113" i="1"/>
  <c r="AB484" i="1"/>
  <c r="AB479" i="1"/>
  <c r="O14" i="56"/>
  <c r="L15" i="56"/>
  <c r="L9" i="56"/>
  <c r="P15" i="56"/>
  <c r="P9" i="56"/>
  <c r="P14" i="56" s="1"/>
  <c r="AA484" i="1"/>
  <c r="AA479" i="1"/>
  <c r="AE479" i="1"/>
  <c r="K15" i="56"/>
  <c r="K9" i="56"/>
  <c r="K14" i="56" s="1"/>
  <c r="AF479" i="1"/>
  <c r="AF484" i="1"/>
  <c r="AJ479" i="1"/>
  <c r="AR407" i="1"/>
  <c r="AR418" i="1"/>
  <c r="AS418" i="1"/>
  <c r="AQ393" i="1"/>
  <c r="AQ426" i="1"/>
  <c r="AQ486" i="1"/>
  <c r="AQ415" i="1"/>
  <c r="AQ471" i="1"/>
  <c r="AQ464" i="1"/>
  <c r="AQ457" i="1"/>
  <c r="M36" i="278"/>
  <c r="M24" i="278" s="1"/>
  <c r="L14" i="56" l="1"/>
  <c r="N36" i="278"/>
  <c r="N24" i="278" s="1"/>
  <c r="AW541" i="1"/>
  <c r="AW542" i="1" s="1"/>
  <c r="L542" i="1"/>
  <c r="M542" i="1"/>
  <c r="N542" i="1"/>
  <c r="O542" i="1"/>
  <c r="P542" i="1"/>
  <c r="Q542" i="1"/>
  <c r="R542" i="1"/>
  <c r="S542" i="1"/>
  <c r="T542" i="1"/>
  <c r="U542" i="1"/>
  <c r="V542" i="1"/>
  <c r="W542" i="1"/>
  <c r="X542" i="1"/>
  <c r="Y542" i="1"/>
  <c r="Z542" i="1"/>
  <c r="AA542" i="1"/>
  <c r="AB542" i="1"/>
  <c r="AC542" i="1"/>
  <c r="AD542" i="1"/>
  <c r="AE542" i="1"/>
  <c r="AF542" i="1"/>
  <c r="AG542" i="1"/>
  <c r="AH542" i="1"/>
  <c r="AI542" i="1"/>
  <c r="AJ542" i="1"/>
  <c r="AK542" i="1"/>
  <c r="AL542" i="1"/>
  <c r="AM542" i="1"/>
  <c r="AP542" i="1"/>
  <c r="AQ542" i="1"/>
  <c r="AR542" i="1"/>
  <c r="AS542" i="1"/>
  <c r="AT542" i="1"/>
  <c r="AU542" i="1"/>
  <c r="I543" i="1"/>
  <c r="J543" i="1"/>
  <c r="K543" i="1"/>
  <c r="L543" i="1"/>
  <c r="M543" i="1"/>
  <c r="N543" i="1"/>
  <c r="O543" i="1"/>
  <c r="P543" i="1"/>
  <c r="Q543" i="1"/>
  <c r="R543" i="1"/>
  <c r="S543" i="1"/>
  <c r="T543" i="1"/>
  <c r="U543" i="1"/>
  <c r="V543" i="1"/>
  <c r="W543" i="1"/>
  <c r="X543" i="1"/>
  <c r="Y543" i="1"/>
  <c r="Z543" i="1"/>
  <c r="AA543" i="1"/>
  <c r="AB543" i="1"/>
  <c r="AC543" i="1"/>
  <c r="AD543" i="1"/>
  <c r="AE543" i="1"/>
  <c r="AF543" i="1"/>
  <c r="AG543" i="1"/>
  <c r="AH543" i="1"/>
  <c r="AI543" i="1"/>
  <c r="AJ543" i="1"/>
  <c r="AK543" i="1"/>
  <c r="AL543" i="1"/>
  <c r="AM543" i="1"/>
  <c r="AV556" i="1"/>
  <c r="AV564" i="1"/>
  <c r="AV566" i="1"/>
  <c r="AV572" i="1"/>
  <c r="AV575" i="1"/>
  <c r="AV576" i="1"/>
  <c r="AV577" i="1"/>
  <c r="AV578" i="1"/>
  <c r="H580" i="1"/>
  <c r="I580" i="1"/>
  <c r="J580" i="1"/>
  <c r="K580" i="1"/>
  <c r="L580" i="1"/>
  <c r="M580" i="1"/>
  <c r="N580" i="1"/>
  <c r="O580" i="1"/>
  <c r="P580" i="1"/>
  <c r="Q580" i="1"/>
  <c r="R580" i="1"/>
  <c r="S580" i="1"/>
  <c r="T580" i="1"/>
  <c r="U580" i="1"/>
  <c r="V580" i="1"/>
  <c r="W580" i="1"/>
  <c r="X580" i="1"/>
  <c r="Y580" i="1"/>
  <c r="Z580" i="1"/>
  <c r="AA580" i="1"/>
  <c r="AB580" i="1"/>
  <c r="AC580" i="1"/>
  <c r="AD580" i="1"/>
  <c r="AE580" i="1"/>
  <c r="AF580" i="1"/>
  <c r="AG580" i="1"/>
  <c r="AO580" i="1"/>
  <c r="AP580" i="1"/>
  <c r="AQ580" i="1"/>
  <c r="AR580" i="1"/>
  <c r="AS580" i="1"/>
  <c r="AT580" i="1"/>
  <c r="AU580" i="1"/>
  <c r="AV580" i="1"/>
  <c r="H581" i="1"/>
  <c r="I581" i="1"/>
  <c r="J581" i="1"/>
  <c r="K581" i="1"/>
  <c r="L581" i="1"/>
  <c r="M581" i="1"/>
  <c r="N581" i="1"/>
  <c r="O581" i="1"/>
  <c r="P581" i="1"/>
  <c r="Q581" i="1"/>
  <c r="R581" i="1"/>
  <c r="S581" i="1"/>
  <c r="T581" i="1"/>
  <c r="U581" i="1"/>
  <c r="V581" i="1"/>
  <c r="W581" i="1"/>
  <c r="X581" i="1"/>
  <c r="Y581" i="1"/>
  <c r="Z581" i="1"/>
  <c r="AA581" i="1"/>
  <c r="AB581" i="1"/>
  <c r="AC581" i="1"/>
  <c r="AD581" i="1"/>
  <c r="AE581" i="1"/>
  <c r="AF581" i="1"/>
  <c r="AG581" i="1"/>
  <c r="AO581" i="1"/>
  <c r="AP581" i="1"/>
  <c r="AQ581" i="1"/>
  <c r="AR581" i="1"/>
  <c r="AS581" i="1"/>
  <c r="AT581" i="1"/>
  <c r="AU581" i="1"/>
  <c r="AV581" i="1"/>
  <c r="H591" i="1"/>
  <c r="H584" i="1" s="1"/>
  <c r="I591" i="1"/>
  <c r="I584" i="1" s="1"/>
  <c r="J591" i="1"/>
  <c r="J584" i="1" s="1"/>
  <c r="K591" i="1"/>
  <c r="K584" i="1" s="1"/>
  <c r="L591" i="1"/>
  <c r="L584" i="1" s="1"/>
  <c r="M591" i="1"/>
  <c r="M584" i="1" s="1"/>
  <c r="N591" i="1"/>
  <c r="N584" i="1"/>
  <c r="O591" i="1"/>
  <c r="O584" i="1" s="1"/>
  <c r="P591" i="1"/>
  <c r="P584" i="1" s="1"/>
  <c r="Q591" i="1"/>
  <c r="Q584" i="1" s="1"/>
  <c r="R591" i="1"/>
  <c r="R584" i="1"/>
  <c r="S591" i="1"/>
  <c r="S584" i="1"/>
  <c r="T591" i="1"/>
  <c r="T584" i="1" s="1"/>
  <c r="U591" i="1"/>
  <c r="U584" i="1" s="1"/>
  <c r="V591" i="1"/>
  <c r="V584" i="1"/>
  <c r="W591" i="1"/>
  <c r="W584" i="1"/>
  <c r="X591" i="1"/>
  <c r="X584" i="1" s="1"/>
  <c r="Y591" i="1"/>
  <c r="Y584" i="1" s="1"/>
  <c r="Z591" i="1"/>
  <c r="Z584" i="1"/>
  <c r="AA591" i="1"/>
  <c r="AA584" i="1"/>
  <c r="AB591" i="1"/>
  <c r="AB584" i="1" s="1"/>
  <c r="AC591" i="1"/>
  <c r="AC584" i="1" s="1"/>
  <c r="AD591" i="1"/>
  <c r="AD584" i="1"/>
  <c r="AE591" i="1"/>
  <c r="AE584" i="1"/>
  <c r="AF591" i="1"/>
  <c r="AF584" i="1" s="1"/>
  <c r="AG591" i="1"/>
  <c r="AG584" i="1" s="1"/>
  <c r="AO591" i="1"/>
  <c r="AO584" i="1"/>
  <c r="AP591" i="1"/>
  <c r="AP584" i="1"/>
  <c r="AQ591" i="1"/>
  <c r="AQ584" i="1" s="1"/>
  <c r="AR591" i="1"/>
  <c r="AR584" i="1" s="1"/>
  <c r="AS591" i="1"/>
  <c r="AS584" i="1"/>
  <c r="AT591" i="1"/>
  <c r="AT584" i="1"/>
  <c r="AU591" i="1"/>
  <c r="AU584" i="1" s="1"/>
  <c r="AV591" i="1"/>
  <c r="H592" i="1"/>
  <c r="H585" i="1"/>
  <c r="I592" i="1"/>
  <c r="I585" i="1"/>
  <c r="J592" i="1"/>
  <c r="J585" i="1" s="1"/>
  <c r="K592" i="1"/>
  <c r="K585" i="1" s="1"/>
  <c r="L592" i="1"/>
  <c r="L585" i="1"/>
  <c r="M592" i="1"/>
  <c r="M585" i="1"/>
  <c r="N592" i="1"/>
  <c r="N585" i="1" s="1"/>
  <c r="O592" i="1"/>
  <c r="O585" i="1" s="1"/>
  <c r="P592" i="1"/>
  <c r="P585" i="1"/>
  <c r="Q592" i="1"/>
  <c r="Q585" i="1"/>
  <c r="R592" i="1"/>
  <c r="R585" i="1" s="1"/>
  <c r="S592" i="1"/>
  <c r="S585" i="1" s="1"/>
  <c r="T592" i="1"/>
  <c r="T585" i="1"/>
  <c r="U592" i="1"/>
  <c r="U585" i="1"/>
  <c r="V592" i="1"/>
  <c r="V585" i="1" s="1"/>
  <c r="W592" i="1"/>
  <c r="W585" i="1" s="1"/>
  <c r="X592" i="1"/>
  <c r="X585" i="1"/>
  <c r="Y592" i="1"/>
  <c r="Y585" i="1"/>
  <c r="Z592" i="1"/>
  <c r="Z585" i="1" s="1"/>
  <c r="AA592" i="1"/>
  <c r="AA585" i="1" s="1"/>
  <c r="AB592" i="1"/>
  <c r="AB585" i="1"/>
  <c r="AC592" i="1"/>
  <c r="AC585" i="1"/>
  <c r="AD592" i="1"/>
  <c r="AD585" i="1" s="1"/>
  <c r="AE592" i="1"/>
  <c r="AE585" i="1" s="1"/>
  <c r="AF592" i="1"/>
  <c r="AF585" i="1"/>
  <c r="AG592" i="1"/>
  <c r="AG585" i="1"/>
  <c r="AO592" i="1"/>
  <c r="AO585" i="1" s="1"/>
  <c r="AP592" i="1"/>
  <c r="AP585" i="1" s="1"/>
  <c r="AQ592" i="1"/>
  <c r="AQ585" i="1"/>
  <c r="AR592" i="1"/>
  <c r="AR585" i="1"/>
  <c r="AS592" i="1"/>
  <c r="AS585" i="1" s="1"/>
  <c r="AT592" i="1"/>
  <c r="AT585" i="1" s="1"/>
  <c r="AU592" i="1"/>
  <c r="AU585" i="1"/>
  <c r="AV592" i="1"/>
  <c r="H602" i="1"/>
  <c r="H605" i="1" s="1"/>
  <c r="I602" i="1"/>
  <c r="J602" i="1"/>
  <c r="K602" i="1"/>
  <c r="L602" i="1"/>
  <c r="M602" i="1"/>
  <c r="N602" i="1"/>
  <c r="N605" i="1" s="1"/>
  <c r="O602" i="1"/>
  <c r="P602" i="1"/>
  <c r="Q602" i="1"/>
  <c r="R602" i="1"/>
  <c r="S602" i="1"/>
  <c r="S605" i="1" s="1"/>
  <c r="T602" i="1"/>
  <c r="U602" i="1"/>
  <c r="U605" i="1" s="1"/>
  <c r="V602" i="1"/>
  <c r="W602" i="1"/>
  <c r="W605" i="1" s="1"/>
  <c r="X602" i="1"/>
  <c r="X605" i="1" s="1"/>
  <c r="Y602" i="1"/>
  <c r="Z602" i="1"/>
  <c r="AA602" i="1"/>
  <c r="AB602" i="1"/>
  <c r="AC602" i="1"/>
  <c r="AD602" i="1"/>
  <c r="AD605" i="1" s="1"/>
  <c r="AE602" i="1"/>
  <c r="AF602" i="1"/>
  <c r="AG602" i="1"/>
  <c r="AO602" i="1"/>
  <c r="AP602" i="1"/>
  <c r="AQ602" i="1"/>
  <c r="AR602" i="1"/>
  <c r="AS602" i="1"/>
  <c r="AT602" i="1"/>
  <c r="AU602" i="1"/>
  <c r="AU605" i="1" s="1"/>
  <c r="H603" i="1"/>
  <c r="I603" i="1"/>
  <c r="J603" i="1"/>
  <c r="K603" i="1"/>
  <c r="L603" i="1"/>
  <c r="M603" i="1"/>
  <c r="N603" i="1"/>
  <c r="O603" i="1"/>
  <c r="P603" i="1"/>
  <c r="Q603" i="1"/>
  <c r="R603" i="1"/>
  <c r="S603" i="1"/>
  <c r="T603" i="1"/>
  <c r="U603" i="1"/>
  <c r="V603" i="1"/>
  <c r="W603" i="1"/>
  <c r="X603" i="1"/>
  <c r="Y603" i="1"/>
  <c r="Z603" i="1"/>
  <c r="AA603" i="1"/>
  <c r="AB603" i="1"/>
  <c r="AC603" i="1"/>
  <c r="AD603" i="1"/>
  <c r="AE603" i="1"/>
  <c r="AF603" i="1"/>
  <c r="AG603" i="1"/>
  <c r="AO603" i="1"/>
  <c r="AP603" i="1"/>
  <c r="AQ603" i="1"/>
  <c r="AR603" i="1"/>
  <c r="AR605" i="1" s="1"/>
  <c r="AS603" i="1"/>
  <c r="AT603" i="1"/>
  <c r="AU603" i="1"/>
  <c r="H604" i="1"/>
  <c r="I604" i="1"/>
  <c r="J604" i="1"/>
  <c r="K604" i="1"/>
  <c r="L604" i="1"/>
  <c r="L605" i="1" s="1"/>
  <c r="M604" i="1"/>
  <c r="N604" i="1"/>
  <c r="O604" i="1"/>
  <c r="P604" i="1"/>
  <c r="Q604" i="1"/>
  <c r="R604" i="1"/>
  <c r="S604" i="1"/>
  <c r="T604" i="1"/>
  <c r="T605" i="1" s="1"/>
  <c r="U604" i="1"/>
  <c r="V604" i="1"/>
  <c r="W604" i="1"/>
  <c r="X604" i="1"/>
  <c r="Y604" i="1"/>
  <c r="Z604" i="1"/>
  <c r="AA604" i="1"/>
  <c r="AB604" i="1"/>
  <c r="AV604" i="1" s="1"/>
  <c r="AC604" i="1"/>
  <c r="AD604" i="1"/>
  <c r="AE604" i="1"/>
  <c r="AF604" i="1"/>
  <c r="AG604" i="1"/>
  <c r="AO604" i="1"/>
  <c r="AP604" i="1"/>
  <c r="AQ604" i="1"/>
  <c r="AQ605" i="1" s="1"/>
  <c r="AR604" i="1"/>
  <c r="AS604" i="1"/>
  <c r="AT604" i="1"/>
  <c r="AU604" i="1"/>
  <c r="I605" i="1"/>
  <c r="J605" i="1"/>
  <c r="K605" i="1"/>
  <c r="R605" i="1"/>
  <c r="Y605" i="1"/>
  <c r="Z605" i="1"/>
  <c r="AA605" i="1"/>
  <c r="AO605" i="1"/>
  <c r="AP605" i="1"/>
  <c r="AT605" i="1"/>
  <c r="AV608" i="1"/>
  <c r="AV609" i="1"/>
  <c r="H622" i="1"/>
  <c r="H621" i="1" s="1"/>
  <c r="I622" i="1"/>
  <c r="I621" i="1"/>
  <c r="J622" i="1"/>
  <c r="J621" i="1" s="1"/>
  <c r="K622" i="1"/>
  <c r="K621" i="1" s="1"/>
  <c r="L622" i="1"/>
  <c r="L621" i="1" s="1"/>
  <c r="M622" i="1"/>
  <c r="M621" i="1" s="1"/>
  <c r="N622" i="1"/>
  <c r="N621" i="1"/>
  <c r="O622" i="1"/>
  <c r="O621" i="1" s="1"/>
  <c r="P622" i="1"/>
  <c r="P621" i="1" s="1"/>
  <c r="Q622" i="1"/>
  <c r="Q621" i="1" s="1"/>
  <c r="R622" i="1"/>
  <c r="R621" i="1"/>
  <c r="S622" i="1"/>
  <c r="S621" i="1" s="1"/>
  <c r="T622" i="1"/>
  <c r="T621" i="1" s="1"/>
  <c r="U622" i="1"/>
  <c r="U621" i="1" s="1"/>
  <c r="V622" i="1"/>
  <c r="V621" i="1"/>
  <c r="W622" i="1"/>
  <c r="W621" i="1" s="1"/>
  <c r="X622" i="1"/>
  <c r="X621" i="1" s="1"/>
  <c r="Y622" i="1"/>
  <c r="Y621" i="1"/>
  <c r="Z622" i="1"/>
  <c r="Z621" i="1" s="1"/>
  <c r="AA622" i="1"/>
  <c r="AA621" i="1" s="1"/>
  <c r="AB622" i="1"/>
  <c r="AB621" i="1" s="1"/>
  <c r="AC622" i="1"/>
  <c r="AC621" i="1"/>
  <c r="AD622" i="1"/>
  <c r="AD621" i="1"/>
  <c r="AE622" i="1"/>
  <c r="AE621" i="1" s="1"/>
  <c r="AF622" i="1"/>
  <c r="AF621" i="1" s="1"/>
  <c r="AG622" i="1"/>
  <c r="AG621" i="1"/>
  <c r="AO622" i="1"/>
  <c r="AO621" i="1"/>
  <c r="AP622" i="1"/>
  <c r="AP621" i="1" s="1"/>
  <c r="AQ622" i="1"/>
  <c r="AQ621" i="1" s="1"/>
  <c r="AR622" i="1"/>
  <c r="AR621" i="1" s="1"/>
  <c r="AS622" i="1"/>
  <c r="AS621" i="1" s="1"/>
  <c r="AT622" i="1"/>
  <c r="AT621" i="1" s="1"/>
  <c r="AU622" i="1"/>
  <c r="AU621" i="1" s="1"/>
  <c r="AV622" i="1"/>
  <c r="AV621" i="1"/>
  <c r="K625" i="1"/>
  <c r="O625" i="1"/>
  <c r="S625" i="1"/>
  <c r="S632" i="1" s="1"/>
  <c r="W625" i="1"/>
  <c r="AA625" i="1"/>
  <c r="AE625" i="1"/>
  <c r="K626" i="1"/>
  <c r="O626" i="1"/>
  <c r="O633" i="1" s="1"/>
  <c r="S626" i="1"/>
  <c r="S633" i="1" s="1"/>
  <c r="W626" i="1"/>
  <c r="AA626" i="1"/>
  <c r="AA633" i="1" s="1"/>
  <c r="AE626" i="1"/>
  <c r="K627" i="1"/>
  <c r="O627" i="1"/>
  <c r="S627" i="1"/>
  <c r="W627" i="1"/>
  <c r="AA627" i="1"/>
  <c r="AE627" i="1"/>
  <c r="AE634" i="1" s="1"/>
  <c r="K628" i="1"/>
  <c r="O628" i="1"/>
  <c r="S628" i="1"/>
  <c r="S635" i="1" s="1"/>
  <c r="W628" i="1"/>
  <c r="AA628" i="1"/>
  <c r="AA635" i="1" s="1"/>
  <c r="AE628" i="1"/>
  <c r="AE635" i="1" s="1"/>
  <c r="H629" i="1"/>
  <c r="L636" i="1" s="1"/>
  <c r="I629" i="1"/>
  <c r="M636" i="1" s="1"/>
  <c r="J629" i="1"/>
  <c r="N636" i="1" s="1"/>
  <c r="AQ629" i="1"/>
  <c r="L629" i="1"/>
  <c r="M629" i="1"/>
  <c r="N629" i="1"/>
  <c r="AR629" i="1"/>
  <c r="O629" i="1"/>
  <c r="P629" i="1"/>
  <c r="P636" i="1" s="1"/>
  <c r="Q629" i="1"/>
  <c r="R629" i="1"/>
  <c r="R636" i="1" s="1"/>
  <c r="AS629" i="1"/>
  <c r="S629" i="1"/>
  <c r="S636" i="1" s="1"/>
  <c r="T629" i="1"/>
  <c r="U629" i="1"/>
  <c r="U636" i="1" s="1"/>
  <c r="V629" i="1"/>
  <c r="V636" i="1" s="1"/>
  <c r="AT629" i="1"/>
  <c r="W629" i="1" s="1"/>
  <c r="W636" i="1" s="1"/>
  <c r="X629" i="1"/>
  <c r="AB636" i="1" s="1"/>
  <c r="Y629" i="1"/>
  <c r="Z629" i="1"/>
  <c r="AU629" i="1"/>
  <c r="AA629" i="1" s="1"/>
  <c r="AB629" i="1"/>
  <c r="AC629" i="1"/>
  <c r="AC636" i="1" s="1"/>
  <c r="AD629" i="1"/>
  <c r="AD636" i="1" s="1"/>
  <c r="AV629" i="1"/>
  <c r="AE629" i="1" s="1"/>
  <c r="AE636" i="1" s="1"/>
  <c r="AF629" i="1"/>
  <c r="AF636" i="1" s="1"/>
  <c r="AG629" i="1"/>
  <c r="AP629" i="1"/>
  <c r="AP636" i="1" s="1"/>
  <c r="L632" i="1"/>
  <c r="M632" i="1"/>
  <c r="N632" i="1"/>
  <c r="O632" i="1"/>
  <c r="P632" i="1"/>
  <c r="Q632" i="1"/>
  <c r="R632" i="1"/>
  <c r="T632" i="1"/>
  <c r="U632" i="1"/>
  <c r="V632" i="1"/>
  <c r="X632" i="1"/>
  <c r="Y632" i="1"/>
  <c r="Z632" i="1"/>
  <c r="AA632" i="1"/>
  <c r="AB632" i="1"/>
  <c r="AC632" i="1"/>
  <c r="AD632" i="1"/>
  <c r="AE632" i="1"/>
  <c r="AF632" i="1"/>
  <c r="AG632" i="1"/>
  <c r="AP632" i="1"/>
  <c r="AQ632" i="1"/>
  <c r="AR632" i="1"/>
  <c r="AS632" i="1"/>
  <c r="AT632" i="1"/>
  <c r="AU632" i="1"/>
  <c r="AV632" i="1"/>
  <c r="L633" i="1"/>
  <c r="M633" i="1"/>
  <c r="N633" i="1"/>
  <c r="P633" i="1"/>
  <c r="Q633" i="1"/>
  <c r="R633" i="1"/>
  <c r="T633" i="1"/>
  <c r="U633" i="1"/>
  <c r="V633" i="1"/>
  <c r="X633" i="1"/>
  <c r="Y633" i="1"/>
  <c r="Z633" i="1"/>
  <c r="AB633" i="1"/>
  <c r="AC633" i="1"/>
  <c r="AD633" i="1"/>
  <c r="AE633" i="1"/>
  <c r="AF633" i="1"/>
  <c r="AG633" i="1"/>
  <c r="AP633" i="1"/>
  <c r="AQ633" i="1"/>
  <c r="AR633" i="1"/>
  <c r="AS633" i="1"/>
  <c r="AT633" i="1"/>
  <c r="AU633" i="1"/>
  <c r="AV633" i="1"/>
  <c r="L634" i="1"/>
  <c r="M634" i="1"/>
  <c r="N634" i="1"/>
  <c r="P634" i="1"/>
  <c r="Q634" i="1"/>
  <c r="R634" i="1"/>
  <c r="S634" i="1"/>
  <c r="T634" i="1"/>
  <c r="U634" i="1"/>
  <c r="V634" i="1"/>
  <c r="W634" i="1"/>
  <c r="X634" i="1"/>
  <c r="Y634" i="1"/>
  <c r="Z634" i="1"/>
  <c r="AA634" i="1"/>
  <c r="AB634" i="1"/>
  <c r="AC634" i="1"/>
  <c r="AD634" i="1"/>
  <c r="AF634" i="1"/>
  <c r="AG634" i="1"/>
  <c r="AP634" i="1"/>
  <c r="AQ634" i="1"/>
  <c r="AR634" i="1"/>
  <c r="AS634" i="1"/>
  <c r="AT634" i="1"/>
  <c r="AU634" i="1"/>
  <c r="AV634" i="1"/>
  <c r="L635" i="1"/>
  <c r="M635" i="1"/>
  <c r="N635" i="1"/>
  <c r="P635" i="1"/>
  <c r="Q635" i="1"/>
  <c r="R635" i="1"/>
  <c r="T635" i="1"/>
  <c r="U635" i="1"/>
  <c r="V635" i="1"/>
  <c r="W635" i="1"/>
  <c r="X635" i="1"/>
  <c r="Y635" i="1"/>
  <c r="Z635" i="1"/>
  <c r="AB635" i="1"/>
  <c r="AC635" i="1"/>
  <c r="AD635" i="1"/>
  <c r="AF635" i="1"/>
  <c r="AG635" i="1"/>
  <c r="AP635" i="1"/>
  <c r="AQ635" i="1"/>
  <c r="AR635" i="1"/>
  <c r="AS635" i="1"/>
  <c r="AT635" i="1"/>
  <c r="AU635" i="1"/>
  <c r="AV635" i="1"/>
  <c r="Q636" i="1"/>
  <c r="AG636" i="1"/>
  <c r="AS636" i="1"/>
  <c r="AT636" i="1"/>
  <c r="H641" i="1"/>
  <c r="I641" i="1"/>
  <c r="J641" i="1"/>
  <c r="K716" i="1"/>
  <c r="K641" i="1" s="1"/>
  <c r="L641" i="1"/>
  <c r="M641" i="1"/>
  <c r="N641" i="1"/>
  <c r="O716" i="1"/>
  <c r="O641" i="1" s="1"/>
  <c r="P641" i="1"/>
  <c r="Q641" i="1"/>
  <c r="R641" i="1"/>
  <c r="S716" i="1"/>
  <c r="S641" i="1" s="1"/>
  <c r="T641" i="1"/>
  <c r="U641" i="1"/>
  <c r="V641" i="1"/>
  <c r="W716" i="1"/>
  <c r="W641" i="1" s="1"/>
  <c r="X641" i="1"/>
  <c r="Y641" i="1"/>
  <c r="Z641" i="1"/>
  <c r="AA716" i="1"/>
  <c r="AA641" i="1"/>
  <c r="AB641" i="1"/>
  <c r="AC641" i="1"/>
  <c r="AD641" i="1"/>
  <c r="AE716" i="1"/>
  <c r="AE641" i="1"/>
  <c r="AF641" i="1"/>
  <c r="AG641" i="1"/>
  <c r="AV641" i="1"/>
  <c r="H642" i="1"/>
  <c r="I642" i="1"/>
  <c r="J642" i="1"/>
  <c r="K717" i="1"/>
  <c r="K642" i="1"/>
  <c r="L642" i="1"/>
  <c r="M642" i="1"/>
  <c r="N642" i="1"/>
  <c r="O717" i="1"/>
  <c r="O642" i="1" s="1"/>
  <c r="P642" i="1"/>
  <c r="Q642" i="1"/>
  <c r="R642" i="1"/>
  <c r="S717" i="1"/>
  <c r="S642" i="1" s="1"/>
  <c r="T642" i="1"/>
  <c r="U642" i="1"/>
  <c r="V642" i="1"/>
  <c r="W717" i="1"/>
  <c r="W642" i="1"/>
  <c r="X642" i="1"/>
  <c r="Y642" i="1"/>
  <c r="Z642" i="1"/>
  <c r="AA717" i="1"/>
  <c r="AA642" i="1" s="1"/>
  <c r="AB642" i="1"/>
  <c r="AC642" i="1"/>
  <c r="AD642" i="1"/>
  <c r="AE717" i="1"/>
  <c r="AE642" i="1" s="1"/>
  <c r="AF642" i="1"/>
  <c r="AG642" i="1"/>
  <c r="H643" i="1"/>
  <c r="I643" i="1"/>
  <c r="J643" i="1"/>
  <c r="K718" i="1"/>
  <c r="K643" i="1"/>
  <c r="L643" i="1"/>
  <c r="M643" i="1"/>
  <c r="N643" i="1"/>
  <c r="O718" i="1"/>
  <c r="O643" i="1"/>
  <c r="P643" i="1"/>
  <c r="Q643" i="1"/>
  <c r="R643" i="1"/>
  <c r="S718" i="1"/>
  <c r="S643" i="1"/>
  <c r="T643" i="1"/>
  <c r="U643" i="1"/>
  <c r="V643" i="1"/>
  <c r="W718" i="1"/>
  <c r="W643" i="1" s="1"/>
  <c r="X643" i="1"/>
  <c r="Y643" i="1"/>
  <c r="Z643" i="1"/>
  <c r="AA718" i="1"/>
  <c r="AA643" i="1" s="1"/>
  <c r="AB643" i="1"/>
  <c r="AC643" i="1"/>
  <c r="AD643" i="1"/>
  <c r="AE718" i="1"/>
  <c r="AE643" i="1" s="1"/>
  <c r="AF643" i="1"/>
  <c r="AG643" i="1"/>
  <c r="AV643" i="1"/>
  <c r="H644" i="1"/>
  <c r="I644" i="1"/>
  <c r="J644" i="1"/>
  <c r="K719" i="1"/>
  <c r="K644" i="1" s="1"/>
  <c r="L644" i="1"/>
  <c r="M644" i="1"/>
  <c r="N644" i="1"/>
  <c r="O719" i="1"/>
  <c r="O644" i="1" s="1"/>
  <c r="P644" i="1"/>
  <c r="Q644" i="1"/>
  <c r="R644" i="1"/>
  <c r="S719" i="1"/>
  <c r="S644" i="1" s="1"/>
  <c r="T644" i="1"/>
  <c r="U644" i="1"/>
  <c r="V644" i="1"/>
  <c r="W719" i="1"/>
  <c r="W644" i="1" s="1"/>
  <c r="X644" i="1"/>
  <c r="Y644" i="1"/>
  <c r="Z644" i="1"/>
  <c r="AA719" i="1"/>
  <c r="AA644" i="1"/>
  <c r="AB644" i="1"/>
  <c r="AC644" i="1"/>
  <c r="AD644" i="1"/>
  <c r="AE719" i="1"/>
  <c r="AE644" i="1" s="1"/>
  <c r="AF644" i="1"/>
  <c r="AG644" i="1"/>
  <c r="AV644" i="1"/>
  <c r="H645" i="1"/>
  <c r="I645" i="1"/>
  <c r="J645" i="1"/>
  <c r="K720" i="1"/>
  <c r="K645" i="1" s="1"/>
  <c r="L645" i="1"/>
  <c r="M645" i="1"/>
  <c r="N645" i="1"/>
  <c r="O720" i="1"/>
  <c r="O645" i="1"/>
  <c r="P645" i="1"/>
  <c r="Q645" i="1"/>
  <c r="R645" i="1"/>
  <c r="S720" i="1"/>
  <c r="S645" i="1"/>
  <c r="T645" i="1"/>
  <c r="U645" i="1"/>
  <c r="V645" i="1"/>
  <c r="W720" i="1"/>
  <c r="W645" i="1" s="1"/>
  <c r="X645" i="1"/>
  <c r="Y645" i="1"/>
  <c r="Z645" i="1"/>
  <c r="AA720" i="1"/>
  <c r="AA645" i="1" s="1"/>
  <c r="AB645" i="1"/>
  <c r="AC645" i="1"/>
  <c r="AD645" i="1"/>
  <c r="AE720" i="1"/>
  <c r="AE645" i="1" s="1"/>
  <c r="AF645" i="1"/>
  <c r="AG645" i="1"/>
  <c r="AV645" i="1"/>
  <c r="H646" i="1"/>
  <c r="I646" i="1"/>
  <c r="J646" i="1"/>
  <c r="K721" i="1"/>
  <c r="K646" i="1" s="1"/>
  <c r="L646" i="1"/>
  <c r="M646" i="1"/>
  <c r="N646" i="1"/>
  <c r="O721" i="1"/>
  <c r="O646" i="1"/>
  <c r="P646" i="1"/>
  <c r="Q646" i="1"/>
  <c r="R646" i="1"/>
  <c r="S721" i="1"/>
  <c r="S646" i="1" s="1"/>
  <c r="T646" i="1"/>
  <c r="U646" i="1"/>
  <c r="V646" i="1"/>
  <c r="W721" i="1"/>
  <c r="W646" i="1"/>
  <c r="X646" i="1"/>
  <c r="Y646" i="1"/>
  <c r="Z646" i="1"/>
  <c r="AA721" i="1"/>
  <c r="AA646" i="1"/>
  <c r="AB646" i="1"/>
  <c r="AC646" i="1"/>
  <c r="AD646" i="1"/>
  <c r="AE721" i="1"/>
  <c r="AE646" i="1" s="1"/>
  <c r="AF646" i="1"/>
  <c r="AG646" i="1"/>
  <c r="AV646" i="1"/>
  <c r="H647" i="1"/>
  <c r="I647" i="1"/>
  <c r="J647" i="1"/>
  <c r="K722" i="1"/>
  <c r="K647" i="1" s="1"/>
  <c r="L647" i="1"/>
  <c r="M647" i="1"/>
  <c r="N647" i="1"/>
  <c r="O722" i="1"/>
  <c r="O647" i="1" s="1"/>
  <c r="P647" i="1"/>
  <c r="Q647" i="1"/>
  <c r="R647" i="1"/>
  <c r="S722" i="1"/>
  <c r="S647" i="1" s="1"/>
  <c r="T647" i="1"/>
  <c r="U647" i="1"/>
  <c r="V647" i="1"/>
  <c r="W722" i="1"/>
  <c r="W647" i="1"/>
  <c r="X647" i="1"/>
  <c r="Y647" i="1"/>
  <c r="Z647" i="1"/>
  <c r="AA722" i="1"/>
  <c r="AA647" i="1" s="1"/>
  <c r="AB647" i="1"/>
  <c r="AC647" i="1"/>
  <c r="AD647" i="1"/>
  <c r="AE722" i="1"/>
  <c r="AE647" i="1" s="1"/>
  <c r="AF647" i="1"/>
  <c r="AG647" i="1"/>
  <c r="AV647" i="1"/>
  <c r="H648" i="1"/>
  <c r="I648" i="1"/>
  <c r="J648" i="1"/>
  <c r="K723" i="1"/>
  <c r="K648" i="1"/>
  <c r="L648" i="1"/>
  <c r="M648" i="1"/>
  <c r="N648" i="1"/>
  <c r="O723" i="1"/>
  <c r="O648" i="1" s="1"/>
  <c r="P648" i="1"/>
  <c r="Q648" i="1"/>
  <c r="R648" i="1"/>
  <c r="S723" i="1"/>
  <c r="S648" i="1"/>
  <c r="T648" i="1"/>
  <c r="U648" i="1"/>
  <c r="V648" i="1"/>
  <c r="W723" i="1"/>
  <c r="W648" i="1" s="1"/>
  <c r="X648" i="1"/>
  <c r="Y648" i="1"/>
  <c r="Z648" i="1"/>
  <c r="AA723" i="1"/>
  <c r="AA648" i="1" s="1"/>
  <c r="AB648" i="1"/>
  <c r="AC648" i="1"/>
  <c r="AD648" i="1"/>
  <c r="AE723" i="1"/>
  <c r="AE648" i="1" s="1"/>
  <c r="AF648" i="1"/>
  <c r="AG648" i="1"/>
  <c r="AV648" i="1"/>
  <c r="H649" i="1"/>
  <c r="I649" i="1"/>
  <c r="J649" i="1"/>
  <c r="K724" i="1"/>
  <c r="K649" i="1" s="1"/>
  <c r="L649" i="1"/>
  <c r="M649" i="1"/>
  <c r="N649" i="1"/>
  <c r="O724" i="1"/>
  <c r="O649" i="1" s="1"/>
  <c r="P649" i="1"/>
  <c r="Q649" i="1"/>
  <c r="R649" i="1"/>
  <c r="S724" i="1"/>
  <c r="S649" i="1"/>
  <c r="T649" i="1"/>
  <c r="U649" i="1"/>
  <c r="V649" i="1"/>
  <c r="W724" i="1"/>
  <c r="W649" i="1" s="1"/>
  <c r="X649" i="1"/>
  <c r="Y649" i="1"/>
  <c r="Z649" i="1"/>
  <c r="AA724" i="1"/>
  <c r="AA649" i="1"/>
  <c r="AB649" i="1"/>
  <c r="AC649" i="1"/>
  <c r="AD649" i="1"/>
  <c r="AE724" i="1"/>
  <c r="AE649" i="1" s="1"/>
  <c r="AF649" i="1"/>
  <c r="AG649" i="1"/>
  <c r="AV649" i="1"/>
  <c r="H650" i="1"/>
  <c r="I650" i="1"/>
  <c r="J650" i="1"/>
  <c r="K725" i="1"/>
  <c r="K650" i="1" s="1"/>
  <c r="L650" i="1"/>
  <c r="M650" i="1"/>
  <c r="N650" i="1"/>
  <c r="O725" i="1"/>
  <c r="O650" i="1"/>
  <c r="P650" i="1"/>
  <c r="Q650" i="1"/>
  <c r="R650" i="1"/>
  <c r="S725" i="1"/>
  <c r="S650" i="1" s="1"/>
  <c r="T650" i="1"/>
  <c r="U650" i="1"/>
  <c r="V650" i="1"/>
  <c r="W725" i="1"/>
  <c r="W650" i="1" s="1"/>
  <c r="X650" i="1"/>
  <c r="Y650" i="1"/>
  <c r="Z650" i="1"/>
  <c r="AA725" i="1"/>
  <c r="AA650" i="1" s="1"/>
  <c r="AB650" i="1"/>
  <c r="AC650" i="1"/>
  <c r="AD650" i="1"/>
  <c r="AE725" i="1"/>
  <c r="AE650" i="1" s="1"/>
  <c r="AF650" i="1"/>
  <c r="AG650" i="1"/>
  <c r="AV650" i="1"/>
  <c r="H651" i="1"/>
  <c r="I651" i="1"/>
  <c r="J651" i="1"/>
  <c r="K726" i="1"/>
  <c r="K651" i="1" s="1"/>
  <c r="L651" i="1"/>
  <c r="M651" i="1"/>
  <c r="N651" i="1"/>
  <c r="O726" i="1"/>
  <c r="O651" i="1" s="1"/>
  <c r="P651" i="1"/>
  <c r="Q651" i="1"/>
  <c r="R651" i="1"/>
  <c r="S726" i="1"/>
  <c r="S651" i="1" s="1"/>
  <c r="T651" i="1"/>
  <c r="U651" i="1"/>
  <c r="V651" i="1"/>
  <c r="W726" i="1"/>
  <c r="W651" i="1" s="1"/>
  <c r="X651" i="1"/>
  <c r="Y651" i="1"/>
  <c r="Z651" i="1"/>
  <c r="AA726" i="1"/>
  <c r="AA651" i="1" s="1"/>
  <c r="AB651" i="1"/>
  <c r="AC651" i="1"/>
  <c r="AD651" i="1"/>
  <c r="AE726" i="1"/>
  <c r="AE651" i="1" s="1"/>
  <c r="AF651" i="1"/>
  <c r="AG651" i="1"/>
  <c r="AV651" i="1"/>
  <c r="H652" i="1"/>
  <c r="I652" i="1"/>
  <c r="J652" i="1"/>
  <c r="K727" i="1"/>
  <c r="K652" i="1" s="1"/>
  <c r="L652" i="1"/>
  <c r="M652" i="1"/>
  <c r="N652" i="1"/>
  <c r="O727" i="1"/>
  <c r="O652" i="1" s="1"/>
  <c r="P652" i="1"/>
  <c r="Q652" i="1"/>
  <c r="R652" i="1"/>
  <c r="S727" i="1"/>
  <c r="S652" i="1"/>
  <c r="T652" i="1"/>
  <c r="U652" i="1"/>
  <c r="V652" i="1"/>
  <c r="W727" i="1"/>
  <c r="W652" i="1"/>
  <c r="X652" i="1"/>
  <c r="Y652" i="1"/>
  <c r="Z652" i="1"/>
  <c r="AA727" i="1"/>
  <c r="AA652" i="1" s="1"/>
  <c r="AB652" i="1"/>
  <c r="AC652" i="1"/>
  <c r="AD652" i="1"/>
  <c r="AE727" i="1"/>
  <c r="AE652" i="1" s="1"/>
  <c r="AF652" i="1"/>
  <c r="AG652" i="1"/>
  <c r="AV652" i="1"/>
  <c r="H653" i="1"/>
  <c r="I653" i="1"/>
  <c r="J653" i="1"/>
  <c r="K728" i="1"/>
  <c r="K653" i="1"/>
  <c r="L653" i="1"/>
  <c r="M653" i="1"/>
  <c r="N653" i="1"/>
  <c r="O728" i="1"/>
  <c r="O653" i="1"/>
  <c r="P653" i="1"/>
  <c r="Q653" i="1"/>
  <c r="R653" i="1"/>
  <c r="S728" i="1"/>
  <c r="S653" i="1" s="1"/>
  <c r="T653" i="1"/>
  <c r="U653" i="1"/>
  <c r="V653" i="1"/>
  <c r="W728" i="1"/>
  <c r="W653" i="1" s="1"/>
  <c r="X653" i="1"/>
  <c r="Y653" i="1"/>
  <c r="Z653" i="1"/>
  <c r="AA728" i="1"/>
  <c r="AA653" i="1" s="1"/>
  <c r="AB653" i="1"/>
  <c r="AC653" i="1"/>
  <c r="AD653" i="1"/>
  <c r="AE728" i="1"/>
  <c r="AE653" i="1" s="1"/>
  <c r="AF653" i="1"/>
  <c r="AG653" i="1"/>
  <c r="AV653" i="1"/>
  <c r="H654" i="1"/>
  <c r="I654" i="1"/>
  <c r="J654" i="1"/>
  <c r="K729" i="1"/>
  <c r="K654" i="1" s="1"/>
  <c r="L654" i="1"/>
  <c r="M654" i="1"/>
  <c r="N654" i="1"/>
  <c r="O729" i="1"/>
  <c r="O654" i="1"/>
  <c r="P654" i="1"/>
  <c r="Q654" i="1"/>
  <c r="R654" i="1"/>
  <c r="S729" i="1"/>
  <c r="S654" i="1" s="1"/>
  <c r="T654" i="1"/>
  <c r="U654" i="1"/>
  <c r="V654" i="1"/>
  <c r="W729" i="1"/>
  <c r="W654" i="1" s="1"/>
  <c r="X654" i="1"/>
  <c r="Y654" i="1"/>
  <c r="Z654" i="1"/>
  <c r="AA729" i="1"/>
  <c r="AA654" i="1"/>
  <c r="AB654" i="1"/>
  <c r="AC654" i="1"/>
  <c r="AD654" i="1"/>
  <c r="AE729" i="1"/>
  <c r="AE654" i="1" s="1"/>
  <c r="AF654" i="1"/>
  <c r="AG654" i="1"/>
  <c r="AV654" i="1"/>
  <c r="H655" i="1"/>
  <c r="I655" i="1"/>
  <c r="J655" i="1"/>
  <c r="K730" i="1"/>
  <c r="K655" i="1"/>
  <c r="L655" i="1"/>
  <c r="M655" i="1"/>
  <c r="N655" i="1"/>
  <c r="O730" i="1"/>
  <c r="O655" i="1" s="1"/>
  <c r="P655" i="1"/>
  <c r="Q655" i="1"/>
  <c r="R655" i="1"/>
  <c r="S730" i="1"/>
  <c r="S655" i="1" s="1"/>
  <c r="T655" i="1"/>
  <c r="U655" i="1"/>
  <c r="V655" i="1"/>
  <c r="W730" i="1"/>
  <c r="W655" i="1" s="1"/>
  <c r="X655" i="1"/>
  <c r="Y655" i="1"/>
  <c r="Z655" i="1"/>
  <c r="AA730" i="1"/>
  <c r="AA655" i="1" s="1"/>
  <c r="AB655" i="1"/>
  <c r="AC655" i="1"/>
  <c r="AD655" i="1"/>
  <c r="AE730" i="1"/>
  <c r="AE655" i="1"/>
  <c r="AF655" i="1"/>
  <c r="AG655" i="1"/>
  <c r="AV655" i="1"/>
  <c r="H657" i="1"/>
  <c r="I657" i="1"/>
  <c r="J657" i="1"/>
  <c r="K732" i="1"/>
  <c r="K657" i="1" s="1"/>
  <c r="L657" i="1"/>
  <c r="M657" i="1"/>
  <c r="N657" i="1"/>
  <c r="O732" i="1"/>
  <c r="O657" i="1" s="1"/>
  <c r="P657" i="1"/>
  <c r="Q657" i="1"/>
  <c r="R657" i="1"/>
  <c r="S732" i="1"/>
  <c r="S657" i="1"/>
  <c r="T657" i="1"/>
  <c r="U657" i="1"/>
  <c r="V657" i="1"/>
  <c r="W732" i="1"/>
  <c r="W657" i="1"/>
  <c r="X657" i="1"/>
  <c r="Y657" i="1"/>
  <c r="Z657" i="1"/>
  <c r="AA732" i="1"/>
  <c r="AA657" i="1" s="1"/>
  <c r="AB657" i="1"/>
  <c r="AC657" i="1"/>
  <c r="AD657" i="1"/>
  <c r="AE732" i="1"/>
  <c r="AE657" i="1" s="1"/>
  <c r="AF657" i="1"/>
  <c r="AG657" i="1"/>
  <c r="AV657" i="1"/>
  <c r="H658" i="1"/>
  <c r="I658" i="1"/>
  <c r="J658" i="1"/>
  <c r="K733" i="1"/>
  <c r="K658" i="1" s="1"/>
  <c r="L658" i="1"/>
  <c r="M658" i="1"/>
  <c r="N658" i="1"/>
  <c r="O733" i="1"/>
  <c r="O658" i="1" s="1"/>
  <c r="P658" i="1"/>
  <c r="Q658" i="1"/>
  <c r="R658" i="1"/>
  <c r="S733" i="1"/>
  <c r="S658" i="1"/>
  <c r="T658" i="1"/>
  <c r="U658" i="1"/>
  <c r="V658" i="1"/>
  <c r="W733" i="1"/>
  <c r="W658" i="1" s="1"/>
  <c r="X658" i="1"/>
  <c r="Y658" i="1"/>
  <c r="Z658" i="1"/>
  <c r="AA733" i="1"/>
  <c r="AA658" i="1" s="1"/>
  <c r="AB658" i="1"/>
  <c r="AC658" i="1"/>
  <c r="AD658" i="1"/>
  <c r="AE733" i="1"/>
  <c r="AE658" i="1" s="1"/>
  <c r="AF658" i="1"/>
  <c r="AG658" i="1"/>
  <c r="AV658" i="1"/>
  <c r="H659" i="1"/>
  <c r="I659" i="1"/>
  <c r="J659" i="1"/>
  <c r="K734" i="1"/>
  <c r="K659" i="1" s="1"/>
  <c r="L659" i="1"/>
  <c r="M659" i="1"/>
  <c r="N659" i="1"/>
  <c r="O734" i="1"/>
  <c r="O659" i="1" s="1"/>
  <c r="P659" i="1"/>
  <c r="Q659" i="1"/>
  <c r="R659" i="1"/>
  <c r="S734" i="1"/>
  <c r="S659" i="1" s="1"/>
  <c r="T659" i="1"/>
  <c r="U659" i="1"/>
  <c r="V659" i="1"/>
  <c r="W734" i="1"/>
  <c r="W659" i="1" s="1"/>
  <c r="X659" i="1"/>
  <c r="Y659" i="1"/>
  <c r="Z659" i="1"/>
  <c r="AA734" i="1"/>
  <c r="AA659" i="1" s="1"/>
  <c r="AB659" i="1"/>
  <c r="AC659" i="1"/>
  <c r="AD659" i="1"/>
  <c r="AE734" i="1"/>
  <c r="AE659" i="1" s="1"/>
  <c r="AF659" i="1"/>
  <c r="AG659" i="1"/>
  <c r="AV659" i="1"/>
  <c r="H660" i="1"/>
  <c r="I660" i="1"/>
  <c r="J660" i="1"/>
  <c r="K735" i="1"/>
  <c r="K660" i="1" s="1"/>
  <c r="L660" i="1"/>
  <c r="M660" i="1"/>
  <c r="N660" i="1"/>
  <c r="O735" i="1"/>
  <c r="O660" i="1"/>
  <c r="P660" i="1"/>
  <c r="Q660" i="1"/>
  <c r="R660" i="1"/>
  <c r="S735" i="1"/>
  <c r="S660" i="1" s="1"/>
  <c r="T660" i="1"/>
  <c r="U660" i="1"/>
  <c r="V660" i="1"/>
  <c r="W735" i="1"/>
  <c r="W660" i="1"/>
  <c r="X660" i="1"/>
  <c r="Y660" i="1"/>
  <c r="Z660" i="1"/>
  <c r="AA735" i="1"/>
  <c r="AA660" i="1" s="1"/>
  <c r="AB660" i="1"/>
  <c r="AC660" i="1"/>
  <c r="AD660" i="1"/>
  <c r="AE735" i="1"/>
  <c r="AE660" i="1" s="1"/>
  <c r="AF660" i="1"/>
  <c r="AG660" i="1"/>
  <c r="AV660" i="1"/>
  <c r="H661" i="1"/>
  <c r="I661" i="1"/>
  <c r="J661" i="1"/>
  <c r="K736" i="1"/>
  <c r="K661" i="1" s="1"/>
  <c r="L661" i="1"/>
  <c r="M661" i="1"/>
  <c r="N661" i="1"/>
  <c r="O736" i="1"/>
  <c r="O661" i="1" s="1"/>
  <c r="P661" i="1"/>
  <c r="Q661" i="1"/>
  <c r="R661" i="1"/>
  <c r="S736" i="1"/>
  <c r="S661" i="1" s="1"/>
  <c r="T661" i="1"/>
  <c r="U661" i="1"/>
  <c r="V661" i="1"/>
  <c r="W736" i="1"/>
  <c r="W661" i="1"/>
  <c r="X661" i="1"/>
  <c r="Y661" i="1"/>
  <c r="Z661" i="1"/>
  <c r="AA736" i="1"/>
  <c r="AA661" i="1" s="1"/>
  <c r="AB661" i="1"/>
  <c r="AC661" i="1"/>
  <c r="AD661" i="1"/>
  <c r="AE736" i="1"/>
  <c r="AE661" i="1"/>
  <c r="AF661" i="1"/>
  <c r="AG661" i="1"/>
  <c r="AV661" i="1"/>
  <c r="H662" i="1"/>
  <c r="I662" i="1"/>
  <c r="J662" i="1"/>
  <c r="K737" i="1"/>
  <c r="K662" i="1" s="1"/>
  <c r="L662" i="1"/>
  <c r="M662" i="1"/>
  <c r="N662" i="1"/>
  <c r="O737" i="1"/>
  <c r="O662" i="1"/>
  <c r="P662" i="1"/>
  <c r="Q662" i="1"/>
  <c r="R662" i="1"/>
  <c r="S737" i="1"/>
  <c r="S662" i="1"/>
  <c r="T662" i="1"/>
  <c r="U662" i="1"/>
  <c r="V662" i="1"/>
  <c r="W737" i="1"/>
  <c r="W662" i="1" s="1"/>
  <c r="X662" i="1"/>
  <c r="Y662" i="1"/>
  <c r="Z662" i="1"/>
  <c r="AA737" i="1"/>
  <c r="AA662" i="1" s="1"/>
  <c r="AB662" i="1"/>
  <c r="AC662" i="1"/>
  <c r="AD662" i="1"/>
  <c r="AE737" i="1"/>
  <c r="AE662" i="1" s="1"/>
  <c r="AF662" i="1"/>
  <c r="AG662" i="1"/>
  <c r="AV662" i="1"/>
  <c r="H663" i="1"/>
  <c r="I663" i="1"/>
  <c r="J663" i="1"/>
  <c r="K738" i="1"/>
  <c r="K663" i="1" s="1"/>
  <c r="L663" i="1"/>
  <c r="M663" i="1"/>
  <c r="N663" i="1"/>
  <c r="O738" i="1"/>
  <c r="O663" i="1"/>
  <c r="P663" i="1"/>
  <c r="Q663" i="1"/>
  <c r="R663" i="1"/>
  <c r="S738" i="1"/>
  <c r="S663" i="1" s="1"/>
  <c r="T663" i="1"/>
  <c r="U663" i="1"/>
  <c r="V663" i="1"/>
  <c r="W738" i="1"/>
  <c r="W663" i="1" s="1"/>
  <c r="X663" i="1"/>
  <c r="Y663" i="1"/>
  <c r="Z663" i="1"/>
  <c r="AA738" i="1"/>
  <c r="AA663" i="1"/>
  <c r="AB663" i="1"/>
  <c r="AC663" i="1"/>
  <c r="AD663" i="1"/>
  <c r="AE738" i="1"/>
  <c r="AE663" i="1"/>
  <c r="AF663" i="1"/>
  <c r="AG663" i="1"/>
  <c r="AV663" i="1"/>
  <c r="H664" i="1"/>
  <c r="I664" i="1"/>
  <c r="J664" i="1"/>
  <c r="K739" i="1"/>
  <c r="K664" i="1" s="1"/>
  <c r="L664" i="1"/>
  <c r="M664" i="1"/>
  <c r="N664" i="1"/>
  <c r="O739" i="1"/>
  <c r="O664" i="1" s="1"/>
  <c r="P664" i="1"/>
  <c r="Q664" i="1"/>
  <c r="R664" i="1"/>
  <c r="S739" i="1"/>
  <c r="S664" i="1" s="1"/>
  <c r="T664" i="1"/>
  <c r="U664" i="1"/>
  <c r="V664" i="1"/>
  <c r="W739" i="1"/>
  <c r="W664" i="1"/>
  <c r="X664" i="1"/>
  <c r="Y664" i="1"/>
  <c r="Z664" i="1"/>
  <c r="AA739" i="1"/>
  <c r="AA664" i="1" s="1"/>
  <c r="AB664" i="1"/>
  <c r="AC664" i="1"/>
  <c r="AD664" i="1"/>
  <c r="AE739" i="1"/>
  <c r="AE664" i="1" s="1"/>
  <c r="AF664" i="1"/>
  <c r="AG664" i="1"/>
  <c r="AV664" i="1"/>
  <c r="H665" i="1"/>
  <c r="I665" i="1"/>
  <c r="J665" i="1"/>
  <c r="K740" i="1"/>
  <c r="K665" i="1"/>
  <c r="L665" i="1"/>
  <c r="M665" i="1"/>
  <c r="N665" i="1"/>
  <c r="O740" i="1"/>
  <c r="O665" i="1"/>
  <c r="P665" i="1"/>
  <c r="Q665" i="1"/>
  <c r="R665" i="1"/>
  <c r="S740" i="1"/>
  <c r="S665" i="1" s="1"/>
  <c r="T665" i="1"/>
  <c r="U665" i="1"/>
  <c r="V665" i="1"/>
  <c r="W740" i="1"/>
  <c r="W665" i="1" s="1"/>
  <c r="X665" i="1"/>
  <c r="Y665" i="1"/>
  <c r="Z665" i="1"/>
  <c r="AA740" i="1"/>
  <c r="AA665" i="1" s="1"/>
  <c r="AB665" i="1"/>
  <c r="AC665" i="1"/>
  <c r="AD665" i="1"/>
  <c r="AE740" i="1"/>
  <c r="AE665" i="1" s="1"/>
  <c r="AF665" i="1"/>
  <c r="AG665" i="1"/>
  <c r="AV665" i="1"/>
  <c r="H666" i="1"/>
  <c r="I666" i="1"/>
  <c r="J666" i="1"/>
  <c r="K741" i="1"/>
  <c r="K666" i="1" s="1"/>
  <c r="L666" i="1"/>
  <c r="M666" i="1"/>
  <c r="N666" i="1"/>
  <c r="O741" i="1"/>
  <c r="O666" i="1" s="1"/>
  <c r="P666" i="1"/>
  <c r="Q666" i="1"/>
  <c r="R666" i="1"/>
  <c r="S741" i="1"/>
  <c r="S666" i="1"/>
  <c r="T666" i="1"/>
  <c r="U666" i="1"/>
  <c r="V666" i="1"/>
  <c r="W741" i="1"/>
  <c r="W666" i="1"/>
  <c r="X666" i="1"/>
  <c r="Y666" i="1"/>
  <c r="Z666" i="1"/>
  <c r="AA741" i="1"/>
  <c r="AA666" i="1"/>
  <c r="AB666" i="1"/>
  <c r="AC666" i="1"/>
  <c r="AD666" i="1"/>
  <c r="AE741" i="1"/>
  <c r="AE666" i="1"/>
  <c r="AF666" i="1"/>
  <c r="AG666" i="1"/>
  <c r="AV666" i="1"/>
  <c r="H667" i="1"/>
  <c r="I667" i="1"/>
  <c r="J667" i="1"/>
  <c r="K742" i="1"/>
  <c r="K667" i="1" s="1"/>
  <c r="L667" i="1"/>
  <c r="M667" i="1"/>
  <c r="N667" i="1"/>
  <c r="O742" i="1"/>
  <c r="O667" i="1" s="1"/>
  <c r="P667" i="1"/>
  <c r="Q667" i="1"/>
  <c r="R667" i="1"/>
  <c r="S742" i="1"/>
  <c r="S667" i="1" s="1"/>
  <c r="T667" i="1"/>
  <c r="U667" i="1"/>
  <c r="V667" i="1"/>
  <c r="W742" i="1"/>
  <c r="W667" i="1" s="1"/>
  <c r="X667" i="1"/>
  <c r="Y667" i="1"/>
  <c r="Z667" i="1"/>
  <c r="AA742" i="1"/>
  <c r="AA667" i="1" s="1"/>
  <c r="AB667" i="1"/>
  <c r="AC667" i="1"/>
  <c r="AD667" i="1"/>
  <c r="AE742" i="1"/>
  <c r="AE667" i="1" s="1"/>
  <c r="AF667" i="1"/>
  <c r="AG667" i="1"/>
  <c r="AV667" i="1"/>
  <c r="H668" i="1"/>
  <c r="I668" i="1"/>
  <c r="J668" i="1"/>
  <c r="K668" i="1"/>
  <c r="L668" i="1"/>
  <c r="M668" i="1"/>
  <c r="N668" i="1"/>
  <c r="O743" i="1"/>
  <c r="O668" i="1"/>
  <c r="P668" i="1"/>
  <c r="Q668" i="1"/>
  <c r="R668" i="1"/>
  <c r="S743" i="1"/>
  <c r="S668" i="1" s="1"/>
  <c r="T668" i="1"/>
  <c r="U668" i="1"/>
  <c r="V668" i="1"/>
  <c r="W743" i="1"/>
  <c r="W668" i="1" s="1"/>
  <c r="X668" i="1"/>
  <c r="Y668" i="1"/>
  <c r="Z668" i="1"/>
  <c r="AA743" i="1"/>
  <c r="AA668" i="1" s="1"/>
  <c r="AB668" i="1"/>
  <c r="AC668" i="1"/>
  <c r="AD668" i="1"/>
  <c r="AE743" i="1"/>
  <c r="AE668" i="1"/>
  <c r="AF668" i="1"/>
  <c r="AG668" i="1"/>
  <c r="AV668" i="1"/>
  <c r="H669" i="1"/>
  <c r="I669" i="1"/>
  <c r="J669" i="1"/>
  <c r="K744" i="1"/>
  <c r="K669" i="1" s="1"/>
  <c r="L669" i="1"/>
  <c r="M669" i="1"/>
  <c r="N669" i="1"/>
  <c r="O744" i="1"/>
  <c r="O669" i="1" s="1"/>
  <c r="P669" i="1"/>
  <c r="Q669" i="1"/>
  <c r="R669" i="1"/>
  <c r="S744" i="1"/>
  <c r="S669" i="1" s="1"/>
  <c r="T669" i="1"/>
  <c r="U669" i="1"/>
  <c r="V669" i="1"/>
  <c r="W744" i="1"/>
  <c r="W669" i="1"/>
  <c r="X669" i="1"/>
  <c r="Y669" i="1"/>
  <c r="Z669" i="1"/>
  <c r="AA744" i="1"/>
  <c r="AA669" i="1" s="1"/>
  <c r="AB669" i="1"/>
  <c r="AC669" i="1"/>
  <c r="AD669" i="1"/>
  <c r="AE744" i="1"/>
  <c r="AE669" i="1" s="1"/>
  <c r="AF669" i="1"/>
  <c r="AG669" i="1"/>
  <c r="AV669" i="1"/>
  <c r="H670" i="1"/>
  <c r="I670" i="1"/>
  <c r="J670" i="1"/>
  <c r="K745" i="1"/>
  <c r="K670" i="1" s="1"/>
  <c r="L670" i="1"/>
  <c r="M670" i="1"/>
  <c r="N670" i="1"/>
  <c r="O745" i="1"/>
  <c r="O670" i="1" s="1"/>
  <c r="P670" i="1"/>
  <c r="Q670" i="1"/>
  <c r="R670" i="1"/>
  <c r="S745" i="1"/>
  <c r="S670" i="1"/>
  <c r="T670" i="1"/>
  <c r="U670" i="1"/>
  <c r="V670" i="1"/>
  <c r="W745" i="1"/>
  <c r="W670" i="1" s="1"/>
  <c r="X670" i="1"/>
  <c r="Y670" i="1"/>
  <c r="Z670" i="1"/>
  <c r="AA745" i="1"/>
  <c r="AA670" i="1" s="1"/>
  <c r="AB670" i="1"/>
  <c r="AC670" i="1"/>
  <c r="AD670" i="1"/>
  <c r="AE745" i="1"/>
  <c r="AE670" i="1" s="1"/>
  <c r="AF670" i="1"/>
  <c r="AG670" i="1"/>
  <c r="AV670" i="1"/>
  <c r="H671" i="1"/>
  <c r="I671" i="1"/>
  <c r="J671" i="1"/>
  <c r="AQ746" i="1"/>
  <c r="K746" i="1" s="1"/>
  <c r="K671" i="1" s="1"/>
  <c r="L671" i="1"/>
  <c r="M671" i="1"/>
  <c r="N671" i="1"/>
  <c r="AR746" i="1"/>
  <c r="O746" i="1" s="1"/>
  <c r="O671" i="1" s="1"/>
  <c r="P671" i="1"/>
  <c r="Q671" i="1"/>
  <c r="R671" i="1"/>
  <c r="AS746" i="1"/>
  <c r="S746" i="1" s="1"/>
  <c r="S671" i="1" s="1"/>
  <c r="T671" i="1"/>
  <c r="U671" i="1"/>
  <c r="V671" i="1"/>
  <c r="AT746" i="1"/>
  <c r="W746" i="1"/>
  <c r="W671" i="1" s="1"/>
  <c r="X671" i="1"/>
  <c r="Y671" i="1"/>
  <c r="Z671" i="1"/>
  <c r="AU746" i="1"/>
  <c r="AA746" i="1" s="1"/>
  <c r="AA671" i="1" s="1"/>
  <c r="AB671" i="1"/>
  <c r="AC671" i="1"/>
  <c r="AD671" i="1"/>
  <c r="AE746" i="1"/>
  <c r="AE671" i="1" s="1"/>
  <c r="AF671" i="1"/>
  <c r="AG671" i="1"/>
  <c r="H674" i="1"/>
  <c r="I674" i="1"/>
  <c r="J674" i="1"/>
  <c r="K749" i="1"/>
  <c r="K674" i="1"/>
  <c r="L674" i="1"/>
  <c r="M674" i="1"/>
  <c r="N674" i="1"/>
  <c r="O749" i="1"/>
  <c r="O674" i="1" s="1"/>
  <c r="P674" i="1"/>
  <c r="Q674" i="1"/>
  <c r="R674" i="1"/>
  <c r="S749" i="1"/>
  <c r="S674" i="1" s="1"/>
  <c r="T674" i="1"/>
  <c r="U674" i="1"/>
  <c r="V674" i="1"/>
  <c r="W749" i="1"/>
  <c r="W674" i="1" s="1"/>
  <c r="X674" i="1"/>
  <c r="Y674" i="1"/>
  <c r="Z674" i="1"/>
  <c r="AA749" i="1"/>
  <c r="AA674" i="1" s="1"/>
  <c r="AB674" i="1"/>
  <c r="AC674" i="1"/>
  <c r="AD674" i="1"/>
  <c r="AE749" i="1"/>
  <c r="AE674" i="1"/>
  <c r="AF674" i="1"/>
  <c r="AG674" i="1"/>
  <c r="AV674" i="1"/>
  <c r="H675" i="1"/>
  <c r="I675" i="1"/>
  <c r="J675" i="1"/>
  <c r="K750" i="1"/>
  <c r="K675" i="1"/>
  <c r="L675" i="1"/>
  <c r="M675" i="1"/>
  <c r="N675" i="1"/>
  <c r="O750" i="1"/>
  <c r="O675" i="1" s="1"/>
  <c r="P675" i="1"/>
  <c r="Q675" i="1"/>
  <c r="R675" i="1"/>
  <c r="S750" i="1"/>
  <c r="S675" i="1"/>
  <c r="T675" i="1"/>
  <c r="U675" i="1"/>
  <c r="V675" i="1"/>
  <c r="W750" i="1"/>
  <c r="W675" i="1"/>
  <c r="X675" i="1"/>
  <c r="Y675" i="1"/>
  <c r="Z675" i="1"/>
  <c r="AA750" i="1"/>
  <c r="AA675" i="1" s="1"/>
  <c r="AB675" i="1"/>
  <c r="AC675" i="1"/>
  <c r="AD675" i="1"/>
  <c r="AE750" i="1"/>
  <c r="AE675" i="1" s="1"/>
  <c r="AF675" i="1"/>
  <c r="AG675" i="1"/>
  <c r="AV675" i="1"/>
  <c r="H676" i="1"/>
  <c r="I676" i="1"/>
  <c r="J676" i="1"/>
  <c r="K751" i="1"/>
  <c r="K676" i="1" s="1"/>
  <c r="L676" i="1"/>
  <c r="M676" i="1"/>
  <c r="N676" i="1"/>
  <c r="O751" i="1"/>
  <c r="O676" i="1" s="1"/>
  <c r="P676" i="1"/>
  <c r="Q676" i="1"/>
  <c r="R676" i="1"/>
  <c r="S751" i="1"/>
  <c r="S676" i="1" s="1"/>
  <c r="T676" i="1"/>
  <c r="U676" i="1"/>
  <c r="V676" i="1"/>
  <c r="W751" i="1"/>
  <c r="W676" i="1" s="1"/>
  <c r="X676" i="1"/>
  <c r="Y676" i="1"/>
  <c r="Z676" i="1"/>
  <c r="AA751" i="1"/>
  <c r="AA676" i="1"/>
  <c r="AB676" i="1"/>
  <c r="AC676" i="1"/>
  <c r="AD676" i="1"/>
  <c r="AE751" i="1"/>
  <c r="AE676" i="1" s="1"/>
  <c r="AF676" i="1"/>
  <c r="AG676" i="1"/>
  <c r="AV676" i="1"/>
  <c r="H677" i="1"/>
  <c r="I677" i="1"/>
  <c r="J677" i="1"/>
  <c r="K752" i="1"/>
  <c r="K677" i="1" s="1"/>
  <c r="L677" i="1"/>
  <c r="M677" i="1"/>
  <c r="N677" i="1"/>
  <c r="O752" i="1"/>
  <c r="O677" i="1"/>
  <c r="P677" i="1"/>
  <c r="Q677" i="1"/>
  <c r="R677" i="1"/>
  <c r="S752" i="1"/>
  <c r="S677" i="1"/>
  <c r="T677" i="1"/>
  <c r="U677" i="1"/>
  <c r="V677" i="1"/>
  <c r="W752" i="1"/>
  <c r="W677" i="1" s="1"/>
  <c r="X677" i="1"/>
  <c r="Y677" i="1"/>
  <c r="Z677" i="1"/>
  <c r="AA752" i="1"/>
  <c r="AA677" i="1" s="1"/>
  <c r="AB677" i="1"/>
  <c r="AC677" i="1"/>
  <c r="AD677" i="1"/>
  <c r="AE752" i="1"/>
  <c r="AE677" i="1" s="1"/>
  <c r="AF677" i="1"/>
  <c r="AG677" i="1"/>
  <c r="AV677" i="1"/>
  <c r="H678" i="1"/>
  <c r="I678" i="1"/>
  <c r="J678" i="1"/>
  <c r="K753" i="1"/>
  <c r="K678" i="1"/>
  <c r="L678" i="1"/>
  <c r="M678" i="1"/>
  <c r="N678" i="1"/>
  <c r="O753" i="1"/>
  <c r="O678" i="1" s="1"/>
  <c r="P678" i="1"/>
  <c r="Q678" i="1"/>
  <c r="R678" i="1"/>
  <c r="S753" i="1"/>
  <c r="S678" i="1" s="1"/>
  <c r="T678" i="1"/>
  <c r="U678" i="1"/>
  <c r="V678" i="1"/>
  <c r="W753" i="1"/>
  <c r="W678" i="1" s="1"/>
  <c r="X678" i="1"/>
  <c r="Y678" i="1"/>
  <c r="Z678" i="1"/>
  <c r="AA753" i="1"/>
  <c r="AA678" i="1" s="1"/>
  <c r="AB678" i="1"/>
  <c r="AC678" i="1"/>
  <c r="AD678" i="1"/>
  <c r="AE753" i="1"/>
  <c r="AE678" i="1"/>
  <c r="AF678" i="1"/>
  <c r="AG678" i="1"/>
  <c r="AV678" i="1"/>
  <c r="H679" i="1"/>
  <c r="I679" i="1"/>
  <c r="J679" i="1"/>
  <c r="K754" i="1"/>
  <c r="K679" i="1" s="1"/>
  <c r="L679" i="1"/>
  <c r="M679" i="1"/>
  <c r="N679" i="1"/>
  <c r="O754" i="1"/>
  <c r="O679" i="1" s="1"/>
  <c r="P679" i="1"/>
  <c r="Q679" i="1"/>
  <c r="R679" i="1"/>
  <c r="S754" i="1"/>
  <c r="S679" i="1" s="1"/>
  <c r="T679" i="1"/>
  <c r="U679" i="1"/>
  <c r="V679" i="1"/>
  <c r="W754" i="1"/>
  <c r="W679" i="1" s="1"/>
  <c r="X679" i="1"/>
  <c r="Y679" i="1"/>
  <c r="Z679" i="1"/>
  <c r="AA754" i="1"/>
  <c r="AA679" i="1" s="1"/>
  <c r="AB679" i="1"/>
  <c r="AC679" i="1"/>
  <c r="AD679" i="1"/>
  <c r="AE754" i="1"/>
  <c r="AE679" i="1" s="1"/>
  <c r="AF679" i="1"/>
  <c r="AG679" i="1"/>
  <c r="AV679" i="1"/>
  <c r="L680" i="1"/>
  <c r="M680" i="1"/>
  <c r="N680" i="1"/>
  <c r="O755" i="1"/>
  <c r="O680" i="1" s="1"/>
  <c r="P680" i="1"/>
  <c r="Q680" i="1"/>
  <c r="R680" i="1"/>
  <c r="S755" i="1"/>
  <c r="S680" i="1" s="1"/>
  <c r="T680" i="1"/>
  <c r="U680" i="1"/>
  <c r="V680" i="1"/>
  <c r="W755" i="1"/>
  <c r="W680" i="1" s="1"/>
  <c r="X680" i="1"/>
  <c r="Y680" i="1"/>
  <c r="Z680" i="1"/>
  <c r="AA755" i="1"/>
  <c r="AA680" i="1" s="1"/>
  <c r="AB680" i="1"/>
  <c r="AC680" i="1"/>
  <c r="AD680" i="1"/>
  <c r="AE755" i="1"/>
  <c r="AE680" i="1" s="1"/>
  <c r="AF680" i="1"/>
  <c r="AG680" i="1"/>
  <c r="AV680" i="1"/>
  <c r="H681" i="1"/>
  <c r="I681" i="1"/>
  <c r="J681" i="1"/>
  <c r="K756" i="1"/>
  <c r="K681" i="1" s="1"/>
  <c r="L681" i="1"/>
  <c r="M681" i="1"/>
  <c r="N681" i="1"/>
  <c r="O756" i="1"/>
  <c r="O681" i="1" s="1"/>
  <c r="P681" i="1"/>
  <c r="Q681" i="1"/>
  <c r="R681" i="1"/>
  <c r="S756" i="1"/>
  <c r="S681" i="1" s="1"/>
  <c r="T681" i="1"/>
  <c r="U681" i="1"/>
  <c r="V681" i="1"/>
  <c r="W756" i="1"/>
  <c r="W681" i="1"/>
  <c r="X681" i="1"/>
  <c r="Y681" i="1"/>
  <c r="Z681" i="1"/>
  <c r="AA756" i="1"/>
  <c r="AA681" i="1"/>
  <c r="AB681" i="1"/>
  <c r="AC681" i="1"/>
  <c r="AD681" i="1"/>
  <c r="AE756" i="1"/>
  <c r="AE681" i="1" s="1"/>
  <c r="AF681" i="1"/>
  <c r="AG681" i="1"/>
  <c r="H682" i="1"/>
  <c r="I682" i="1"/>
  <c r="J682" i="1"/>
  <c r="K757" i="1"/>
  <c r="K682" i="1" s="1"/>
  <c r="L682" i="1"/>
  <c r="M682" i="1"/>
  <c r="N682" i="1"/>
  <c r="O757" i="1"/>
  <c r="O682" i="1" s="1"/>
  <c r="P682" i="1"/>
  <c r="Q682" i="1"/>
  <c r="R682" i="1"/>
  <c r="S757" i="1"/>
  <c r="S682" i="1" s="1"/>
  <c r="T682" i="1"/>
  <c r="U682" i="1"/>
  <c r="V682" i="1"/>
  <c r="W757" i="1"/>
  <c r="W682" i="1"/>
  <c r="X682" i="1"/>
  <c r="Y682" i="1"/>
  <c r="Z682" i="1"/>
  <c r="AA757" i="1"/>
  <c r="AA682" i="1"/>
  <c r="AB682" i="1"/>
  <c r="AC682" i="1"/>
  <c r="AD682" i="1"/>
  <c r="AE757" i="1"/>
  <c r="AE682" i="1"/>
  <c r="AF682" i="1"/>
  <c r="AG682" i="1"/>
  <c r="AV682" i="1"/>
  <c r="H683" i="1"/>
  <c r="I683" i="1"/>
  <c r="J683" i="1"/>
  <c r="K758" i="1"/>
  <c r="K683" i="1" s="1"/>
  <c r="L683" i="1"/>
  <c r="M683" i="1"/>
  <c r="N683" i="1"/>
  <c r="O758" i="1"/>
  <c r="O683" i="1" s="1"/>
  <c r="P683" i="1"/>
  <c r="Q683" i="1"/>
  <c r="R683" i="1"/>
  <c r="S758" i="1"/>
  <c r="S683" i="1"/>
  <c r="T683" i="1"/>
  <c r="U683" i="1"/>
  <c r="V683" i="1"/>
  <c r="W758" i="1"/>
  <c r="W683" i="1" s="1"/>
  <c r="X683" i="1"/>
  <c r="Y683" i="1"/>
  <c r="Z683" i="1"/>
  <c r="AA758" i="1"/>
  <c r="AA683" i="1" s="1"/>
  <c r="AB683" i="1"/>
  <c r="AC683" i="1"/>
  <c r="AD683" i="1"/>
  <c r="AE758" i="1"/>
  <c r="AE683" i="1" s="1"/>
  <c r="AF683" i="1"/>
  <c r="AG683" i="1"/>
  <c r="AV683" i="1"/>
  <c r="H684" i="1"/>
  <c r="I684" i="1"/>
  <c r="J684" i="1"/>
  <c r="K759" i="1"/>
  <c r="K684" i="1"/>
  <c r="L684" i="1"/>
  <c r="M684" i="1"/>
  <c r="N684" i="1"/>
  <c r="O759" i="1"/>
  <c r="O684" i="1" s="1"/>
  <c r="P684" i="1"/>
  <c r="Q684" i="1"/>
  <c r="R684" i="1"/>
  <c r="S759" i="1"/>
  <c r="S684" i="1" s="1"/>
  <c r="T684" i="1"/>
  <c r="U684" i="1"/>
  <c r="V684" i="1"/>
  <c r="W759" i="1"/>
  <c r="W684" i="1" s="1"/>
  <c r="X684" i="1"/>
  <c r="Y684" i="1"/>
  <c r="Z684" i="1"/>
  <c r="AA759" i="1"/>
  <c r="AA684" i="1"/>
  <c r="AB684" i="1"/>
  <c r="AC684" i="1"/>
  <c r="AD684" i="1"/>
  <c r="AE759" i="1"/>
  <c r="AE684" i="1"/>
  <c r="AF684" i="1"/>
  <c r="AG684" i="1"/>
  <c r="AV684" i="1"/>
  <c r="H685" i="1"/>
  <c r="I685" i="1"/>
  <c r="J685" i="1"/>
  <c r="K760" i="1"/>
  <c r="K685" i="1" s="1"/>
  <c r="L685" i="1"/>
  <c r="M685" i="1"/>
  <c r="N685" i="1"/>
  <c r="O760" i="1"/>
  <c r="O685" i="1" s="1"/>
  <c r="P685" i="1"/>
  <c r="Q685" i="1"/>
  <c r="R685" i="1"/>
  <c r="S760" i="1"/>
  <c r="S685" i="1" s="1"/>
  <c r="T685" i="1"/>
  <c r="U685" i="1"/>
  <c r="V685" i="1"/>
  <c r="W760" i="1"/>
  <c r="W685" i="1"/>
  <c r="X685" i="1"/>
  <c r="Y685" i="1"/>
  <c r="Z685" i="1"/>
  <c r="AA760" i="1"/>
  <c r="AA685" i="1" s="1"/>
  <c r="AB685" i="1"/>
  <c r="AC685" i="1"/>
  <c r="AD685" i="1"/>
  <c r="AE760" i="1"/>
  <c r="AE685" i="1" s="1"/>
  <c r="AF685" i="1"/>
  <c r="AG685" i="1"/>
  <c r="AV685" i="1"/>
  <c r="H686" i="1"/>
  <c r="I686" i="1"/>
  <c r="J686" i="1"/>
  <c r="K761" i="1"/>
  <c r="K686" i="1"/>
  <c r="L686" i="1"/>
  <c r="M686" i="1"/>
  <c r="N686" i="1"/>
  <c r="O761" i="1"/>
  <c r="O686" i="1" s="1"/>
  <c r="P686" i="1"/>
  <c r="Q686" i="1"/>
  <c r="R686" i="1"/>
  <c r="S761" i="1"/>
  <c r="S686" i="1"/>
  <c r="T686" i="1"/>
  <c r="U686" i="1"/>
  <c r="V686" i="1"/>
  <c r="W761" i="1"/>
  <c r="W686" i="1" s="1"/>
  <c r="X686" i="1"/>
  <c r="Y686" i="1"/>
  <c r="Z686" i="1"/>
  <c r="AA761" i="1"/>
  <c r="AA686" i="1" s="1"/>
  <c r="AB686" i="1"/>
  <c r="AC686" i="1"/>
  <c r="AD686" i="1"/>
  <c r="AE761" i="1"/>
  <c r="AE686" i="1" s="1"/>
  <c r="AF686" i="1"/>
  <c r="AG686" i="1"/>
  <c r="AV686" i="1"/>
  <c r="H687" i="1"/>
  <c r="I687" i="1"/>
  <c r="J687" i="1"/>
  <c r="K762" i="1"/>
  <c r="K687" i="1" s="1"/>
  <c r="L687" i="1"/>
  <c r="M687" i="1"/>
  <c r="N687" i="1"/>
  <c r="O762" i="1"/>
  <c r="O687" i="1" s="1"/>
  <c r="P687" i="1"/>
  <c r="Q687" i="1"/>
  <c r="R687" i="1"/>
  <c r="S762" i="1"/>
  <c r="S687" i="1"/>
  <c r="T687" i="1"/>
  <c r="U687" i="1"/>
  <c r="V687" i="1"/>
  <c r="W762" i="1"/>
  <c r="W687" i="1" s="1"/>
  <c r="X687" i="1"/>
  <c r="Y687" i="1"/>
  <c r="Z687" i="1"/>
  <c r="AA762" i="1"/>
  <c r="AA687" i="1"/>
  <c r="AB687" i="1"/>
  <c r="AC687" i="1"/>
  <c r="AD687" i="1"/>
  <c r="AE762" i="1"/>
  <c r="AE687" i="1" s="1"/>
  <c r="AF687" i="1"/>
  <c r="AG687" i="1"/>
  <c r="AV687" i="1"/>
  <c r="H688" i="1"/>
  <c r="I688" i="1"/>
  <c r="J688" i="1"/>
  <c r="AQ763" i="1"/>
  <c r="K763" i="1"/>
  <c r="K688" i="1" s="1"/>
  <c r="L688" i="1"/>
  <c r="M688" i="1"/>
  <c r="N688" i="1"/>
  <c r="AR763" i="1"/>
  <c r="O763" i="1" s="1"/>
  <c r="O688" i="1" s="1"/>
  <c r="P688" i="1"/>
  <c r="Q688" i="1"/>
  <c r="R688" i="1"/>
  <c r="AS763" i="1"/>
  <c r="S763" i="1"/>
  <c r="S688" i="1" s="1"/>
  <c r="T688" i="1"/>
  <c r="U688" i="1"/>
  <c r="V688" i="1"/>
  <c r="AT763" i="1"/>
  <c r="W763" i="1" s="1"/>
  <c r="W688" i="1" s="1"/>
  <c r="X688" i="1"/>
  <c r="Y688" i="1"/>
  <c r="Z688" i="1"/>
  <c r="AU763" i="1"/>
  <c r="AA763" i="1"/>
  <c r="AA688" i="1"/>
  <c r="AB688" i="1"/>
  <c r="AC688" i="1"/>
  <c r="AD688" i="1"/>
  <c r="AV763" i="1"/>
  <c r="AE763" i="1"/>
  <c r="AE688" i="1" s="1"/>
  <c r="AF688" i="1"/>
  <c r="AG688" i="1"/>
  <c r="AO688" i="1"/>
  <c r="AP688" i="1"/>
  <c r="AQ688" i="1"/>
  <c r="AR688" i="1"/>
  <c r="AR710" i="1" s="1"/>
  <c r="AS688" i="1"/>
  <c r="AT688" i="1"/>
  <c r="AU688" i="1"/>
  <c r="AU710" i="1" s="1"/>
  <c r="AV688" i="1"/>
  <c r="H691" i="1"/>
  <c r="I691" i="1"/>
  <c r="J691" i="1"/>
  <c r="K766" i="1"/>
  <c r="K691" i="1" s="1"/>
  <c r="L691" i="1"/>
  <c r="M691" i="1"/>
  <c r="N691" i="1"/>
  <c r="O766" i="1"/>
  <c r="O691" i="1"/>
  <c r="P691" i="1"/>
  <c r="Q691" i="1"/>
  <c r="R691" i="1"/>
  <c r="S766" i="1"/>
  <c r="S691" i="1" s="1"/>
  <c r="T691" i="1"/>
  <c r="U691" i="1"/>
  <c r="V691" i="1"/>
  <c r="W766" i="1"/>
  <c r="W691" i="1" s="1"/>
  <c r="X691" i="1"/>
  <c r="Y691" i="1"/>
  <c r="Z691" i="1"/>
  <c r="AA766" i="1"/>
  <c r="AA691" i="1" s="1"/>
  <c r="AB691" i="1"/>
  <c r="AC691" i="1"/>
  <c r="AD691" i="1"/>
  <c r="AE766" i="1"/>
  <c r="AE691" i="1" s="1"/>
  <c r="AF691" i="1"/>
  <c r="AG691" i="1"/>
  <c r="AV691" i="1"/>
  <c r="H692" i="1"/>
  <c r="I692" i="1"/>
  <c r="J692" i="1"/>
  <c r="K767" i="1"/>
  <c r="K692" i="1" s="1"/>
  <c r="L692" i="1"/>
  <c r="M692" i="1"/>
  <c r="N692" i="1"/>
  <c r="O767" i="1"/>
  <c r="P692" i="1"/>
  <c r="Q692" i="1"/>
  <c r="R692" i="1"/>
  <c r="S767" i="1"/>
  <c r="S692" i="1" s="1"/>
  <c r="T692" i="1"/>
  <c r="U692" i="1"/>
  <c r="V692" i="1"/>
  <c r="W767" i="1"/>
  <c r="W692" i="1"/>
  <c r="X692" i="1"/>
  <c r="Y692" i="1"/>
  <c r="Z692" i="1"/>
  <c r="AA767" i="1"/>
  <c r="AA692" i="1" s="1"/>
  <c r="AB692" i="1"/>
  <c r="AC692" i="1"/>
  <c r="AD692" i="1"/>
  <c r="AE767" i="1"/>
  <c r="AE692" i="1"/>
  <c r="AF692" i="1"/>
  <c r="AG692" i="1"/>
  <c r="H693" i="1"/>
  <c r="I693" i="1"/>
  <c r="J693" i="1"/>
  <c r="K693" i="1"/>
  <c r="L693" i="1"/>
  <c r="M693" i="1"/>
  <c r="N693" i="1"/>
  <c r="O768" i="1"/>
  <c r="O693" i="1" s="1"/>
  <c r="P693" i="1"/>
  <c r="Q693" i="1"/>
  <c r="R693" i="1"/>
  <c r="S768" i="1"/>
  <c r="S693" i="1"/>
  <c r="T693" i="1"/>
  <c r="U693" i="1"/>
  <c r="V693" i="1"/>
  <c r="W768" i="1"/>
  <c r="W693" i="1" s="1"/>
  <c r="X693" i="1"/>
  <c r="Y693" i="1"/>
  <c r="Z693" i="1"/>
  <c r="AA768" i="1"/>
  <c r="AA693" i="1" s="1"/>
  <c r="AB693" i="1"/>
  <c r="AC693" i="1"/>
  <c r="AD693" i="1"/>
  <c r="AE768" i="1"/>
  <c r="AE693" i="1" s="1"/>
  <c r="AF693" i="1"/>
  <c r="AG693" i="1"/>
  <c r="AV693" i="1"/>
  <c r="H694" i="1"/>
  <c r="I694" i="1"/>
  <c r="J694" i="1"/>
  <c r="K769" i="1"/>
  <c r="K694" i="1" s="1"/>
  <c r="L694" i="1"/>
  <c r="M694" i="1"/>
  <c r="N694" i="1"/>
  <c r="O769" i="1"/>
  <c r="O694" i="1" s="1"/>
  <c r="P694" i="1"/>
  <c r="Q694" i="1"/>
  <c r="R694" i="1"/>
  <c r="S769" i="1"/>
  <c r="S694" i="1"/>
  <c r="T694" i="1"/>
  <c r="U694" i="1"/>
  <c r="V694" i="1"/>
  <c r="W769" i="1"/>
  <c r="W694" i="1" s="1"/>
  <c r="X694" i="1"/>
  <c r="Y694" i="1"/>
  <c r="Z694" i="1"/>
  <c r="AA769" i="1"/>
  <c r="AA694" i="1"/>
  <c r="AB694" i="1"/>
  <c r="AC694" i="1"/>
  <c r="AD694" i="1"/>
  <c r="AE769" i="1"/>
  <c r="AE694" i="1" s="1"/>
  <c r="AF694" i="1"/>
  <c r="AG694" i="1"/>
  <c r="AV694" i="1"/>
  <c r="H695" i="1"/>
  <c r="I695" i="1"/>
  <c r="J695" i="1"/>
  <c r="K770" i="1"/>
  <c r="K695" i="1"/>
  <c r="L695" i="1"/>
  <c r="M695" i="1"/>
  <c r="N695" i="1"/>
  <c r="O770" i="1"/>
  <c r="O695" i="1"/>
  <c r="P695" i="1"/>
  <c r="Q695" i="1"/>
  <c r="R695" i="1"/>
  <c r="S770" i="1"/>
  <c r="S695" i="1" s="1"/>
  <c r="T695" i="1"/>
  <c r="U695" i="1"/>
  <c r="V695" i="1"/>
  <c r="W770" i="1"/>
  <c r="W695" i="1" s="1"/>
  <c r="X695" i="1"/>
  <c r="Y695" i="1"/>
  <c r="Z695" i="1"/>
  <c r="AA770" i="1"/>
  <c r="AA695" i="1" s="1"/>
  <c r="AB695" i="1"/>
  <c r="AC695" i="1"/>
  <c r="AD695" i="1"/>
  <c r="AE770" i="1"/>
  <c r="AE695" i="1" s="1"/>
  <c r="AF695" i="1"/>
  <c r="AG695" i="1"/>
  <c r="AV695" i="1"/>
  <c r="H696" i="1"/>
  <c r="I696" i="1"/>
  <c r="J696" i="1"/>
  <c r="K771" i="1"/>
  <c r="K696" i="1" s="1"/>
  <c r="L696" i="1"/>
  <c r="M696" i="1"/>
  <c r="N696" i="1"/>
  <c r="O771" i="1"/>
  <c r="O696" i="1" s="1"/>
  <c r="P696" i="1"/>
  <c r="Q696" i="1"/>
  <c r="R696" i="1"/>
  <c r="S771" i="1"/>
  <c r="S696" i="1" s="1"/>
  <c r="T696" i="1"/>
  <c r="U696" i="1"/>
  <c r="V696" i="1"/>
  <c r="W771" i="1"/>
  <c r="W696" i="1"/>
  <c r="X696" i="1"/>
  <c r="Y696" i="1"/>
  <c r="Z696" i="1"/>
  <c r="AA771" i="1"/>
  <c r="AA696" i="1"/>
  <c r="AB696" i="1"/>
  <c r="AC696" i="1"/>
  <c r="AD696" i="1"/>
  <c r="AE771" i="1"/>
  <c r="AE696" i="1" s="1"/>
  <c r="AF696" i="1"/>
  <c r="AG696" i="1"/>
  <c r="H697" i="1"/>
  <c r="I697" i="1"/>
  <c r="J697" i="1"/>
  <c r="K772" i="1"/>
  <c r="K697" i="1"/>
  <c r="L697" i="1"/>
  <c r="M697" i="1"/>
  <c r="N697" i="1"/>
  <c r="O772" i="1"/>
  <c r="O697" i="1" s="1"/>
  <c r="P697" i="1"/>
  <c r="Q697" i="1"/>
  <c r="R697" i="1"/>
  <c r="S772" i="1"/>
  <c r="S697" i="1"/>
  <c r="T697" i="1"/>
  <c r="U697" i="1"/>
  <c r="V697" i="1"/>
  <c r="W772" i="1"/>
  <c r="W697" i="1" s="1"/>
  <c r="X697" i="1"/>
  <c r="Y697" i="1"/>
  <c r="Z697" i="1"/>
  <c r="AA772" i="1"/>
  <c r="AA697" i="1" s="1"/>
  <c r="AB697" i="1"/>
  <c r="AC697" i="1"/>
  <c r="AD697" i="1"/>
  <c r="AE772" i="1"/>
  <c r="AE697" i="1" s="1"/>
  <c r="AF697" i="1"/>
  <c r="AG697" i="1"/>
  <c r="H698" i="1"/>
  <c r="I698" i="1"/>
  <c r="J698" i="1"/>
  <c r="K773" i="1"/>
  <c r="K698" i="1" s="1"/>
  <c r="L698" i="1"/>
  <c r="M698" i="1"/>
  <c r="N698" i="1"/>
  <c r="O773" i="1"/>
  <c r="O698" i="1" s="1"/>
  <c r="P698" i="1"/>
  <c r="Q698" i="1"/>
  <c r="R698" i="1"/>
  <c r="S773" i="1"/>
  <c r="S698" i="1" s="1"/>
  <c r="T698" i="1"/>
  <c r="U698" i="1"/>
  <c r="V698" i="1"/>
  <c r="W773" i="1"/>
  <c r="W698" i="1" s="1"/>
  <c r="X698" i="1"/>
  <c r="Y698" i="1"/>
  <c r="Z698" i="1"/>
  <c r="AA773" i="1"/>
  <c r="AA698" i="1" s="1"/>
  <c r="AB698" i="1"/>
  <c r="AC698" i="1"/>
  <c r="AD698" i="1"/>
  <c r="AE773" i="1"/>
  <c r="AE698" i="1" s="1"/>
  <c r="AF698" i="1"/>
  <c r="AG698" i="1"/>
  <c r="AV698" i="1"/>
  <c r="H699" i="1"/>
  <c r="I699" i="1"/>
  <c r="J699" i="1"/>
  <c r="K774" i="1"/>
  <c r="K699" i="1" s="1"/>
  <c r="L699" i="1"/>
  <c r="M699" i="1"/>
  <c r="N699" i="1"/>
  <c r="O774" i="1"/>
  <c r="O699" i="1" s="1"/>
  <c r="P699" i="1"/>
  <c r="Q699" i="1"/>
  <c r="R699" i="1"/>
  <c r="S774" i="1"/>
  <c r="S699" i="1"/>
  <c r="T699" i="1"/>
  <c r="U699" i="1"/>
  <c r="V699" i="1"/>
  <c r="W774" i="1"/>
  <c r="W699" i="1" s="1"/>
  <c r="X699" i="1"/>
  <c r="Y699" i="1"/>
  <c r="Z699" i="1"/>
  <c r="AA774" i="1"/>
  <c r="AA699" i="1" s="1"/>
  <c r="AB699" i="1"/>
  <c r="AC699" i="1"/>
  <c r="AD699" i="1"/>
  <c r="AE774" i="1"/>
  <c r="AE699" i="1"/>
  <c r="AF699" i="1"/>
  <c r="AG699" i="1"/>
  <c r="AV699" i="1"/>
  <c r="H700" i="1"/>
  <c r="I700" i="1"/>
  <c r="J700" i="1"/>
  <c r="K775" i="1"/>
  <c r="K700" i="1"/>
  <c r="L700" i="1"/>
  <c r="M700" i="1"/>
  <c r="N700" i="1"/>
  <c r="O775" i="1"/>
  <c r="O700" i="1"/>
  <c r="P700" i="1"/>
  <c r="Q700" i="1"/>
  <c r="R700" i="1"/>
  <c r="S775" i="1"/>
  <c r="S700" i="1" s="1"/>
  <c r="T700" i="1"/>
  <c r="U700" i="1"/>
  <c r="V700" i="1"/>
  <c r="W775" i="1"/>
  <c r="W700" i="1" s="1"/>
  <c r="X700" i="1"/>
  <c r="Y700" i="1"/>
  <c r="Z700" i="1"/>
  <c r="AA775" i="1"/>
  <c r="AA700" i="1" s="1"/>
  <c r="AB700" i="1"/>
  <c r="AC700" i="1"/>
  <c r="AD700" i="1"/>
  <c r="AE775" i="1"/>
  <c r="AE700" i="1"/>
  <c r="AF700" i="1"/>
  <c r="AG700" i="1"/>
  <c r="AV700" i="1"/>
  <c r="H701" i="1"/>
  <c r="I701" i="1"/>
  <c r="J701" i="1"/>
  <c r="K776" i="1"/>
  <c r="K701" i="1" s="1"/>
  <c r="L701" i="1"/>
  <c r="M701" i="1"/>
  <c r="N701" i="1"/>
  <c r="O776" i="1"/>
  <c r="O701" i="1" s="1"/>
  <c r="P701" i="1"/>
  <c r="Q701" i="1"/>
  <c r="R701" i="1"/>
  <c r="S776" i="1"/>
  <c r="S701" i="1" s="1"/>
  <c r="T701" i="1"/>
  <c r="U701" i="1"/>
  <c r="V701" i="1"/>
  <c r="W776" i="1"/>
  <c r="W701" i="1" s="1"/>
  <c r="X701" i="1"/>
  <c r="Y701" i="1"/>
  <c r="Z701" i="1"/>
  <c r="AA776" i="1"/>
  <c r="AA701" i="1" s="1"/>
  <c r="AB701" i="1"/>
  <c r="AC701" i="1"/>
  <c r="AD701" i="1"/>
  <c r="AE776" i="1"/>
  <c r="AE701" i="1" s="1"/>
  <c r="AF701" i="1"/>
  <c r="AG701" i="1"/>
  <c r="AV701" i="1"/>
  <c r="H702" i="1"/>
  <c r="I702" i="1"/>
  <c r="J702" i="1"/>
  <c r="K777" i="1"/>
  <c r="K702" i="1" s="1"/>
  <c r="L702" i="1"/>
  <c r="M702" i="1"/>
  <c r="N702" i="1"/>
  <c r="O777" i="1"/>
  <c r="O702" i="1" s="1"/>
  <c r="P702" i="1"/>
  <c r="Q702" i="1"/>
  <c r="R702" i="1"/>
  <c r="S777" i="1"/>
  <c r="S702" i="1" s="1"/>
  <c r="T702" i="1"/>
  <c r="U702" i="1"/>
  <c r="V702" i="1"/>
  <c r="W777" i="1"/>
  <c r="W702" i="1" s="1"/>
  <c r="X702" i="1"/>
  <c r="Y702" i="1"/>
  <c r="Z702" i="1"/>
  <c r="AA777" i="1"/>
  <c r="AA702" i="1" s="1"/>
  <c r="AB702" i="1"/>
  <c r="AC702" i="1"/>
  <c r="AD702" i="1"/>
  <c r="AE777" i="1"/>
  <c r="AE702" i="1" s="1"/>
  <c r="AF702" i="1"/>
  <c r="AG702" i="1"/>
  <c r="AV702" i="1"/>
  <c r="H703" i="1"/>
  <c r="I703" i="1"/>
  <c r="J703" i="1"/>
  <c r="K778" i="1"/>
  <c r="K703" i="1"/>
  <c r="L703" i="1"/>
  <c r="M703" i="1"/>
  <c r="N703" i="1"/>
  <c r="O778" i="1"/>
  <c r="O703" i="1"/>
  <c r="P703" i="1"/>
  <c r="Q703" i="1"/>
  <c r="R703" i="1"/>
  <c r="S778" i="1"/>
  <c r="S703" i="1" s="1"/>
  <c r="T703" i="1"/>
  <c r="U703" i="1"/>
  <c r="V703" i="1"/>
  <c r="W778" i="1"/>
  <c r="W703" i="1" s="1"/>
  <c r="X703" i="1"/>
  <c r="Y703" i="1"/>
  <c r="Z703" i="1"/>
  <c r="AA778" i="1"/>
  <c r="AA703" i="1" s="1"/>
  <c r="AB703" i="1"/>
  <c r="AC703" i="1"/>
  <c r="AD703" i="1"/>
  <c r="AE778" i="1"/>
  <c r="AE703" i="1"/>
  <c r="AF703" i="1"/>
  <c r="AG703" i="1"/>
  <c r="H704" i="1"/>
  <c r="I704" i="1"/>
  <c r="J704" i="1"/>
  <c r="K779" i="1"/>
  <c r="K704" i="1" s="1"/>
  <c r="L704" i="1"/>
  <c r="M704" i="1"/>
  <c r="N704" i="1"/>
  <c r="O779" i="1"/>
  <c r="O704" i="1"/>
  <c r="P704" i="1"/>
  <c r="Q704" i="1"/>
  <c r="R704" i="1"/>
  <c r="S779" i="1"/>
  <c r="S704" i="1"/>
  <c r="T704" i="1"/>
  <c r="U704" i="1"/>
  <c r="V704" i="1"/>
  <c r="W779" i="1"/>
  <c r="W704" i="1" s="1"/>
  <c r="X704" i="1"/>
  <c r="Y704" i="1"/>
  <c r="Z704" i="1"/>
  <c r="AA779" i="1"/>
  <c r="AA704" i="1" s="1"/>
  <c r="AB704" i="1"/>
  <c r="AC704" i="1"/>
  <c r="AD704" i="1"/>
  <c r="AE779" i="1"/>
  <c r="AE704" i="1" s="1"/>
  <c r="AF704" i="1"/>
  <c r="AG704" i="1"/>
  <c r="AV704" i="1"/>
  <c r="H705" i="1"/>
  <c r="I705" i="1"/>
  <c r="J705" i="1"/>
  <c r="K780" i="1"/>
  <c r="K705" i="1" s="1"/>
  <c r="L705" i="1"/>
  <c r="M705" i="1"/>
  <c r="N705" i="1"/>
  <c r="O780" i="1"/>
  <c r="O705" i="1" s="1"/>
  <c r="P705" i="1"/>
  <c r="Q705" i="1"/>
  <c r="R705" i="1"/>
  <c r="S780" i="1"/>
  <c r="S705" i="1"/>
  <c r="T705" i="1"/>
  <c r="U705" i="1"/>
  <c r="V705" i="1"/>
  <c r="W780" i="1"/>
  <c r="W705" i="1" s="1"/>
  <c r="X705" i="1"/>
  <c r="Y705" i="1"/>
  <c r="Z705" i="1"/>
  <c r="AA780" i="1"/>
  <c r="AA705" i="1" s="1"/>
  <c r="AB705" i="1"/>
  <c r="AC705" i="1"/>
  <c r="AD705" i="1"/>
  <c r="AE780" i="1"/>
  <c r="AE705" i="1" s="1"/>
  <c r="AF705" i="1"/>
  <c r="AG705" i="1"/>
  <c r="H706" i="1"/>
  <c r="I706" i="1"/>
  <c r="J706" i="1"/>
  <c r="K781" i="1"/>
  <c r="K706" i="1" s="1"/>
  <c r="L706" i="1"/>
  <c r="M706" i="1"/>
  <c r="N706" i="1"/>
  <c r="O781" i="1"/>
  <c r="O706" i="1"/>
  <c r="P706" i="1"/>
  <c r="Q706" i="1"/>
  <c r="R706" i="1"/>
  <c r="S781" i="1"/>
  <c r="S706" i="1" s="1"/>
  <c r="T706" i="1"/>
  <c r="U706" i="1"/>
  <c r="V706" i="1"/>
  <c r="W781" i="1"/>
  <c r="W706" i="1"/>
  <c r="X706" i="1"/>
  <c r="Y706" i="1"/>
  <c r="Z706" i="1"/>
  <c r="AA781" i="1"/>
  <c r="AA706" i="1"/>
  <c r="AB706" i="1"/>
  <c r="AC706" i="1"/>
  <c r="AD706" i="1"/>
  <c r="AE781" i="1"/>
  <c r="AE706" i="1" s="1"/>
  <c r="AF706" i="1"/>
  <c r="AG706" i="1"/>
  <c r="AV706" i="1"/>
  <c r="AQ782" i="1"/>
  <c r="K782" i="1" s="1"/>
  <c r="K707" i="1" s="1"/>
  <c r="AR782" i="1"/>
  <c r="O782" i="1"/>
  <c r="O707" i="1" s="1"/>
  <c r="AS782" i="1"/>
  <c r="S782" i="1" s="1"/>
  <c r="S707" i="1" s="1"/>
  <c r="AT782" i="1"/>
  <c r="W782" i="1"/>
  <c r="W707" i="1" s="1"/>
  <c r="AU782" i="1"/>
  <c r="AA782" i="1" s="1"/>
  <c r="AA707" i="1" s="1"/>
  <c r="AE782" i="1"/>
  <c r="AE707" i="1"/>
  <c r="AF707" i="1"/>
  <c r="AG707" i="1"/>
  <c r="AO707" i="1"/>
  <c r="AP707" i="1"/>
  <c r="H709" i="1"/>
  <c r="I709" i="1"/>
  <c r="J709" i="1"/>
  <c r="K784" i="1"/>
  <c r="K709" i="1" s="1"/>
  <c r="L709" i="1"/>
  <c r="M709" i="1"/>
  <c r="N709" i="1"/>
  <c r="O784" i="1"/>
  <c r="O709" i="1" s="1"/>
  <c r="P709" i="1"/>
  <c r="Q709" i="1"/>
  <c r="R709" i="1"/>
  <c r="S784" i="1"/>
  <c r="S709" i="1" s="1"/>
  <c r="T709" i="1"/>
  <c r="U709" i="1"/>
  <c r="V709" i="1"/>
  <c r="W784" i="1"/>
  <c r="W709" i="1"/>
  <c r="X709" i="1"/>
  <c r="Y709" i="1"/>
  <c r="Z709" i="1"/>
  <c r="AA784" i="1"/>
  <c r="AA709" i="1" s="1"/>
  <c r="AB709" i="1"/>
  <c r="AC709" i="1"/>
  <c r="AD709" i="1"/>
  <c r="AE784" i="1"/>
  <c r="AE709" i="1"/>
  <c r="AF709" i="1"/>
  <c r="AG709" i="1"/>
  <c r="AV709" i="1"/>
  <c r="H785" i="1"/>
  <c r="H710" i="1" s="1"/>
  <c r="I785" i="1"/>
  <c r="I710" i="1" s="1"/>
  <c r="J785" i="1"/>
  <c r="J710" i="1"/>
  <c r="AQ785" i="1"/>
  <c r="K785" i="1" s="1"/>
  <c r="K710" i="1" s="1"/>
  <c r="L785" i="1"/>
  <c r="L710" i="1"/>
  <c r="M785" i="1"/>
  <c r="N785" i="1"/>
  <c r="N710" i="1" s="1"/>
  <c r="AR785" i="1"/>
  <c r="O785" i="1" s="1"/>
  <c r="O710" i="1" s="1"/>
  <c r="P785" i="1"/>
  <c r="P710" i="1" s="1"/>
  <c r="Q785" i="1"/>
  <c r="R710" i="1" s="1"/>
  <c r="Q710" i="1"/>
  <c r="R785" i="1"/>
  <c r="T785" i="1"/>
  <c r="T710" i="1" s="1"/>
  <c r="U785" i="1"/>
  <c r="V785" i="1"/>
  <c r="AT785" i="1"/>
  <c r="W785" i="1" s="1"/>
  <c r="W710" i="1" s="1"/>
  <c r="X785" i="1"/>
  <c r="X710" i="1" s="1"/>
  <c r="Y785" i="1"/>
  <c r="Z710" i="1" s="1"/>
  <c r="Y710" i="1"/>
  <c r="Z785" i="1"/>
  <c r="AU785" i="1"/>
  <c r="AA785" i="1" s="1"/>
  <c r="AA710" i="1" s="1"/>
  <c r="AB785" i="1"/>
  <c r="AB710" i="1"/>
  <c r="AC785" i="1"/>
  <c r="AD785" i="1"/>
  <c r="AD710" i="1"/>
  <c r="AV785" i="1"/>
  <c r="AV710" i="1" s="1"/>
  <c r="AE785" i="1"/>
  <c r="AE710" i="1" s="1"/>
  <c r="AF785" i="1"/>
  <c r="AF710" i="1" s="1"/>
  <c r="AG785" i="1"/>
  <c r="AO710" i="1"/>
  <c r="AP710" i="1"/>
  <c r="AQ710" i="1"/>
  <c r="AS710" i="1"/>
  <c r="AT710" i="1"/>
  <c r="AO746" i="1"/>
  <c r="AP746" i="1"/>
  <c r="AO763" i="1"/>
  <c r="AP763" i="1"/>
  <c r="AO782" i="1"/>
  <c r="AO785" i="1" s="1"/>
  <c r="AP782" i="1"/>
  <c r="AP785" i="1" s="1"/>
  <c r="H797" i="1"/>
  <c r="H809" i="1" s="1"/>
  <c r="I797" i="1"/>
  <c r="J797" i="1"/>
  <c r="K797" i="1"/>
  <c r="L797" i="1"/>
  <c r="M797" i="1"/>
  <c r="N797" i="1"/>
  <c r="O797" i="1"/>
  <c r="O809" i="1" s="1"/>
  <c r="P797" i="1"/>
  <c r="Q797" i="1"/>
  <c r="Q809" i="1" s="1"/>
  <c r="R797" i="1"/>
  <c r="R809" i="1" s="1"/>
  <c r="S797" i="1"/>
  <c r="T797" i="1"/>
  <c r="U797" i="1"/>
  <c r="V797" i="1"/>
  <c r="W797" i="1"/>
  <c r="W809" i="1" s="1"/>
  <c r="X797" i="1"/>
  <c r="Y797" i="1"/>
  <c r="Z797" i="1"/>
  <c r="AA797" i="1"/>
  <c r="AB797" i="1"/>
  <c r="AC797" i="1"/>
  <c r="AD797" i="1"/>
  <c r="AE797" i="1"/>
  <c r="AE809" i="1" s="1"/>
  <c r="AF797" i="1"/>
  <c r="AG797" i="1"/>
  <c r="AO797" i="1"/>
  <c r="AO809" i="1" s="1"/>
  <c r="AP797" i="1"/>
  <c r="AQ797" i="1"/>
  <c r="AR797" i="1"/>
  <c r="AS797" i="1"/>
  <c r="AS809" i="1" s="1"/>
  <c r="AT797" i="1"/>
  <c r="AT809" i="1" s="1"/>
  <c r="AU797" i="1"/>
  <c r="AU809" i="1" s="1"/>
  <c r="AV797" i="1"/>
  <c r="H807" i="1"/>
  <c r="I807" i="1"/>
  <c r="J807" i="1"/>
  <c r="K807" i="1"/>
  <c r="K809" i="1" s="1"/>
  <c r="L807" i="1"/>
  <c r="M807" i="1"/>
  <c r="N807" i="1"/>
  <c r="N809" i="1" s="1"/>
  <c r="O807" i="1"/>
  <c r="P807" i="1"/>
  <c r="Q807" i="1"/>
  <c r="R807" i="1"/>
  <c r="S807" i="1"/>
  <c r="S809" i="1" s="1"/>
  <c r="T807" i="1"/>
  <c r="T809" i="1" s="1"/>
  <c r="U807" i="1"/>
  <c r="V807" i="1"/>
  <c r="W807" i="1"/>
  <c r="X807" i="1"/>
  <c r="Y807" i="1"/>
  <c r="Z807" i="1"/>
  <c r="AA807" i="1"/>
  <c r="AA809" i="1" s="1"/>
  <c r="AB807" i="1"/>
  <c r="AC807" i="1"/>
  <c r="AD807" i="1"/>
  <c r="AE807" i="1"/>
  <c r="AF807" i="1"/>
  <c r="AG807" i="1"/>
  <c r="AO807" i="1"/>
  <c r="AP807" i="1"/>
  <c r="AQ807" i="1"/>
  <c r="AR807" i="1"/>
  <c r="AS807" i="1"/>
  <c r="AT807" i="1"/>
  <c r="AU807" i="1"/>
  <c r="AV807" i="1"/>
  <c r="I809" i="1"/>
  <c r="P809" i="1"/>
  <c r="X809" i="1"/>
  <c r="Y809" i="1"/>
  <c r="AD809" i="1"/>
  <c r="AF809" i="1"/>
  <c r="AG809" i="1"/>
  <c r="AV809" i="1"/>
  <c r="H823" i="1"/>
  <c r="I823" i="1"/>
  <c r="J823" i="1"/>
  <c r="K823" i="1"/>
  <c r="L823" i="1"/>
  <c r="M823" i="1"/>
  <c r="N823" i="1"/>
  <c r="N833" i="1" s="1"/>
  <c r="N843" i="1" s="1"/>
  <c r="O823" i="1"/>
  <c r="P823" i="1"/>
  <c r="P833" i="1" s="1"/>
  <c r="Q823" i="1"/>
  <c r="R823" i="1"/>
  <c r="S823" i="1"/>
  <c r="T823" i="1"/>
  <c r="U823" i="1"/>
  <c r="U833" i="1" s="1"/>
  <c r="U843" i="1" s="1"/>
  <c r="V823" i="1"/>
  <c r="V833" i="1" s="1"/>
  <c r="V843" i="1" s="1"/>
  <c r="W823" i="1"/>
  <c r="X823" i="1"/>
  <c r="Y823" i="1"/>
  <c r="Z823" i="1"/>
  <c r="AA823" i="1"/>
  <c r="AB823" i="1"/>
  <c r="AC823" i="1"/>
  <c r="AD823" i="1"/>
  <c r="AD833" i="1" s="1"/>
  <c r="AD843" i="1" s="1"/>
  <c r="AE823" i="1"/>
  <c r="AF823" i="1"/>
  <c r="AF833" i="1" s="1"/>
  <c r="AG823" i="1"/>
  <c r="AO823" i="1"/>
  <c r="AP823" i="1"/>
  <c r="AQ823" i="1"/>
  <c r="AR823" i="1"/>
  <c r="AS823" i="1"/>
  <c r="AS833" i="1" s="1"/>
  <c r="AS843" i="1" s="1"/>
  <c r="AT823" i="1"/>
  <c r="AU823" i="1"/>
  <c r="AV823" i="1"/>
  <c r="H831" i="1"/>
  <c r="I831" i="1"/>
  <c r="J831" i="1"/>
  <c r="J833" i="1" s="1"/>
  <c r="J843" i="1" s="1"/>
  <c r="K831" i="1"/>
  <c r="L831" i="1"/>
  <c r="L833" i="1" s="1"/>
  <c r="L843" i="1" s="1"/>
  <c r="M831" i="1"/>
  <c r="N831" i="1"/>
  <c r="O831" i="1"/>
  <c r="P831" i="1"/>
  <c r="Q831" i="1"/>
  <c r="R831" i="1"/>
  <c r="R833" i="1" s="1"/>
  <c r="S831" i="1"/>
  <c r="S833" i="1" s="1"/>
  <c r="S843" i="1" s="1"/>
  <c r="T831" i="1"/>
  <c r="U831" i="1"/>
  <c r="V831" i="1"/>
  <c r="W831" i="1"/>
  <c r="X831" i="1"/>
  <c r="Y831" i="1"/>
  <c r="Z831" i="1"/>
  <c r="AA831" i="1"/>
  <c r="AB831" i="1"/>
  <c r="AB833" i="1" s="1"/>
  <c r="AB843" i="1" s="1"/>
  <c r="AC831" i="1"/>
  <c r="AD831" i="1"/>
  <c r="AE831" i="1"/>
  <c r="AF831" i="1"/>
  <c r="AG831" i="1"/>
  <c r="AO831" i="1"/>
  <c r="AO833" i="1" s="1"/>
  <c r="AP831" i="1"/>
  <c r="AP833" i="1" s="1"/>
  <c r="AQ831" i="1"/>
  <c r="AR831" i="1"/>
  <c r="AS831" i="1"/>
  <c r="AT831" i="1"/>
  <c r="AU831" i="1"/>
  <c r="AU833" i="1" s="1"/>
  <c r="AV831" i="1"/>
  <c r="I833" i="1"/>
  <c r="K833" i="1"/>
  <c r="K843" i="1" s="1"/>
  <c r="Y833" i="1"/>
  <c r="Y843" i="1" s="1"/>
  <c r="AA833" i="1"/>
  <c r="AC833" i="1"/>
  <c r="AC843" i="1" s="1"/>
  <c r="AV833" i="1"/>
  <c r="AV843" i="1" s="1"/>
  <c r="H841" i="1"/>
  <c r="I841" i="1"/>
  <c r="J841" i="1"/>
  <c r="K841" i="1"/>
  <c r="L841" i="1"/>
  <c r="M841" i="1"/>
  <c r="N841" i="1"/>
  <c r="O841" i="1"/>
  <c r="P841" i="1"/>
  <c r="Q841" i="1"/>
  <c r="R841" i="1"/>
  <c r="S841" i="1"/>
  <c r="T841" i="1"/>
  <c r="U841" i="1"/>
  <c r="V841" i="1"/>
  <c r="W841" i="1"/>
  <c r="X841" i="1"/>
  <c r="Y841" i="1"/>
  <c r="Z841" i="1"/>
  <c r="AA841" i="1"/>
  <c r="AB841" i="1"/>
  <c r="AC841" i="1"/>
  <c r="AD841" i="1"/>
  <c r="AE841" i="1"/>
  <c r="AF841" i="1"/>
  <c r="AG841" i="1"/>
  <c r="AO841" i="1"/>
  <c r="AP841" i="1"/>
  <c r="AQ841" i="1"/>
  <c r="AR841" i="1"/>
  <c r="AS841" i="1"/>
  <c r="AT841" i="1"/>
  <c r="AU841" i="1"/>
  <c r="AV841" i="1"/>
  <c r="AA843" i="1"/>
  <c r="AR833" i="1" l="1"/>
  <c r="AR843" i="1" s="1"/>
  <c r="V809" i="1"/>
  <c r="V710" i="1"/>
  <c r="W633" i="1"/>
  <c r="AS605" i="1"/>
  <c r="V605" i="1"/>
  <c r="AO843" i="1"/>
  <c r="R843" i="1"/>
  <c r="AR809" i="1"/>
  <c r="U809" i="1"/>
  <c r="Z636" i="1"/>
  <c r="AQ809" i="1"/>
  <c r="AS785" i="1"/>
  <c r="S785" i="1" s="1"/>
  <c r="S710" i="1" s="1"/>
  <c r="Y636" i="1"/>
  <c r="AP809" i="1"/>
  <c r="AC710" i="1"/>
  <c r="X636" i="1"/>
  <c r="AG605" i="1"/>
  <c r="Q605" i="1"/>
  <c r="AF843" i="1"/>
  <c r="P843" i="1"/>
  <c r="O635" i="1"/>
  <c r="AF605" i="1"/>
  <c r="P605" i="1"/>
  <c r="AE833" i="1"/>
  <c r="AE843" i="1" s="1"/>
  <c r="O833" i="1"/>
  <c r="O843" i="1" s="1"/>
  <c r="AE605" i="1"/>
  <c r="O605" i="1"/>
  <c r="AV584" i="1"/>
  <c r="M833" i="1"/>
  <c r="M843" i="1" s="1"/>
  <c r="AV603" i="1"/>
  <c r="AC605" i="1"/>
  <c r="M605" i="1"/>
  <c r="I843" i="1"/>
  <c r="AC809" i="1"/>
  <c r="M809" i="1"/>
  <c r="AV602" i="1"/>
  <c r="AB809" i="1"/>
  <c r="L809" i="1"/>
  <c r="M710" i="1"/>
  <c r="AU843" i="1"/>
  <c r="X833" i="1"/>
  <c r="X843" i="1" s="1"/>
  <c r="H833" i="1"/>
  <c r="H843" i="1" s="1"/>
  <c r="Z833" i="1"/>
  <c r="Z843" i="1" s="1"/>
  <c r="AG710" i="1"/>
  <c r="AV636" i="1"/>
  <c r="O634" i="1"/>
  <c r="AU636" i="1"/>
  <c r="AQ636" i="1"/>
  <c r="Z809" i="1"/>
  <c r="J809" i="1"/>
  <c r="AT833" i="1"/>
  <c r="AT843" i="1" s="1"/>
  <c r="W833" i="1"/>
  <c r="W843" i="1" s="1"/>
  <c r="AQ833" i="1"/>
  <c r="AQ843" i="1" s="1"/>
  <c r="T833" i="1"/>
  <c r="T843" i="1" s="1"/>
  <c r="AP843" i="1"/>
  <c r="U710" i="1"/>
  <c r="AA636" i="1"/>
  <c r="M12" i="216"/>
  <c r="M14" i="216" s="1"/>
  <c r="M15" i="216" s="1"/>
  <c r="N12" i="216"/>
  <c r="N14" i="216" s="1"/>
  <c r="N15" i="216" s="1"/>
  <c r="O12" i="216"/>
  <c r="O14" i="216" s="1"/>
  <c r="O15" i="216" s="1"/>
  <c r="P12" i="216"/>
  <c r="P14" i="216" s="1"/>
  <c r="P15" i="216" s="1"/>
  <c r="Q12" i="216"/>
  <c r="Q14" i="216" s="1"/>
  <c r="Q15" i="216" s="1"/>
  <c r="R12" i="216"/>
  <c r="R14" i="216" s="1"/>
  <c r="R15" i="216" s="1"/>
  <c r="S12" i="216"/>
  <c r="S14" i="216" s="1"/>
  <c r="S15" i="216" s="1"/>
  <c r="L12" i="216"/>
  <c r="L14" i="216" s="1"/>
  <c r="L15" i="216" s="1"/>
  <c r="T12" i="216"/>
  <c r="T14" i="216" s="1"/>
  <c r="T15" i="216" s="1"/>
  <c r="U12" i="216"/>
  <c r="U14" i="216" s="1"/>
  <c r="U15" i="216" s="1"/>
  <c r="V12" i="216"/>
  <c r="V14" i="216" s="1"/>
  <c r="V15" i="216" s="1"/>
  <c r="W12" i="216"/>
  <c r="W14" i="216" s="1"/>
  <c r="W15" i="216" s="1"/>
  <c r="H12" i="216"/>
  <c r="H14" i="216" s="1"/>
  <c r="H15" i="216" s="1"/>
  <c r="X12" i="216"/>
  <c r="X14" i="216" s="1"/>
  <c r="X15" i="216" s="1"/>
  <c r="I12" i="216"/>
  <c r="I14" i="216" s="1"/>
  <c r="I15" i="216" s="1"/>
  <c r="Y12" i="216"/>
  <c r="Y14" i="216" s="1"/>
  <c r="Y15" i="216" s="1"/>
  <c r="J12" i="216"/>
  <c r="J14" i="216" s="1"/>
  <c r="J15" i="216" s="1"/>
  <c r="Z12" i="216"/>
  <c r="Z14" i="216" s="1"/>
  <c r="Z15" i="216" s="1"/>
  <c r="K12" i="216"/>
  <c r="K14" i="216" s="1"/>
  <c r="K15" i="216" s="1"/>
  <c r="O692" i="1"/>
  <c r="AG833" i="1"/>
  <c r="AG843" i="1" s="1"/>
  <c r="Q833" i="1"/>
  <c r="Q843" i="1" s="1"/>
  <c r="K629" i="1"/>
  <c r="O636" i="1" s="1"/>
  <c r="AB605" i="1"/>
  <c r="U17" i="216"/>
  <c r="V17" i="216"/>
  <c r="W17" i="216"/>
  <c r="H17" i="216"/>
  <c r="H21" i="216" s="1"/>
  <c r="H22" i="216" s="1"/>
  <c r="X17" i="216"/>
  <c r="I17" i="216"/>
  <c r="I21" i="216" s="1"/>
  <c r="I22" i="216" s="1"/>
  <c r="Y17" i="216"/>
  <c r="J17" i="216"/>
  <c r="J21" i="216" s="1"/>
  <c r="J22" i="216" s="1"/>
  <c r="Z17" i="216"/>
  <c r="K17" i="216"/>
  <c r="K21" i="216" s="1"/>
  <c r="K22" i="216" s="1"/>
  <c r="L17" i="216"/>
  <c r="L21" i="216" s="1"/>
  <c r="L22" i="216" s="1"/>
  <c r="M17" i="216"/>
  <c r="M21" i="216" s="1"/>
  <c r="M22" i="216" s="1"/>
  <c r="N17" i="216"/>
  <c r="N21" i="216" s="1"/>
  <c r="N22" i="216" s="1"/>
  <c r="O17" i="216"/>
  <c r="O21" i="216" s="1"/>
  <c r="O22" i="216" s="1"/>
  <c r="T17" i="216"/>
  <c r="P17" i="216"/>
  <c r="P21" i="216" s="1"/>
  <c r="P22" i="216" s="1"/>
  <c r="Q17" i="216"/>
  <c r="Q21" i="216" s="1"/>
  <c r="Q22" i="216" s="1"/>
  <c r="R17" i="216"/>
  <c r="S17" i="216"/>
  <c r="AR636" i="1"/>
  <c r="T636" i="1"/>
  <c r="W632" i="1"/>
  <c r="AV585" i="1"/>
  <c r="AV542" i="1"/>
  <c r="AV605" i="1" l="1"/>
  <c r="U2" i="7"/>
  <c r="I7" i="7"/>
  <c r="J8" i="7"/>
  <c r="K8" i="7" s="1"/>
  <c r="L8" i="7" s="1"/>
  <c r="M8" i="7" s="1"/>
  <c r="N8" i="7" s="1"/>
  <c r="O8" i="7" s="1"/>
  <c r="P8" i="7" s="1"/>
  <c r="Q8" i="7" s="1"/>
  <c r="R8" i="7" s="1"/>
  <c r="S8" i="7" s="1"/>
  <c r="T8" i="7" s="1"/>
  <c r="U8" i="7" s="1"/>
  <c r="E9" i="7"/>
  <c r="F9" i="7"/>
  <c r="G9" i="7"/>
  <c r="H9" i="7"/>
  <c r="I9" i="7"/>
  <c r="E11" i="7"/>
  <c r="D11" i="7" s="1"/>
  <c r="D13" i="7" s="1"/>
  <c r="J11" i="7"/>
  <c r="K11" i="7" s="1"/>
  <c r="G12" i="7"/>
  <c r="H12" i="7"/>
  <c r="I12" i="7"/>
  <c r="F13" i="7"/>
  <c r="G13" i="7"/>
  <c r="H13" i="7"/>
  <c r="I13" i="7"/>
  <c r="G15" i="7"/>
  <c r="F15" i="7"/>
  <c r="F17" i="7" s="1"/>
  <c r="E15" i="7"/>
  <c r="D15" i="7" s="1"/>
  <c r="J16" i="7"/>
  <c r="J15" i="7" s="1"/>
  <c r="K16" i="7"/>
  <c r="K15" i="7"/>
  <c r="L16" i="7"/>
  <c r="L15" i="7"/>
  <c r="M16" i="7"/>
  <c r="N16" i="7"/>
  <c r="O16" i="7"/>
  <c r="P16" i="7"/>
  <c r="Q16" i="7"/>
  <c r="R16" i="7"/>
  <c r="S16" i="7"/>
  <c r="T16" i="7"/>
  <c r="U16" i="7"/>
  <c r="G17" i="7"/>
  <c r="H17" i="7"/>
  <c r="I17" i="7"/>
  <c r="D19" i="7"/>
  <c r="D8" i="2" s="1"/>
  <c r="E19" i="7"/>
  <c r="E8" i="2" s="1"/>
  <c r="F19" i="7"/>
  <c r="F21" i="7" s="1"/>
  <c r="G19" i="7"/>
  <c r="G20" i="7" s="1"/>
  <c r="H19" i="7"/>
  <c r="I20" i="7" s="1"/>
  <c r="I19" i="7"/>
  <c r="J19" i="7"/>
  <c r="J8" i="2" s="1"/>
  <c r="K19" i="7"/>
  <c r="K23" i="7"/>
  <c r="K25" i="7"/>
  <c r="L25" i="7" s="1"/>
  <c r="M25" i="7" s="1"/>
  <c r="N25" i="7"/>
  <c r="O25" i="7" s="1"/>
  <c r="P25" i="7" s="1"/>
  <c r="Q25" i="7" s="1"/>
  <c r="R25" i="7" s="1"/>
  <c r="S25" i="7" s="1"/>
  <c r="T25" i="7" s="1"/>
  <c r="U25" i="7" s="1"/>
  <c r="J20" i="7"/>
  <c r="K20" i="7"/>
  <c r="G21" i="7"/>
  <c r="I21" i="7"/>
  <c r="K21" i="7"/>
  <c r="D23" i="7"/>
  <c r="D52" i="7" s="1"/>
  <c r="E23" i="7"/>
  <c r="F23" i="7"/>
  <c r="F24" i="7" s="1"/>
  <c r="G23" i="7"/>
  <c r="H23" i="7"/>
  <c r="I23" i="7"/>
  <c r="J23" i="7"/>
  <c r="K24" i="7"/>
  <c r="E42" i="7"/>
  <c r="E51" i="7" s="1"/>
  <c r="F42" i="7"/>
  <c r="F51" i="7" s="1"/>
  <c r="G42" i="7"/>
  <c r="H42" i="7"/>
  <c r="H51" i="7" s="1"/>
  <c r="I42" i="7"/>
  <c r="I51" i="7" s="1"/>
  <c r="J42" i="7"/>
  <c r="K42" i="7"/>
  <c r="K52" i="7" s="1"/>
  <c r="G50" i="7"/>
  <c r="I50" i="7"/>
  <c r="J50" i="7"/>
  <c r="K50" i="7"/>
  <c r="D51" i="7"/>
  <c r="F8" i="2"/>
  <c r="G8" i="2"/>
  <c r="I8" i="2"/>
  <c r="K8" i="2"/>
  <c r="D15" i="2"/>
  <c r="D46" i="7" s="1"/>
  <c r="D14" i="2"/>
  <c r="D12" i="2"/>
  <c r="D36" i="7" s="1"/>
  <c r="D27" i="7" s="1"/>
  <c r="E15" i="2"/>
  <c r="E14" i="2"/>
  <c r="E45" i="7" s="1"/>
  <c r="E40" i="7" s="1"/>
  <c r="E12" i="2"/>
  <c r="E36" i="7" s="1"/>
  <c r="E27" i="7" s="1"/>
  <c r="F15" i="2"/>
  <c r="F14" i="2"/>
  <c r="F13" i="2" s="1"/>
  <c r="F12" i="2"/>
  <c r="F22" i="2" s="1"/>
  <c r="G15" i="2"/>
  <c r="G14" i="2"/>
  <c r="G13" i="2" s="1"/>
  <c r="G12" i="2"/>
  <c r="H15" i="2"/>
  <c r="H46" i="7" s="1"/>
  <c r="H14" i="2"/>
  <c r="H45" i="7" s="1"/>
  <c r="H40" i="7" s="1"/>
  <c r="H12" i="2"/>
  <c r="H36" i="7" s="1"/>
  <c r="H27" i="7" s="1"/>
  <c r="I15" i="2"/>
  <c r="I14" i="2"/>
  <c r="I12" i="2"/>
  <c r="J15" i="2"/>
  <c r="J46" i="7" s="1"/>
  <c r="J14" i="2"/>
  <c r="J12" i="2"/>
  <c r="J36" i="7" s="1"/>
  <c r="J27" i="7" s="1"/>
  <c r="J28" i="7" s="1"/>
  <c r="K15" i="2"/>
  <c r="K25" i="2" s="1"/>
  <c r="K16" i="2" s="1"/>
  <c r="K17" i="2" s="1"/>
  <c r="K14" i="2"/>
  <c r="K12" i="2"/>
  <c r="K36" i="7" s="1"/>
  <c r="K27" i="7" s="1"/>
  <c r="E33" i="2"/>
  <c r="E43" i="2" s="1"/>
  <c r="F33" i="2"/>
  <c r="F51" i="2" s="1"/>
  <c r="F57" i="2" s="1"/>
  <c r="G33" i="2"/>
  <c r="H33" i="2"/>
  <c r="I33" i="2"/>
  <c r="J33" i="2"/>
  <c r="K32" i="2"/>
  <c r="E32" i="2"/>
  <c r="F32" i="2"/>
  <c r="G32" i="2"/>
  <c r="E50" i="2"/>
  <c r="E89" i="2" s="1"/>
  <c r="F50" i="2"/>
  <c r="F89" i="2" s="1"/>
  <c r="G50" i="2"/>
  <c r="G89" i="2" s="1"/>
  <c r="H50" i="2"/>
  <c r="H89" i="2" s="1"/>
  <c r="I50" i="2"/>
  <c r="J50" i="2"/>
  <c r="J89" i="2" s="1"/>
  <c r="K50" i="2"/>
  <c r="E64" i="2"/>
  <c r="F64" i="2"/>
  <c r="G64" i="2"/>
  <c r="H64" i="2"/>
  <c r="I64" i="2"/>
  <c r="J64" i="2"/>
  <c r="K64" i="2"/>
  <c r="E72" i="2"/>
  <c r="F72" i="2"/>
  <c r="G72" i="2"/>
  <c r="H72" i="2"/>
  <c r="I72" i="2"/>
  <c r="J72" i="2"/>
  <c r="J93" i="2"/>
  <c r="L96" i="2"/>
  <c r="M96" i="2" s="1"/>
  <c r="N96" i="2" s="1"/>
  <c r="L94" i="2"/>
  <c r="M94" i="2" s="1"/>
  <c r="N94" i="2" s="1"/>
  <c r="O94" i="2" s="1"/>
  <c r="P94" i="2" s="1"/>
  <c r="Q94" i="2" s="1"/>
  <c r="R94" i="2" s="1"/>
  <c r="S94" i="2" s="1"/>
  <c r="T94" i="2" s="1"/>
  <c r="U94" i="2" s="1"/>
  <c r="E75" i="2"/>
  <c r="F75" i="2"/>
  <c r="G75" i="2"/>
  <c r="H75" i="2"/>
  <c r="I75" i="2"/>
  <c r="J75" i="2"/>
  <c r="K75" i="2"/>
  <c r="E81" i="2"/>
  <c r="F81" i="2"/>
  <c r="F58" i="2" s="1"/>
  <c r="F78" i="2"/>
  <c r="G81" i="2"/>
  <c r="G58" i="2" s="1"/>
  <c r="G78" i="2"/>
  <c r="H78" i="2" s="1"/>
  <c r="I78" i="2" s="1"/>
  <c r="J78" i="2" s="1"/>
  <c r="K78" i="2" s="1"/>
  <c r="L78" i="2" s="1"/>
  <c r="M78" i="2" s="1"/>
  <c r="N78" i="2" s="1"/>
  <c r="O78" i="2" s="1"/>
  <c r="P78" i="2" s="1"/>
  <c r="Q78" i="2" s="1"/>
  <c r="R78" i="2" s="1"/>
  <c r="S78" i="2" s="1"/>
  <c r="T78" i="2" s="1"/>
  <c r="U78" i="2" s="1"/>
  <c r="H81" i="2"/>
  <c r="H58" i="2" s="1"/>
  <c r="I81" i="2"/>
  <c r="J81" i="2"/>
  <c r="J58" i="2" s="1"/>
  <c r="K81" i="2"/>
  <c r="K58" i="2" s="1"/>
  <c r="E84" i="2"/>
  <c r="F84" i="2"/>
  <c r="G84" i="2"/>
  <c r="H84" i="2"/>
  <c r="I84" i="2"/>
  <c r="J84" i="2"/>
  <c r="K84" i="2"/>
  <c r="I89" i="2"/>
  <c r="E91" i="2"/>
  <c r="F91" i="2"/>
  <c r="G91" i="2"/>
  <c r="H91" i="2"/>
  <c r="I91" i="2"/>
  <c r="J91" i="2"/>
  <c r="K90" i="2"/>
  <c r="E93" i="2"/>
  <c r="F93" i="2"/>
  <c r="G93" i="2"/>
  <c r="H93" i="2"/>
  <c r="I93" i="2"/>
  <c r="E94" i="2"/>
  <c r="F94" i="2"/>
  <c r="G94" i="2"/>
  <c r="H94" i="2"/>
  <c r="I94" i="2"/>
  <c r="J94" i="2"/>
  <c r="F124" i="2"/>
  <c r="F128" i="2"/>
  <c r="E125" i="2"/>
  <c r="F59" i="2" l="1"/>
  <c r="K42" i="2"/>
  <c r="F37" i="2"/>
  <c r="I27" i="2"/>
  <c r="J24" i="2"/>
  <c r="E25" i="2"/>
  <c r="E16" i="2" s="1"/>
  <c r="E17" i="2" s="1"/>
  <c r="E48" i="2"/>
  <c r="F43" i="2"/>
  <c r="E31" i="2"/>
  <c r="E46" i="2" s="1"/>
  <c r="G38" i="2"/>
  <c r="E82" i="2"/>
  <c r="E58" i="2"/>
  <c r="G65" i="2"/>
  <c r="I82" i="2"/>
  <c r="I58" i="2"/>
  <c r="F67" i="2"/>
  <c r="F70" i="2" s="1"/>
  <c r="F77" i="2"/>
  <c r="H95" i="2"/>
  <c r="H96" i="2" s="1"/>
  <c r="I51" i="2"/>
  <c r="G95" i="2"/>
  <c r="G96" i="2" s="1"/>
  <c r="H27" i="2"/>
  <c r="H29" i="2" s="1"/>
  <c r="F95" i="2"/>
  <c r="F96" i="2" s="1"/>
  <c r="H51" i="2"/>
  <c r="K9" i="2"/>
  <c r="E95" i="2"/>
  <c r="E96" i="2" s="1"/>
  <c r="F82" i="2"/>
  <c r="F65" i="2"/>
  <c r="K22" i="2"/>
  <c r="G22" i="2"/>
  <c r="F48" i="2"/>
  <c r="G45" i="7"/>
  <c r="G40" i="7" s="1"/>
  <c r="H41" i="7" s="1"/>
  <c r="E65" i="2"/>
  <c r="G31" i="2"/>
  <c r="G41" i="2" s="1"/>
  <c r="E22" i="2"/>
  <c r="E46" i="7"/>
  <c r="E47" i="7" s="1"/>
  <c r="I95" i="2"/>
  <c r="I96" i="2" s="1"/>
  <c r="L12" i="2"/>
  <c r="G43" i="2"/>
  <c r="D28" i="7"/>
  <c r="K65" i="2"/>
  <c r="L65" i="2" s="1"/>
  <c r="M65" i="2" s="1"/>
  <c r="N65" i="2" s="1"/>
  <c r="F42" i="2"/>
  <c r="H52" i="7"/>
  <c r="G24" i="2"/>
  <c r="H21" i="7"/>
  <c r="K17" i="7"/>
  <c r="E52" i="7"/>
  <c r="E53" i="7" s="1"/>
  <c r="G36" i="7"/>
  <c r="G27" i="7" s="1"/>
  <c r="G28" i="7" s="1"/>
  <c r="H20" i="7"/>
  <c r="E17" i="7"/>
  <c r="F31" i="2"/>
  <c r="F41" i="2" s="1"/>
  <c r="G27" i="2"/>
  <c r="E124" i="2"/>
  <c r="E126" i="2" s="1"/>
  <c r="F126" i="2" s="1"/>
  <c r="H25" i="2"/>
  <c r="H16" i="2" s="1"/>
  <c r="H17" i="2" s="1"/>
  <c r="H43" i="2"/>
  <c r="F53" i="2"/>
  <c r="K82" i="2"/>
  <c r="L82" i="2" s="1"/>
  <c r="M82" i="2" s="1"/>
  <c r="N82" i="2" s="1"/>
  <c r="O82" i="2" s="1"/>
  <c r="H38" i="2"/>
  <c r="F25" i="2"/>
  <c r="F16" i="2" s="1"/>
  <c r="F17" i="2" s="1"/>
  <c r="J52" i="7"/>
  <c r="K53" i="7" s="1"/>
  <c r="K46" i="7"/>
  <c r="K47" i="7" s="1"/>
  <c r="H77" i="2"/>
  <c r="F38" i="2"/>
  <c r="H24" i="2"/>
  <c r="J9" i="2"/>
  <c r="E13" i="7"/>
  <c r="H8" i="2"/>
  <c r="I9" i="2" s="1"/>
  <c r="G52" i="7"/>
  <c r="H53" i="7" s="1"/>
  <c r="K51" i="7"/>
  <c r="J43" i="2"/>
  <c r="J27" i="2"/>
  <c r="J65" i="2"/>
  <c r="E44" i="7"/>
  <c r="E37" i="7" s="1"/>
  <c r="E35" i="7" s="1"/>
  <c r="E31" i="7" s="1"/>
  <c r="F24" i="2"/>
  <c r="J95" i="2"/>
  <c r="J96" i="2" s="1"/>
  <c r="J51" i="7"/>
  <c r="H13" i="2"/>
  <c r="H23" i="2" s="1"/>
  <c r="J82" i="2"/>
  <c r="D50" i="7"/>
  <c r="D21" i="7"/>
  <c r="E13" i="2"/>
  <c r="F23" i="2" s="1"/>
  <c r="E9" i="2"/>
  <c r="E42" i="2"/>
  <c r="O96" i="2"/>
  <c r="F11" i="2"/>
  <c r="I25" i="2"/>
  <c r="I16" i="2" s="1"/>
  <c r="I17" i="2" s="1"/>
  <c r="J25" i="2"/>
  <c r="J16" i="2" s="1"/>
  <c r="J17" i="2" s="1"/>
  <c r="I43" i="2"/>
  <c r="I38" i="2"/>
  <c r="I48" i="2"/>
  <c r="H44" i="7"/>
  <c r="H37" i="7" s="1"/>
  <c r="J51" i="2"/>
  <c r="J57" i="2" s="1"/>
  <c r="J59" i="2" s="1"/>
  <c r="D13" i="2"/>
  <c r="D11" i="2" s="1"/>
  <c r="J24" i="7"/>
  <c r="G11" i="2"/>
  <c r="G23" i="2"/>
  <c r="I24" i="7"/>
  <c r="I25" i="7"/>
  <c r="G51" i="7"/>
  <c r="F45" i="7"/>
  <c r="F40" i="7" s="1"/>
  <c r="F41" i="7" s="1"/>
  <c r="H24" i="7"/>
  <c r="E27" i="2"/>
  <c r="E29" i="2" s="1"/>
  <c r="E51" i="2"/>
  <c r="E57" i="2" s="1"/>
  <c r="E24" i="2"/>
  <c r="K45" i="7"/>
  <c r="K24" i="2"/>
  <c r="L14" i="2"/>
  <c r="G46" i="7"/>
  <c r="G25" i="2"/>
  <c r="G16" i="2" s="1"/>
  <c r="G17" i="2" s="1"/>
  <c r="G24" i="7"/>
  <c r="G25" i="7"/>
  <c r="I65" i="2"/>
  <c r="K13" i="2"/>
  <c r="F25" i="7"/>
  <c r="F50" i="7"/>
  <c r="F9" i="2"/>
  <c r="E24" i="7"/>
  <c r="I77" i="2"/>
  <c r="J13" i="2"/>
  <c r="J45" i="7"/>
  <c r="J40" i="7" s="1"/>
  <c r="I52" i="7"/>
  <c r="F36" i="7"/>
  <c r="F27" i="7" s="1"/>
  <c r="F28" i="7" s="1"/>
  <c r="K28" i="7"/>
  <c r="K29" i="7" s="1"/>
  <c r="L17" i="7"/>
  <c r="M15" i="7"/>
  <c r="F27" i="2"/>
  <c r="F46" i="7"/>
  <c r="D45" i="7"/>
  <c r="D40" i="7" s="1"/>
  <c r="E41" i="7" s="1"/>
  <c r="I29" i="2"/>
  <c r="J22" i="2"/>
  <c r="G29" i="2"/>
  <c r="H22" i="2"/>
  <c r="I36" i="7"/>
  <c r="I27" i="7" s="1"/>
  <c r="I28" i="7" s="1"/>
  <c r="I22" i="2"/>
  <c r="G9" i="2"/>
  <c r="F52" i="7"/>
  <c r="D25" i="7"/>
  <c r="G37" i="2"/>
  <c r="G42" i="2"/>
  <c r="I13" i="2"/>
  <c r="I46" i="7"/>
  <c r="J47" i="7" s="1"/>
  <c r="D17" i="7"/>
  <c r="J17" i="7"/>
  <c r="J21" i="7"/>
  <c r="G82" i="2"/>
  <c r="H82" i="2"/>
  <c r="H65" i="2"/>
  <c r="F54" i="2"/>
  <c r="J38" i="2"/>
  <c r="J48" i="2"/>
  <c r="I24" i="2"/>
  <c r="I45" i="7"/>
  <c r="I40" i="7" s="1"/>
  <c r="I41" i="7" s="1"/>
  <c r="L11" i="7"/>
  <c r="K13" i="7"/>
  <c r="H50" i="7"/>
  <c r="H28" i="7"/>
  <c r="E21" i="7"/>
  <c r="G51" i="2"/>
  <c r="G57" i="2" s="1"/>
  <c r="G59" i="2" s="1"/>
  <c r="G60" i="2" s="1"/>
  <c r="G61" i="2" s="1"/>
  <c r="E50" i="7"/>
  <c r="E28" i="7"/>
  <c r="J25" i="7"/>
  <c r="F20" i="7"/>
  <c r="E20" i="7"/>
  <c r="J13" i="7"/>
  <c r="G48" i="2"/>
  <c r="H25" i="7"/>
  <c r="E25" i="7"/>
  <c r="E122" i="2"/>
  <c r="W124" i="2" s="1"/>
  <c r="F125" i="2"/>
  <c r="I52" i="2" l="1"/>
  <c r="I57" i="2"/>
  <c r="I59" i="2" s="1"/>
  <c r="G46" i="2"/>
  <c r="F86" i="2"/>
  <c r="H53" i="2"/>
  <c r="H57" i="2"/>
  <c r="H59" i="2" s="1"/>
  <c r="H60" i="2" s="1"/>
  <c r="H61" i="2" s="1"/>
  <c r="I53" i="2"/>
  <c r="J60" i="2"/>
  <c r="J61" i="2" s="1"/>
  <c r="G36" i="2"/>
  <c r="F69" i="2"/>
  <c r="E59" i="2"/>
  <c r="F60" i="2" s="1"/>
  <c r="F61" i="2" s="1"/>
  <c r="L36" i="7"/>
  <c r="L27" i="7" s="1"/>
  <c r="M12" i="2"/>
  <c r="E123" i="2"/>
  <c r="H67" i="2"/>
  <c r="H86" i="2" s="1"/>
  <c r="H108" i="2"/>
  <c r="I67" i="2"/>
  <c r="I69" i="2" s="1"/>
  <c r="I107" i="2"/>
  <c r="I86" i="2"/>
  <c r="I90" i="2" s="1"/>
  <c r="I54" i="2"/>
  <c r="I28" i="2"/>
  <c r="I104" i="2"/>
  <c r="G28" i="2"/>
  <c r="H28" i="2"/>
  <c r="J116" i="2"/>
  <c r="H54" i="2"/>
  <c r="F36" i="2"/>
  <c r="E29" i="7"/>
  <c r="F46" i="2"/>
  <c r="J29" i="2"/>
  <c r="J28" i="2"/>
  <c r="H29" i="7"/>
  <c r="I106" i="2"/>
  <c r="I109" i="2"/>
  <c r="AB124" i="2" s="1"/>
  <c r="G41" i="7"/>
  <c r="F108" i="2"/>
  <c r="H9" i="2"/>
  <c r="H48" i="2"/>
  <c r="J44" i="7"/>
  <c r="J37" i="7" s="1"/>
  <c r="J35" i="7" s="1"/>
  <c r="J31" i="7" s="1"/>
  <c r="F53" i="7"/>
  <c r="J106" i="2"/>
  <c r="E11" i="2"/>
  <c r="E18" i="2" s="1"/>
  <c r="E41" i="2"/>
  <c r="J104" i="2"/>
  <c r="H11" i="2"/>
  <c r="H21" i="2" s="1"/>
  <c r="J41" i="7"/>
  <c r="O65" i="2"/>
  <c r="H35" i="7"/>
  <c r="H31" i="7" s="1"/>
  <c r="J11" i="2"/>
  <c r="J23" i="2"/>
  <c r="P82" i="2"/>
  <c r="F47" i="7"/>
  <c r="F44" i="7"/>
  <c r="F37" i="7" s="1"/>
  <c r="F28" i="2"/>
  <c r="F29" i="2"/>
  <c r="F109" i="2"/>
  <c r="Y124" i="2" s="1"/>
  <c r="G44" i="7"/>
  <c r="G37" i="7" s="1"/>
  <c r="H38" i="7" s="1"/>
  <c r="G47" i="7"/>
  <c r="I29" i="7"/>
  <c r="L32" i="2"/>
  <c r="L37" i="2" s="1"/>
  <c r="L45" i="7"/>
  <c r="L40" i="7" s="1"/>
  <c r="M14" i="2"/>
  <c r="J77" i="2"/>
  <c r="J108" i="2" s="1"/>
  <c r="AC125" i="2" s="1"/>
  <c r="J54" i="2"/>
  <c r="J53" i="2"/>
  <c r="J52" i="2"/>
  <c r="J67" i="2"/>
  <c r="P96" i="2"/>
  <c r="M17" i="7"/>
  <c r="N15" i="7"/>
  <c r="K44" i="7"/>
  <c r="K37" i="7" s="1"/>
  <c r="K40" i="7"/>
  <c r="K41" i="7" s="1"/>
  <c r="F90" i="2"/>
  <c r="F29" i="7"/>
  <c r="D44" i="7"/>
  <c r="D37" i="7" s="1"/>
  <c r="E33" i="7"/>
  <c r="I108" i="2"/>
  <c r="AB125" i="2" s="1"/>
  <c r="G29" i="7"/>
  <c r="G52" i="2"/>
  <c r="G77" i="2"/>
  <c r="G108" i="2" s="1"/>
  <c r="H52" i="2"/>
  <c r="G54" i="2"/>
  <c r="G53" i="2"/>
  <c r="G67" i="2"/>
  <c r="G107" i="2" s="1"/>
  <c r="I44" i="7"/>
  <c r="I37" i="7" s="1"/>
  <c r="I47" i="7"/>
  <c r="E54" i="2"/>
  <c r="E53" i="2"/>
  <c r="F52" i="2"/>
  <c r="E77" i="2"/>
  <c r="E108" i="2" s="1"/>
  <c r="E67" i="2"/>
  <c r="E107" i="2" s="1"/>
  <c r="G21" i="2"/>
  <c r="G18" i="2"/>
  <c r="G104" i="2"/>
  <c r="G105" i="2"/>
  <c r="G106" i="2"/>
  <c r="H104" i="2"/>
  <c r="H106" i="2"/>
  <c r="F106" i="2"/>
  <c r="F104" i="2"/>
  <c r="F105" i="2"/>
  <c r="E104" i="2"/>
  <c r="F107" i="2"/>
  <c r="E106" i="2"/>
  <c r="E23" i="2"/>
  <c r="L13" i="2"/>
  <c r="K23" i="2"/>
  <c r="K11" i="2"/>
  <c r="F18" i="2"/>
  <c r="M11" i="7"/>
  <c r="L13" i="7"/>
  <c r="I11" i="2"/>
  <c r="I105" i="2" s="1"/>
  <c r="I23" i="2"/>
  <c r="I53" i="7"/>
  <c r="J53" i="7"/>
  <c r="J29" i="7"/>
  <c r="H47" i="7"/>
  <c r="G53" i="7"/>
  <c r="H90" i="2" l="1"/>
  <c r="H109" i="2"/>
  <c r="AA124" i="2" s="1"/>
  <c r="I87" i="2"/>
  <c r="F21" i="2"/>
  <c r="I60" i="2"/>
  <c r="I61" i="2" s="1"/>
  <c r="H105" i="2"/>
  <c r="I70" i="2"/>
  <c r="H70" i="2"/>
  <c r="H69" i="2"/>
  <c r="E105" i="2"/>
  <c r="H107" i="2"/>
  <c r="H18" i="2"/>
  <c r="M36" i="7"/>
  <c r="M27" i="7" s="1"/>
  <c r="N12" i="2"/>
  <c r="I68" i="2"/>
  <c r="J38" i="7"/>
  <c r="E21" i="2"/>
  <c r="G70" i="2"/>
  <c r="G69" i="2"/>
  <c r="G68" i="2"/>
  <c r="G86" i="2"/>
  <c r="H68" i="2"/>
  <c r="E69" i="2"/>
  <c r="E70" i="2"/>
  <c r="E86" i="2"/>
  <c r="F68" i="2"/>
  <c r="J33" i="7"/>
  <c r="J21" i="2"/>
  <c r="J18" i="2"/>
  <c r="J105" i="2"/>
  <c r="J69" i="2"/>
  <c r="J70" i="2"/>
  <c r="J68" i="2"/>
  <c r="J86" i="2"/>
  <c r="J107" i="2"/>
  <c r="I35" i="7"/>
  <c r="I31" i="7" s="1"/>
  <c r="I38" i="7"/>
  <c r="I18" i="2"/>
  <c r="I21" i="2"/>
  <c r="Q96" i="2"/>
  <c r="N11" i="7"/>
  <c r="N17" i="7" s="1"/>
  <c r="M13" i="7"/>
  <c r="H33" i="7"/>
  <c r="P65" i="2"/>
  <c r="K35" i="7"/>
  <c r="K31" i="7" s="1"/>
  <c r="K38" i="7"/>
  <c r="K18" i="2"/>
  <c r="K21" i="2"/>
  <c r="O15" i="7"/>
  <c r="M45" i="7"/>
  <c r="M40" i="7" s="1"/>
  <c r="N14" i="2"/>
  <c r="M32" i="2"/>
  <c r="M37" i="2" s="1"/>
  <c r="L41" i="7"/>
  <c r="L42" i="7"/>
  <c r="L15" i="2"/>
  <c r="L11" i="2"/>
  <c r="M13" i="2"/>
  <c r="D35" i="7"/>
  <c r="D31" i="7" s="1"/>
  <c r="E38" i="7"/>
  <c r="G38" i="7"/>
  <c r="G35" i="7"/>
  <c r="G31" i="7" s="1"/>
  <c r="H32" i="7" s="1"/>
  <c r="F38" i="7"/>
  <c r="F35" i="7"/>
  <c r="F31" i="7" s="1"/>
  <c r="Q82" i="2"/>
  <c r="O12" i="2" l="1"/>
  <c r="N36" i="7"/>
  <c r="N27" i="7" s="1"/>
  <c r="N45" i="7"/>
  <c r="N40" i="7" s="1"/>
  <c r="N32" i="2"/>
  <c r="N37" i="2" s="1"/>
  <c r="O14" i="2"/>
  <c r="J87" i="2"/>
  <c r="J109" i="2"/>
  <c r="AC124" i="2" s="1"/>
  <c r="J90" i="2"/>
  <c r="D33" i="7"/>
  <c r="E32" i="7"/>
  <c r="M42" i="7"/>
  <c r="M41" i="7"/>
  <c r="L21" i="2"/>
  <c r="R96" i="2"/>
  <c r="G87" i="2"/>
  <c r="G109" i="2"/>
  <c r="Z124" i="2" s="1"/>
  <c r="H87" i="2"/>
  <c r="G90" i="2"/>
  <c r="R82" i="2"/>
  <c r="P15" i="7"/>
  <c r="O17" i="7"/>
  <c r="Q65" i="2"/>
  <c r="F32" i="7"/>
  <c r="F33" i="7"/>
  <c r="I33" i="7"/>
  <c r="I32" i="7"/>
  <c r="E90" i="2"/>
  <c r="E109" i="2"/>
  <c r="X124" i="2" s="1"/>
  <c r="F87" i="2"/>
  <c r="N13" i="2"/>
  <c r="M15" i="2"/>
  <c r="M11" i="2"/>
  <c r="L51" i="7"/>
  <c r="O11" i="7"/>
  <c r="N13" i="7"/>
  <c r="L46" i="7"/>
  <c r="L25" i="2"/>
  <c r="L16" i="2" s="1"/>
  <c r="L17" i="2" s="1"/>
  <c r="L64" i="2"/>
  <c r="L81" i="2"/>
  <c r="L58" i="2" s="1"/>
  <c r="G32" i="7"/>
  <c r="G33" i="7"/>
  <c r="J32" i="7"/>
  <c r="K33" i="7"/>
  <c r="L33" i="7" s="1"/>
  <c r="M33" i="7" s="1"/>
  <c r="N33" i="7" s="1"/>
  <c r="O33" i="7" s="1"/>
  <c r="P33" i="7" s="1"/>
  <c r="Q33" i="7" s="1"/>
  <c r="R33" i="7" s="1"/>
  <c r="S33" i="7" s="1"/>
  <c r="T33" i="7" s="1"/>
  <c r="U33" i="7" s="1"/>
  <c r="K32" i="7"/>
  <c r="P12" i="2" l="1"/>
  <c r="O36" i="7"/>
  <c r="O27" i="7" s="1"/>
  <c r="S96" i="2"/>
  <c r="M51" i="7"/>
  <c r="R65" i="2"/>
  <c r="S82" i="2"/>
  <c r="L44" i="7"/>
  <c r="L37" i="7" s="1"/>
  <c r="L47" i="7"/>
  <c r="P11" i="7"/>
  <c r="O13" i="7"/>
  <c r="Q15" i="7"/>
  <c r="M21" i="2"/>
  <c r="P14" i="2"/>
  <c r="O32" i="2"/>
  <c r="O37" i="2" s="1"/>
  <c r="O45" i="7"/>
  <c r="O40" i="7" s="1"/>
  <c r="N42" i="7"/>
  <c r="N41" i="7"/>
  <c r="M46" i="7"/>
  <c r="M25" i="2"/>
  <c r="M16" i="2" s="1"/>
  <c r="M17" i="2" s="1"/>
  <c r="M81" i="2"/>
  <c r="M58" i="2" s="1"/>
  <c r="M64" i="2"/>
  <c r="N11" i="2"/>
  <c r="O13" i="2"/>
  <c r="N15" i="2"/>
  <c r="Q12" i="2" l="1"/>
  <c r="P36" i="7"/>
  <c r="P27" i="7" s="1"/>
  <c r="N51" i="7"/>
  <c r="T82" i="2"/>
  <c r="P45" i="7"/>
  <c r="P40" i="7" s="1"/>
  <c r="Q14" i="2"/>
  <c r="P32" i="2"/>
  <c r="P37" i="2" s="1"/>
  <c r="L38" i="7"/>
  <c r="L35" i="7"/>
  <c r="L31" i="7" s="1"/>
  <c r="Q11" i="7"/>
  <c r="Q17" i="7" s="1"/>
  <c r="P13" i="7"/>
  <c r="N25" i="2"/>
  <c r="N16" i="2" s="1"/>
  <c r="N17" i="2" s="1"/>
  <c r="N46" i="7"/>
  <c r="N81" i="2"/>
  <c r="N58" i="2" s="1"/>
  <c r="N64" i="2"/>
  <c r="P17" i="7"/>
  <c r="S65" i="2"/>
  <c r="T96" i="2"/>
  <c r="O11" i="2"/>
  <c r="O15" i="2"/>
  <c r="P13" i="2"/>
  <c r="R15" i="7"/>
  <c r="M44" i="7"/>
  <c r="M37" i="7" s="1"/>
  <c r="M47" i="7"/>
  <c r="N21" i="2"/>
  <c r="O41" i="7"/>
  <c r="O42" i="7"/>
  <c r="Q36" i="7" l="1"/>
  <c r="Q27" i="7" s="1"/>
  <c r="R12" i="2"/>
  <c r="L28" i="7"/>
  <c r="L32" i="7"/>
  <c r="U96" i="2"/>
  <c r="N44" i="7"/>
  <c r="N37" i="7" s="1"/>
  <c r="N47" i="7"/>
  <c r="U82" i="2"/>
  <c r="M35" i="7"/>
  <c r="M31" i="7" s="1"/>
  <c r="M38" i="7"/>
  <c r="S15" i="7"/>
  <c r="Q13" i="7"/>
  <c r="R11" i="7"/>
  <c r="R17" i="7" s="1"/>
  <c r="P11" i="2"/>
  <c r="Q13" i="2"/>
  <c r="P15" i="2"/>
  <c r="T65" i="2"/>
  <c r="O25" i="2"/>
  <c r="O16" i="2" s="1"/>
  <c r="O17" i="2" s="1"/>
  <c r="O46" i="7"/>
  <c r="O81" i="2"/>
  <c r="O58" i="2" s="1"/>
  <c r="O64" i="2"/>
  <c r="Q32" i="2"/>
  <c r="Q37" i="2" s="1"/>
  <c r="Q45" i="7"/>
  <c r="Q40" i="7" s="1"/>
  <c r="R14" i="2"/>
  <c r="O51" i="7"/>
  <c r="O21" i="2"/>
  <c r="P42" i="7"/>
  <c r="P41" i="7"/>
  <c r="S12" i="2" l="1"/>
  <c r="R36" i="7"/>
  <c r="R27" i="7" s="1"/>
  <c r="P46" i="7"/>
  <c r="P25" i="2"/>
  <c r="P16" i="2" s="1"/>
  <c r="P17" i="2" s="1"/>
  <c r="P81" i="2"/>
  <c r="P58" i="2" s="1"/>
  <c r="P64" i="2"/>
  <c r="T15" i="7"/>
  <c r="Q15" i="2"/>
  <c r="Q11" i="2"/>
  <c r="R13" i="2"/>
  <c r="O44" i="7"/>
  <c r="O37" i="7" s="1"/>
  <c r="O47" i="7"/>
  <c r="P21" i="2"/>
  <c r="M32" i="7"/>
  <c r="M28" i="7"/>
  <c r="L29" i="7"/>
  <c r="L23" i="7"/>
  <c r="P51" i="7"/>
  <c r="R45" i="7"/>
  <c r="R40" i="7" s="1"/>
  <c r="R32" i="2"/>
  <c r="R37" i="2" s="1"/>
  <c r="S14" i="2"/>
  <c r="N35" i="7"/>
  <c r="N31" i="7" s="1"/>
  <c r="N38" i="7"/>
  <c r="Q42" i="7"/>
  <c r="Q41" i="7"/>
  <c r="S11" i="7"/>
  <c r="S17" i="7" s="1"/>
  <c r="R13" i="7"/>
  <c r="U65" i="2"/>
  <c r="T12" i="2" l="1"/>
  <c r="S36" i="7"/>
  <c r="S27" i="7" s="1"/>
  <c r="Q51" i="7"/>
  <c r="N28" i="7"/>
  <c r="N32" i="7"/>
  <c r="R15" i="2"/>
  <c r="R11" i="2"/>
  <c r="S13" i="2"/>
  <c r="Q21" i="2"/>
  <c r="S45" i="7"/>
  <c r="S40" i="7" s="1"/>
  <c r="T14" i="2"/>
  <c r="S32" i="2"/>
  <c r="S37" i="2" s="1"/>
  <c r="Q46" i="7"/>
  <c r="Q25" i="2"/>
  <c r="Q16" i="2" s="1"/>
  <c r="Q17" i="2" s="1"/>
  <c r="Q81" i="2"/>
  <c r="Q58" i="2" s="1"/>
  <c r="Q64" i="2"/>
  <c r="L19" i="7"/>
  <c r="L24" i="7"/>
  <c r="L50" i="7"/>
  <c r="L52" i="7"/>
  <c r="L53" i="7" s="1"/>
  <c r="R41" i="7"/>
  <c r="R42" i="7"/>
  <c r="U15" i="7"/>
  <c r="M29" i="7"/>
  <c r="M23" i="7"/>
  <c r="O35" i="7"/>
  <c r="O31" i="7" s="1"/>
  <c r="O38" i="7"/>
  <c r="S13" i="7"/>
  <c r="T11" i="7"/>
  <c r="T17" i="7" s="1"/>
  <c r="P47" i="7"/>
  <c r="P44" i="7"/>
  <c r="P37" i="7" s="1"/>
  <c r="U12" i="2" l="1"/>
  <c r="U36" i="7" s="1"/>
  <c r="U27" i="7" s="1"/>
  <c r="T36" i="7"/>
  <c r="T27" i="7" s="1"/>
  <c r="M24" i="7"/>
  <c r="M19" i="7"/>
  <c r="M50" i="7"/>
  <c r="M52" i="7"/>
  <c r="M53" i="7" s="1"/>
  <c r="R51" i="7"/>
  <c r="T45" i="7"/>
  <c r="T40" i="7" s="1"/>
  <c r="T32" i="2"/>
  <c r="T37" i="2" s="1"/>
  <c r="U14" i="2"/>
  <c r="S42" i="7"/>
  <c r="S41" i="7"/>
  <c r="P35" i="7"/>
  <c r="P31" i="7" s="1"/>
  <c r="P38" i="7"/>
  <c r="T13" i="2"/>
  <c r="S15" i="2"/>
  <c r="S11" i="2"/>
  <c r="Q44" i="7"/>
  <c r="Q37" i="7" s="1"/>
  <c r="Q47" i="7"/>
  <c r="R21" i="2"/>
  <c r="N23" i="7"/>
  <c r="N29" i="7"/>
  <c r="R25" i="2"/>
  <c r="R16" i="2" s="1"/>
  <c r="R17" i="2" s="1"/>
  <c r="R46" i="7"/>
  <c r="R81" i="2"/>
  <c r="R58" i="2" s="1"/>
  <c r="R64" i="2"/>
  <c r="T13" i="7"/>
  <c r="U11" i="7"/>
  <c r="U13" i="7" s="1"/>
  <c r="O32" i="7"/>
  <c r="O28" i="7"/>
  <c r="L8" i="2"/>
  <c r="L20" i="7"/>
  <c r="L21" i="7"/>
  <c r="U17" i="7" l="1"/>
  <c r="O23" i="7"/>
  <c r="O29" i="7"/>
  <c r="P28" i="7"/>
  <c r="P32" i="7"/>
  <c r="U45" i="7"/>
  <c r="U40" i="7" s="1"/>
  <c r="U32" i="2"/>
  <c r="U37" i="2" s="1"/>
  <c r="N50" i="7"/>
  <c r="N19" i="7"/>
  <c r="N24" i="7"/>
  <c r="N52" i="7"/>
  <c r="N53" i="7" s="1"/>
  <c r="T41" i="7"/>
  <c r="T42" i="7"/>
  <c r="L9" i="2"/>
  <c r="L18" i="2"/>
  <c r="Q35" i="7"/>
  <c r="Q31" i="7" s="1"/>
  <c r="Q38" i="7"/>
  <c r="S21" i="2"/>
  <c r="S46" i="7"/>
  <c r="S25" i="2"/>
  <c r="S16" i="2" s="1"/>
  <c r="S17" i="2" s="1"/>
  <c r="S81" i="2"/>
  <c r="S58" i="2" s="1"/>
  <c r="S64" i="2"/>
  <c r="U13" i="2"/>
  <c r="T15" i="2"/>
  <c r="T11" i="2"/>
  <c r="S51" i="7"/>
  <c r="R47" i="7"/>
  <c r="R44" i="7"/>
  <c r="R37" i="7" s="1"/>
  <c r="M21" i="7"/>
  <c r="M8" i="2"/>
  <c r="M20" i="7"/>
  <c r="M9" i="2" l="1"/>
  <c r="M18" i="2"/>
  <c r="N20" i="7"/>
  <c r="N21" i="7"/>
  <c r="N8" i="2"/>
  <c r="O19" i="7"/>
  <c r="O24" i="7"/>
  <c r="O50" i="7"/>
  <c r="O52" i="7"/>
  <c r="O53" i="7" s="1"/>
  <c r="T21" i="2"/>
  <c r="T25" i="2"/>
  <c r="T16" i="2" s="1"/>
  <c r="T17" i="2" s="1"/>
  <c r="T46" i="7"/>
  <c r="T81" i="2"/>
  <c r="T58" i="2" s="1"/>
  <c r="T64" i="2"/>
  <c r="U11" i="2"/>
  <c r="U15" i="2"/>
  <c r="Q32" i="7"/>
  <c r="Q28" i="7"/>
  <c r="R35" i="7"/>
  <c r="R31" i="7" s="1"/>
  <c r="R38" i="7"/>
  <c r="T51" i="7"/>
  <c r="U41" i="7"/>
  <c r="U42" i="7"/>
  <c r="S47" i="7"/>
  <c r="S44" i="7"/>
  <c r="S37" i="7" s="1"/>
  <c r="P23" i="7"/>
  <c r="P29" i="7"/>
  <c r="U51" i="7" l="1"/>
  <c r="O20" i="7"/>
  <c r="O21" i="7"/>
  <c r="O8" i="2"/>
  <c r="N9" i="2"/>
  <c r="N18" i="2"/>
  <c r="R32" i="7"/>
  <c r="R28" i="7"/>
  <c r="P50" i="7"/>
  <c r="P19" i="7"/>
  <c r="P24" i="7"/>
  <c r="P52" i="7"/>
  <c r="P53" i="7" s="1"/>
  <c r="U46" i="7"/>
  <c r="U25" i="2"/>
  <c r="U16" i="2" s="1"/>
  <c r="U17" i="2" s="1"/>
  <c r="U81" i="2"/>
  <c r="U58" i="2" s="1"/>
  <c r="U64" i="2"/>
  <c r="Q23" i="7"/>
  <c r="Q29" i="7"/>
  <c r="U21" i="2"/>
  <c r="S35" i="7"/>
  <c r="S31" i="7" s="1"/>
  <c r="S38" i="7"/>
  <c r="T47" i="7"/>
  <c r="T44" i="7"/>
  <c r="T37" i="7" s="1"/>
  <c r="O9" i="2" l="1"/>
  <c r="O18" i="2"/>
  <c r="U47" i="7"/>
  <c r="U44" i="7"/>
  <c r="U37" i="7" s="1"/>
  <c r="S28" i="7"/>
  <c r="S32" i="7"/>
  <c r="R29" i="7"/>
  <c r="R23" i="7"/>
  <c r="T35" i="7"/>
  <c r="T31" i="7" s="1"/>
  <c r="T38" i="7"/>
  <c r="Q50" i="7"/>
  <c r="Q24" i="7"/>
  <c r="Q19" i="7"/>
  <c r="Q52" i="7"/>
  <c r="Q53" i="7" s="1"/>
  <c r="P21" i="7"/>
  <c r="P8" i="2"/>
  <c r="P20" i="7"/>
  <c r="T28" i="7" l="1"/>
  <c r="T32" i="7"/>
  <c r="U38" i="7"/>
  <c r="U35" i="7"/>
  <c r="U31" i="7" s="1"/>
  <c r="P9" i="2"/>
  <c r="P18" i="2"/>
  <c r="S29" i="7"/>
  <c r="S23" i="7"/>
  <c r="Q20" i="7"/>
  <c r="Q21" i="7"/>
  <c r="Q8" i="2"/>
  <c r="R50" i="7"/>
  <c r="R24" i="7"/>
  <c r="R19" i="7"/>
  <c r="R52" i="7"/>
  <c r="R53" i="7" s="1"/>
  <c r="S50" i="7" l="1"/>
  <c r="S19" i="7"/>
  <c r="S24" i="7"/>
  <c r="S52" i="7"/>
  <c r="S53" i="7" s="1"/>
  <c r="U32" i="7"/>
  <c r="U28" i="7"/>
  <c r="Q9" i="2"/>
  <c r="Q18" i="2"/>
  <c r="R20" i="7"/>
  <c r="R21" i="7"/>
  <c r="R8" i="2"/>
  <c r="T23" i="7"/>
  <c r="T29" i="7"/>
  <c r="S20" i="7" l="1"/>
  <c r="S21" i="7"/>
  <c r="S8" i="2"/>
  <c r="T19" i="7"/>
  <c r="T24" i="7"/>
  <c r="T50" i="7"/>
  <c r="T52" i="7"/>
  <c r="T53" i="7" s="1"/>
  <c r="R9" i="2"/>
  <c r="R18" i="2"/>
  <c r="U23" i="7"/>
  <c r="U29" i="7"/>
  <c r="T20" i="7" l="1"/>
  <c r="T21" i="7"/>
  <c r="T8" i="2"/>
  <c r="S9" i="2"/>
  <c r="S18" i="2"/>
  <c r="U24" i="7"/>
  <c r="U19" i="7"/>
  <c r="U50" i="7"/>
  <c r="U52" i="7"/>
  <c r="U53" i="7" s="1"/>
  <c r="U8" i="2" l="1"/>
  <c r="U20" i="7"/>
  <c r="U21" i="7"/>
  <c r="T9" i="2"/>
  <c r="T18" i="2"/>
  <c r="U9" i="2" l="1"/>
  <c r="U18" i="2"/>
  <c r="AC440" i="1" l="1"/>
  <c r="AC455" i="1" s="1"/>
  <c r="AU440" i="1"/>
  <c r="AU445" i="1" s="1"/>
  <c r="AV440" i="1"/>
  <c r="AV445" i="1" s="1"/>
  <c r="AC441" i="1"/>
  <c r="V19" i="216" s="1"/>
  <c r="V21" i="216" s="1"/>
  <c r="V22" i="216" s="1"/>
  <c r="AU441" i="1"/>
  <c r="Y445" i="1"/>
  <c r="Y446" i="1"/>
  <c r="AU446" i="1"/>
  <c r="Y450" i="1"/>
  <c r="Z450" i="1"/>
  <c r="Y451" i="1"/>
  <c r="Z451" i="1"/>
  <c r="AC451" i="1"/>
  <c r="Y455" i="1"/>
  <c r="Y456" i="1"/>
  <c r="AU456" i="1"/>
  <c r="Y475" i="1"/>
  <c r="Y474" i="1" s="1"/>
  <c r="AU475" i="1"/>
  <c r="Y480" i="1"/>
  <c r="AU480" i="1"/>
  <c r="Y485" i="1"/>
  <c r="AU485" i="1"/>
  <c r="R19" i="216"/>
  <c r="S19" i="216"/>
  <c r="T19" i="216"/>
  <c r="U19" i="216"/>
  <c r="R21" i="216"/>
  <c r="R22" i="216" s="1"/>
  <c r="S21" i="216"/>
  <c r="S22" i="216" s="1"/>
  <c r="T21" i="216"/>
  <c r="T22" i="216" s="1"/>
  <c r="U21" i="216"/>
  <c r="U22" i="216" s="1"/>
  <c r="H32" i="2"/>
  <c r="H37" i="2" s="1"/>
  <c r="H42" i="2"/>
  <c r="AG440" i="1" l="1"/>
  <c r="Y19" i="216"/>
  <c r="Y21" i="216" s="1"/>
  <c r="Y22" i="216" s="1"/>
  <c r="AD450" i="1"/>
  <c r="Y479" i="1"/>
  <c r="Y484" i="1"/>
  <c r="AU474" i="1"/>
  <c r="AV441" i="1"/>
  <c r="AD451" i="1"/>
  <c r="AC475" i="1"/>
  <c r="AC456" i="1"/>
  <c r="H31" i="2"/>
  <c r="X19" i="216"/>
  <c r="X21" i="216" s="1"/>
  <c r="X22" i="216" s="1"/>
  <c r="W19" i="216"/>
  <c r="W21" i="216" s="1"/>
  <c r="W22" i="216" s="1"/>
  <c r="AC446" i="1"/>
  <c r="AV455" i="1"/>
  <c r="AU455" i="1"/>
  <c r="AC450" i="1"/>
  <c r="AG455" i="1" l="1"/>
  <c r="AH450" i="1"/>
  <c r="AG450" i="1"/>
  <c r="AW440" i="1"/>
  <c r="AK440" i="1"/>
  <c r="AG441" i="1"/>
  <c r="AV446" i="1"/>
  <c r="AV456" i="1"/>
  <c r="H41" i="2"/>
  <c r="H36" i="2"/>
  <c r="H46" i="2"/>
  <c r="AC474" i="1"/>
  <c r="M10" i="56"/>
  <c r="AC480" i="1"/>
  <c r="AC485" i="1"/>
  <c r="AV475" i="1"/>
  <c r="AU479" i="1"/>
  <c r="AU484" i="1"/>
  <c r="AW445" i="1" l="1"/>
  <c r="AW455" i="1"/>
  <c r="AG446" i="1"/>
  <c r="AW441" i="1"/>
  <c r="AH451" i="1"/>
  <c r="AG451" i="1"/>
  <c r="AG456" i="1"/>
  <c r="AG475" i="1"/>
  <c r="Z19" i="216"/>
  <c r="Z21" i="216" s="1"/>
  <c r="Z22" i="216" s="1"/>
  <c r="AK446" i="1"/>
  <c r="AK455" i="1"/>
  <c r="AK450" i="1"/>
  <c r="AK442" i="1"/>
  <c r="AL450" i="1"/>
  <c r="AX440" i="1"/>
  <c r="AK474" i="1"/>
  <c r="I32" i="2"/>
  <c r="AV480" i="1"/>
  <c r="AV485" i="1"/>
  <c r="M15" i="56"/>
  <c r="N15" i="56"/>
  <c r="M9" i="56"/>
  <c r="AC479" i="1"/>
  <c r="AC484" i="1"/>
  <c r="AV474" i="1"/>
  <c r="AX442" i="1" l="1"/>
  <c r="AL452" i="1"/>
  <c r="AK457" i="1"/>
  <c r="AK452" i="1"/>
  <c r="AK447" i="1"/>
  <c r="AK44" i="1"/>
  <c r="Q10" i="56"/>
  <c r="AG474" i="1"/>
  <c r="AG485" i="1"/>
  <c r="AK480" i="1"/>
  <c r="AW475" i="1"/>
  <c r="AG480" i="1"/>
  <c r="AK479" i="1"/>
  <c r="AK476" i="1"/>
  <c r="AX474" i="1"/>
  <c r="AK484" i="1"/>
  <c r="AX445" i="1"/>
  <c r="AX455" i="1"/>
  <c r="AW456" i="1"/>
  <c r="AX446" i="1"/>
  <c r="AW446" i="1"/>
  <c r="AV479" i="1"/>
  <c r="AV484" i="1"/>
  <c r="M14" i="56"/>
  <c r="N14" i="56"/>
  <c r="I42" i="2"/>
  <c r="I37" i="2"/>
  <c r="I31" i="2"/>
  <c r="AX476" i="1" l="1"/>
  <c r="AK481" i="1"/>
  <c r="AK486" i="1"/>
  <c r="AG479" i="1"/>
  <c r="AG484" i="1"/>
  <c r="AW474" i="1"/>
  <c r="AX480" i="1"/>
  <c r="J32" i="2"/>
  <c r="AW485" i="1"/>
  <c r="AW480" i="1"/>
  <c r="Q9" i="56"/>
  <c r="Q14" i="56" s="1"/>
  <c r="Q15" i="56"/>
  <c r="AK47" i="1"/>
  <c r="AK56" i="1"/>
  <c r="AK50" i="1"/>
  <c r="AX44" i="1"/>
  <c r="AX484" i="1"/>
  <c r="AX447" i="1"/>
  <c r="AX457" i="1"/>
  <c r="I41" i="2"/>
  <c r="I36" i="2"/>
  <c r="I46" i="2"/>
  <c r="AX56" i="1" l="1"/>
  <c r="AX50" i="1"/>
  <c r="AX47" i="1"/>
  <c r="AK53" i="1"/>
  <c r="AK59" i="1"/>
  <c r="AK61" i="1"/>
  <c r="J42" i="2"/>
  <c r="J31" i="2"/>
  <c r="J37" i="2"/>
  <c r="K37" i="2"/>
  <c r="AW484" i="1"/>
  <c r="AW479" i="1"/>
  <c r="AX479" i="1"/>
  <c r="AX481" i="1"/>
  <c r="AX486" i="1"/>
  <c r="AX61" i="1" l="1"/>
  <c r="AK62" i="1"/>
  <c r="AK63" i="1"/>
  <c r="AK64" i="1"/>
  <c r="AK67" i="1"/>
  <c r="AX53" i="1"/>
  <c r="AX59" i="1"/>
  <c r="J36" i="2"/>
  <c r="J41" i="2"/>
  <c r="J46" i="2"/>
  <c r="AK85" i="1" l="1"/>
  <c r="AX67" i="1"/>
  <c r="AK68" i="1"/>
  <c r="AK69" i="1"/>
  <c r="AK73" i="1"/>
  <c r="AX62" i="1"/>
  <c r="K33" i="2"/>
  <c r="O24" i="194"/>
  <c r="AX64" i="1"/>
  <c r="AX63" i="1"/>
  <c r="K51" i="2" l="1"/>
  <c r="K95" i="2"/>
  <c r="K93" i="2" s="1"/>
  <c r="K72" i="2" s="1"/>
  <c r="K77" i="2" s="1"/>
  <c r="K48" i="2"/>
  <c r="K38" i="2"/>
  <c r="K27" i="2"/>
  <c r="K31" i="2"/>
  <c r="K43" i="2"/>
  <c r="AX73" i="1"/>
  <c r="AK74" i="1"/>
  <c r="AK76" i="1"/>
  <c r="AX68" i="1"/>
  <c r="AX69" i="1"/>
  <c r="O55" i="194"/>
  <c r="O25" i="194"/>
  <c r="O26" i="194"/>
  <c r="AK87" i="1"/>
  <c r="AX85" i="1"/>
  <c r="AX87" i="1" s="1"/>
  <c r="AK88" i="1" l="1"/>
  <c r="AK92" i="1"/>
  <c r="AK89" i="1"/>
  <c r="AK98" i="1"/>
  <c r="AX98" i="1" s="1"/>
  <c r="AX74" i="1"/>
  <c r="AX82" i="1" s="1"/>
  <c r="AK78" i="1"/>
  <c r="AK79" i="1" s="1"/>
  <c r="AX76" i="1"/>
  <c r="AX78" i="1" s="1"/>
  <c r="AX79" i="1" s="1"/>
  <c r="AK80" i="1"/>
  <c r="AK81" i="1" s="1"/>
  <c r="K41" i="2"/>
  <c r="K46" i="2"/>
  <c r="L46" i="2" s="1"/>
  <c r="K36" i="2"/>
  <c r="K29" i="2"/>
  <c r="K28" i="2"/>
  <c r="AX88" i="1"/>
  <c r="AX92" i="1"/>
  <c r="AX89" i="1"/>
  <c r="K54" i="2"/>
  <c r="K67" i="2"/>
  <c r="K52" i="2"/>
  <c r="K57" i="2"/>
  <c r="K59" i="2" s="1"/>
  <c r="K60" i="2" s="1"/>
  <c r="K61" i="2" s="1"/>
  <c r="K53" i="2"/>
  <c r="AX94" i="1" l="1"/>
  <c r="AX93" i="1"/>
  <c r="K68" i="2"/>
  <c r="K69" i="2"/>
  <c r="K70" i="2"/>
  <c r="K86" i="2"/>
  <c r="AK93" i="1"/>
  <c r="AK94" i="1"/>
  <c r="AK100" i="1"/>
  <c r="M46" i="2"/>
  <c r="L31" i="2"/>
  <c r="N46" i="2" l="1"/>
  <c r="M31" i="2"/>
  <c r="L33" i="2"/>
  <c r="L41" i="2"/>
  <c r="L36" i="2"/>
  <c r="AX100" i="1"/>
  <c r="AX104" i="1" s="1"/>
  <c r="AX105" i="1" s="1"/>
  <c r="AK104" i="1"/>
  <c r="K91" i="2"/>
  <c r="K98" i="2" s="1"/>
  <c r="K87" i="2"/>
  <c r="K116" i="2" l="1"/>
  <c r="K100" i="2"/>
  <c r="AK112" i="1"/>
  <c r="AK105" i="1"/>
  <c r="M36" i="2"/>
  <c r="M33" i="2"/>
  <c r="M41" i="2"/>
  <c r="L38" i="2"/>
  <c r="L43" i="2"/>
  <c r="L50" i="2"/>
  <c r="L51" i="2" s="1"/>
  <c r="L95" i="2"/>
  <c r="L93" i="2" s="1"/>
  <c r="L48" i="2"/>
  <c r="L27" i="2"/>
  <c r="O46" i="2"/>
  <c r="N31" i="2"/>
  <c r="L72" i="2" l="1"/>
  <c r="L77" i="2" s="1"/>
  <c r="P46" i="2"/>
  <c r="O31" i="2"/>
  <c r="L57" i="2"/>
  <c r="L59" i="2" s="1"/>
  <c r="L60" i="2" s="1"/>
  <c r="L61" i="2" s="1"/>
  <c r="L54" i="2"/>
  <c r="L67" i="2"/>
  <c r="L53" i="2"/>
  <c r="L52" i="2"/>
  <c r="M43" i="2"/>
  <c r="M27" i="2"/>
  <c r="M48" i="2"/>
  <c r="M50" i="2"/>
  <c r="M51" i="2" s="1"/>
  <c r="M38" i="2"/>
  <c r="M95" i="2"/>
  <c r="M93" i="2" s="1"/>
  <c r="N33" i="2"/>
  <c r="N36" i="2"/>
  <c r="N41" i="2"/>
  <c r="K107" i="2"/>
  <c r="K104" i="2"/>
  <c r="K101" i="2"/>
  <c r="K109" i="2"/>
  <c r="AD124" i="2" s="1"/>
  <c r="K105" i="2"/>
  <c r="K106" i="2"/>
  <c r="K108" i="2"/>
  <c r="AD125" i="2" s="1"/>
  <c r="L28" i="2"/>
  <c r="L29" i="2"/>
  <c r="AK113" i="1"/>
  <c r="AK114" i="1"/>
  <c r="AL112" i="1"/>
  <c r="M52" i="2" l="1"/>
  <c r="M54" i="2"/>
  <c r="M53" i="2"/>
  <c r="M57" i="2"/>
  <c r="M59" i="2" s="1"/>
  <c r="M60" i="2" s="1"/>
  <c r="M61" i="2" s="1"/>
  <c r="M67" i="2"/>
  <c r="AM112" i="1"/>
  <c r="AL114" i="1"/>
  <c r="AL113" i="1"/>
  <c r="M28" i="2"/>
  <c r="M29" i="2"/>
  <c r="N72" i="2"/>
  <c r="P31" i="2"/>
  <c r="Q46" i="2"/>
  <c r="L69" i="2"/>
  <c r="L68" i="2"/>
  <c r="L70" i="2"/>
  <c r="L86" i="2"/>
  <c r="O36" i="2"/>
  <c r="O33" i="2"/>
  <c r="O41" i="2"/>
  <c r="N95" i="2"/>
  <c r="N93" i="2" s="1"/>
  <c r="N27" i="2"/>
  <c r="N50" i="2"/>
  <c r="N51" i="2" s="1"/>
  <c r="N38" i="2"/>
  <c r="N48" i="2"/>
  <c r="N43" i="2"/>
  <c r="M72" i="2"/>
  <c r="M77" i="2" s="1"/>
  <c r="N54" i="2" l="1"/>
  <c r="N67" i="2"/>
  <c r="N57" i="2"/>
  <c r="N59" i="2" s="1"/>
  <c r="N60" i="2" s="1"/>
  <c r="N61" i="2" s="1"/>
  <c r="N53" i="2"/>
  <c r="N52" i="2"/>
  <c r="N77" i="2"/>
  <c r="Q31" i="2"/>
  <c r="R46" i="2"/>
  <c r="N29" i="2"/>
  <c r="N28" i="2"/>
  <c r="O43" i="2"/>
  <c r="O48" i="2"/>
  <c r="O27" i="2"/>
  <c r="O50" i="2"/>
  <c r="O51" i="2" s="1"/>
  <c r="O38" i="2"/>
  <c r="O95" i="2"/>
  <c r="O93" i="2" s="1"/>
  <c r="AM114" i="1"/>
  <c r="AX114" i="1" s="1"/>
  <c r="AM113" i="1"/>
  <c r="AX113" i="1" s="1"/>
  <c r="AX112" i="1"/>
  <c r="M86" i="2"/>
  <c r="M70" i="2"/>
  <c r="M69" i="2"/>
  <c r="M68" i="2"/>
  <c r="L91" i="2"/>
  <c r="L98" i="2" s="1"/>
  <c r="L87" i="2"/>
  <c r="P36" i="2"/>
  <c r="P41" i="2"/>
  <c r="P33" i="2"/>
  <c r="P48" i="2" l="1"/>
  <c r="P43" i="2"/>
  <c r="P50" i="2"/>
  <c r="P51" i="2" s="1"/>
  <c r="P27" i="2"/>
  <c r="P38" i="2"/>
  <c r="P95" i="2"/>
  <c r="P93" i="2" s="1"/>
  <c r="R31" i="2"/>
  <c r="S46" i="2"/>
  <c r="P72" i="2"/>
  <c r="P77" i="2" s="1"/>
  <c r="M87" i="2"/>
  <c r="M91" i="2"/>
  <c r="M98" i="2" s="1"/>
  <c r="M116" i="2" s="1"/>
  <c r="O29" i="2"/>
  <c r="O28" i="2"/>
  <c r="L116" i="2"/>
  <c r="L100" i="2"/>
  <c r="O72" i="2"/>
  <c r="O77" i="2" s="1"/>
  <c r="Q33" i="2"/>
  <c r="Q41" i="2"/>
  <c r="Q36" i="2"/>
  <c r="N69" i="2"/>
  <c r="N68" i="2"/>
  <c r="N70" i="2"/>
  <c r="N86" i="2"/>
  <c r="O54" i="2"/>
  <c r="O67" i="2"/>
  <c r="O57" i="2"/>
  <c r="O59" i="2" s="1"/>
  <c r="O60" i="2" s="1"/>
  <c r="O61" i="2" s="1"/>
  <c r="O52" i="2"/>
  <c r="O53" i="2"/>
  <c r="L106" i="2" l="1"/>
  <c r="M100" i="2"/>
  <c r="L108" i="2"/>
  <c r="L109" i="2"/>
  <c r="AE124" i="2" s="1"/>
  <c r="L104" i="2"/>
  <c r="L107" i="2"/>
  <c r="L105" i="2"/>
  <c r="L101" i="2"/>
  <c r="R36" i="2"/>
  <c r="R41" i="2"/>
  <c r="R33" i="2"/>
  <c r="T46" i="2"/>
  <c r="S31" i="2"/>
  <c r="Q72" i="2"/>
  <c r="P29" i="2"/>
  <c r="P28" i="2"/>
  <c r="O68" i="2"/>
  <c r="O69" i="2"/>
  <c r="O86" i="2"/>
  <c r="O70" i="2"/>
  <c r="N91" i="2"/>
  <c r="N98" i="2" s="1"/>
  <c r="N116" i="2" s="1"/>
  <c r="N87" i="2"/>
  <c r="P67" i="2"/>
  <c r="P57" i="2"/>
  <c r="P59" i="2" s="1"/>
  <c r="P60" i="2" s="1"/>
  <c r="P61" i="2" s="1"/>
  <c r="P53" i="2"/>
  <c r="P52" i="2"/>
  <c r="P54" i="2"/>
  <c r="Q95" i="2"/>
  <c r="Q93" i="2" s="1"/>
  <c r="Q43" i="2"/>
  <c r="Q38" i="2"/>
  <c r="Q48" i="2"/>
  <c r="Q50" i="2"/>
  <c r="Q51" i="2" s="1"/>
  <c r="Q27" i="2"/>
  <c r="S36" i="2" l="1"/>
  <c r="S33" i="2"/>
  <c r="S41" i="2"/>
  <c r="U46" i="2"/>
  <c r="U31" i="2" s="1"/>
  <c r="T31" i="2"/>
  <c r="Q53" i="2"/>
  <c r="Q67" i="2"/>
  <c r="Q54" i="2"/>
  <c r="Q57" i="2"/>
  <c r="Q59" i="2" s="1"/>
  <c r="Q60" i="2" s="1"/>
  <c r="Q61" i="2" s="1"/>
  <c r="Q52" i="2"/>
  <c r="Q77" i="2"/>
  <c r="R48" i="2"/>
  <c r="R95" i="2"/>
  <c r="R93" i="2" s="1"/>
  <c r="R38" i="2"/>
  <c r="R43" i="2"/>
  <c r="R50" i="2"/>
  <c r="R51" i="2" s="1"/>
  <c r="R27" i="2"/>
  <c r="P86" i="2"/>
  <c r="P70" i="2"/>
  <c r="P69" i="2"/>
  <c r="P68" i="2"/>
  <c r="O91" i="2"/>
  <c r="O98" i="2" s="1"/>
  <c r="O116" i="2" s="1"/>
  <c r="O87" i="2"/>
  <c r="M108" i="2"/>
  <c r="M107" i="2"/>
  <c r="M105" i="2"/>
  <c r="M106" i="2"/>
  <c r="M109" i="2"/>
  <c r="AF124" i="2" s="1"/>
  <c r="M104" i="2"/>
  <c r="N100" i="2"/>
  <c r="M101" i="2"/>
  <c r="R72" i="2"/>
  <c r="Q29" i="2"/>
  <c r="Q28" i="2"/>
  <c r="R54" i="2" l="1"/>
  <c r="R67" i="2"/>
  <c r="R53" i="2"/>
  <c r="R52" i="2"/>
  <c r="R57" i="2"/>
  <c r="R59" i="2" s="1"/>
  <c r="R60" i="2" s="1"/>
  <c r="R61" i="2" s="1"/>
  <c r="N105" i="2"/>
  <c r="N101" i="2"/>
  <c r="N109" i="2"/>
  <c r="N108" i="2"/>
  <c r="N107" i="2"/>
  <c r="N104" i="2"/>
  <c r="O100" i="2"/>
  <c r="N106" i="2"/>
  <c r="Q70" i="2"/>
  <c r="Q86" i="2"/>
  <c r="Q69" i="2"/>
  <c r="Q68" i="2"/>
  <c r="T33" i="2"/>
  <c r="T36" i="2"/>
  <c r="T41" i="2"/>
  <c r="P91" i="2"/>
  <c r="P98" i="2" s="1"/>
  <c r="P116" i="2" s="1"/>
  <c r="P87" i="2"/>
  <c r="S48" i="2"/>
  <c r="S27" i="2"/>
  <c r="S38" i="2"/>
  <c r="S50" i="2"/>
  <c r="S51" i="2" s="1"/>
  <c r="S95" i="2"/>
  <c r="S93" i="2" s="1"/>
  <c r="S43" i="2"/>
  <c r="R77" i="2"/>
  <c r="U33" i="2"/>
  <c r="U41" i="2"/>
  <c r="U36" i="2"/>
  <c r="R29" i="2"/>
  <c r="R28" i="2"/>
  <c r="U38" i="2" l="1"/>
  <c r="U27" i="2"/>
  <c r="U48" i="2"/>
  <c r="U95" i="2"/>
  <c r="U93" i="2" s="1"/>
  <c r="U43" i="2"/>
  <c r="S67" i="2"/>
  <c r="S52" i="2"/>
  <c r="S57" i="2"/>
  <c r="S59" i="2" s="1"/>
  <c r="S60" i="2" s="1"/>
  <c r="S61" i="2" s="1"/>
  <c r="S53" i="2"/>
  <c r="S54" i="2"/>
  <c r="P100" i="2"/>
  <c r="O105" i="2"/>
  <c r="O107" i="2"/>
  <c r="O106" i="2"/>
  <c r="O108" i="2"/>
  <c r="O104" i="2"/>
  <c r="O109" i="2"/>
  <c r="O101" i="2"/>
  <c r="S29" i="2"/>
  <c r="S28" i="2"/>
  <c r="Q87" i="2"/>
  <c r="Q91" i="2"/>
  <c r="Q98" i="2" s="1"/>
  <c r="Q116" i="2" s="1"/>
  <c r="S72" i="2"/>
  <c r="S77" i="2" s="1"/>
  <c r="T95" i="2"/>
  <c r="T93" i="2" s="1"/>
  <c r="U72" i="2" s="1"/>
  <c r="T43" i="2"/>
  <c r="T27" i="2"/>
  <c r="T48" i="2"/>
  <c r="T38" i="2"/>
  <c r="T50" i="2"/>
  <c r="T51" i="2" s="1"/>
  <c r="R68" i="2"/>
  <c r="R69" i="2"/>
  <c r="R70" i="2"/>
  <c r="R86" i="2"/>
  <c r="T54" i="2" l="1"/>
  <c r="T67" i="2"/>
  <c r="T52" i="2"/>
  <c r="T53" i="2"/>
  <c r="T57" i="2"/>
  <c r="T59" i="2" s="1"/>
  <c r="T60" i="2" s="1"/>
  <c r="T61" i="2" s="1"/>
  <c r="T28" i="2"/>
  <c r="T29" i="2"/>
  <c r="T72" i="2"/>
  <c r="T77" i="2" s="1"/>
  <c r="S69" i="2"/>
  <c r="S68" i="2"/>
  <c r="S70" i="2"/>
  <c r="S86" i="2"/>
  <c r="R87" i="2"/>
  <c r="R91" i="2"/>
  <c r="R98" i="2" s="1"/>
  <c r="R116" i="2" s="1"/>
  <c r="Q100" i="2"/>
  <c r="P105" i="2"/>
  <c r="P108" i="2"/>
  <c r="P104" i="2"/>
  <c r="P107" i="2"/>
  <c r="P101" i="2"/>
  <c r="P106" i="2"/>
  <c r="P109" i="2"/>
  <c r="U50" i="2"/>
  <c r="U51" i="2" s="1"/>
  <c r="U29" i="2"/>
  <c r="U28" i="2"/>
  <c r="S87" i="2" l="1"/>
  <c r="S91" i="2"/>
  <c r="S98" i="2" s="1"/>
  <c r="S116" i="2" s="1"/>
  <c r="U67" i="2"/>
  <c r="U57" i="2"/>
  <c r="U59" i="2" s="1"/>
  <c r="U60" i="2" s="1"/>
  <c r="U61" i="2" s="1"/>
  <c r="U53" i="2"/>
  <c r="U52" i="2"/>
  <c r="U54" i="2"/>
  <c r="U77" i="2"/>
  <c r="T68" i="2"/>
  <c r="T86" i="2"/>
  <c r="T70" i="2"/>
  <c r="T69" i="2"/>
  <c r="R100" i="2"/>
  <c r="Q105" i="2"/>
  <c r="Q108" i="2"/>
  <c r="Q107" i="2"/>
  <c r="Q104" i="2"/>
  <c r="Q109" i="2"/>
  <c r="Q101" i="2"/>
  <c r="Q106" i="2"/>
  <c r="R101" i="2" l="1"/>
  <c r="R104" i="2"/>
  <c r="R107" i="2"/>
  <c r="S100" i="2"/>
  <c r="R105" i="2"/>
  <c r="R108" i="2"/>
  <c r="R109" i="2"/>
  <c r="R106" i="2"/>
  <c r="T91" i="2"/>
  <c r="T98" i="2" s="1"/>
  <c r="T87" i="2"/>
  <c r="U70" i="2"/>
  <c r="U86" i="2"/>
  <c r="U69" i="2"/>
  <c r="U68" i="2"/>
  <c r="U87" i="2" l="1"/>
  <c r="T114" i="2"/>
  <c r="T116" i="2" s="1"/>
  <c r="U91" i="2"/>
  <c r="U98" i="2" s="1"/>
  <c r="S108" i="2"/>
  <c r="S107" i="2"/>
  <c r="S104" i="2"/>
  <c r="T100" i="2"/>
  <c r="S105" i="2"/>
  <c r="S101" i="2"/>
  <c r="S106" i="2"/>
  <c r="S109" i="2"/>
  <c r="T105" i="2" l="1"/>
  <c r="T101" i="2"/>
  <c r="U100" i="2"/>
  <c r="T106" i="2"/>
  <c r="T109" i="2"/>
  <c r="T108" i="2"/>
  <c r="T107" i="2"/>
  <c r="T104" i="2"/>
  <c r="F118" i="2"/>
  <c r="Z118" i="2" s="1"/>
  <c r="U116" i="2"/>
  <c r="U117" i="2" s="1"/>
  <c r="U101" i="2" l="1"/>
  <c r="U105" i="2"/>
  <c r="U104" i="2"/>
  <c r="U106" i="2"/>
  <c r="U109" i="2"/>
  <c r="U108" i="2"/>
  <c r="U10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 Nicolau</author>
  </authors>
  <commentList>
    <comment ref="T215" authorId="0" shapeId="0" xr:uid="{092919A5-7A7B-40A1-8816-A2CB3946DBCA}">
      <text>
        <r>
          <rPr>
            <b/>
            <sz val="9"/>
            <color indexed="81"/>
            <rFont val="Tahoma"/>
            <family val="2"/>
          </rPr>
          <t>Alex Nicolau:</t>
        </r>
        <r>
          <rPr>
            <sz val="9"/>
            <color indexed="81"/>
            <rFont val="Tahoma"/>
            <family val="2"/>
          </rPr>
          <t xml:space="preserve">
BDA estimate</t>
        </r>
      </text>
    </comment>
    <comment ref="U215" authorId="0" shapeId="0" xr:uid="{34DF8733-4A7A-4ADB-BB0C-A08458147094}">
      <text>
        <r>
          <rPr>
            <b/>
            <sz val="9"/>
            <color indexed="81"/>
            <rFont val="Tahoma"/>
            <family val="2"/>
          </rPr>
          <t>Alex Nicolau:</t>
        </r>
        <r>
          <rPr>
            <sz val="9"/>
            <color indexed="81"/>
            <rFont val="Tahoma"/>
            <family val="2"/>
          </rPr>
          <t xml:space="preserve">
BDA estimate</t>
        </r>
      </text>
    </comment>
    <comment ref="V215" authorId="0" shapeId="0" xr:uid="{0FD58A97-2C99-46FB-B7CD-16271D866F3C}">
      <text>
        <r>
          <rPr>
            <b/>
            <sz val="9"/>
            <color indexed="81"/>
            <rFont val="Tahoma"/>
            <family val="2"/>
          </rPr>
          <t>Alex Nicolau:</t>
        </r>
        <r>
          <rPr>
            <sz val="9"/>
            <color indexed="81"/>
            <rFont val="Tahoma"/>
            <family val="2"/>
          </rPr>
          <t xml:space="preserve">
BDA estimate</t>
        </r>
      </text>
    </comment>
    <comment ref="W215" authorId="0" shapeId="0" xr:uid="{B5EFF186-3388-45A0-973D-B94341E423D1}">
      <text>
        <r>
          <rPr>
            <b/>
            <sz val="9"/>
            <color indexed="81"/>
            <rFont val="Tahoma"/>
            <family val="2"/>
          </rPr>
          <t>Alex Nicolau:</t>
        </r>
        <r>
          <rPr>
            <sz val="9"/>
            <color indexed="81"/>
            <rFont val="Tahoma"/>
            <family val="2"/>
          </rPr>
          <t xml:space="preserve">
BDA estimate</t>
        </r>
      </text>
    </comment>
    <comment ref="X215" authorId="0" shapeId="0" xr:uid="{CAAD21D5-D6F4-440E-9176-06CE79C08708}">
      <text>
        <r>
          <rPr>
            <b/>
            <sz val="9"/>
            <color indexed="81"/>
            <rFont val="Tahoma"/>
            <family val="2"/>
          </rPr>
          <t>Alex Nicolau:</t>
        </r>
        <r>
          <rPr>
            <sz val="9"/>
            <color indexed="81"/>
            <rFont val="Tahoma"/>
            <family val="2"/>
          </rPr>
          <t xml:space="preserve">
BDA estimate</t>
        </r>
      </text>
    </comment>
    <comment ref="Y215" authorId="0" shapeId="0" xr:uid="{0E7ADBDE-9CA1-4F10-AA86-B37D018DE1F4}">
      <text>
        <r>
          <rPr>
            <b/>
            <sz val="9"/>
            <color indexed="81"/>
            <rFont val="Tahoma"/>
            <family val="2"/>
          </rPr>
          <t>Alex Nicolau:</t>
        </r>
        <r>
          <rPr>
            <sz val="9"/>
            <color indexed="81"/>
            <rFont val="Tahoma"/>
            <family val="2"/>
          </rPr>
          <t xml:space="preserve">
BDA estimate</t>
        </r>
      </text>
    </comment>
    <comment ref="Z215" authorId="0" shapeId="0" xr:uid="{DDF74D26-2CEA-4D34-B0A3-6EB29EC95118}">
      <text>
        <r>
          <rPr>
            <b/>
            <sz val="9"/>
            <color indexed="81"/>
            <rFont val="Tahoma"/>
            <family val="2"/>
          </rPr>
          <t>Alex Nicolau:</t>
        </r>
        <r>
          <rPr>
            <sz val="9"/>
            <color indexed="81"/>
            <rFont val="Tahoma"/>
            <family val="2"/>
          </rPr>
          <t xml:space="preserve">
BDA estimate</t>
        </r>
      </text>
    </comment>
    <comment ref="AA215" authorId="0" shapeId="0" xr:uid="{26F1BEE6-E8F7-4083-B492-7BEA2B6365C0}">
      <text>
        <r>
          <rPr>
            <b/>
            <sz val="9"/>
            <color indexed="81"/>
            <rFont val="Tahoma"/>
            <family val="2"/>
          </rPr>
          <t>Alex Nicolau:</t>
        </r>
        <r>
          <rPr>
            <sz val="9"/>
            <color indexed="81"/>
            <rFont val="Tahoma"/>
            <family val="2"/>
          </rPr>
          <t xml:space="preserve">
BDA estimate</t>
        </r>
      </text>
    </comment>
    <comment ref="AB215" authorId="0" shapeId="0" xr:uid="{778912B2-B9F1-4A50-8041-E1130643639D}">
      <text>
        <r>
          <rPr>
            <b/>
            <sz val="9"/>
            <color indexed="81"/>
            <rFont val="Tahoma"/>
            <family val="2"/>
          </rPr>
          <t>Alex Nicolau:</t>
        </r>
        <r>
          <rPr>
            <sz val="9"/>
            <color indexed="81"/>
            <rFont val="Tahoma"/>
            <family val="2"/>
          </rPr>
          <t xml:space="preserve">
BDA estimate</t>
        </r>
      </text>
    </comment>
    <comment ref="AC215" authorId="0" shapeId="0" xr:uid="{8ACD7AE7-2C84-4F18-B017-338B71A373CC}">
      <text>
        <r>
          <rPr>
            <b/>
            <sz val="9"/>
            <color indexed="81"/>
            <rFont val="Tahoma"/>
            <family val="2"/>
          </rPr>
          <t>Alex Nicolau:</t>
        </r>
        <r>
          <rPr>
            <sz val="9"/>
            <color indexed="81"/>
            <rFont val="Tahoma"/>
            <family val="2"/>
          </rPr>
          <t xml:space="preserve">
BDA estimate</t>
        </r>
      </text>
    </comment>
    <comment ref="AD215" authorId="0" shapeId="0" xr:uid="{8E8B5E36-51E3-4CCE-85D9-30975B194014}">
      <text>
        <r>
          <rPr>
            <b/>
            <sz val="9"/>
            <color indexed="81"/>
            <rFont val="Tahoma"/>
            <family val="2"/>
          </rPr>
          <t>Alex Nicolau:</t>
        </r>
        <r>
          <rPr>
            <sz val="9"/>
            <color indexed="81"/>
            <rFont val="Tahoma"/>
            <family val="2"/>
          </rPr>
          <t xml:space="preserve">
BDA estimate</t>
        </r>
      </text>
    </comment>
    <comment ref="AE215" authorId="0" shapeId="0" xr:uid="{D6060835-9862-40E4-85B8-4FE53314FBD8}">
      <text>
        <r>
          <rPr>
            <b/>
            <sz val="9"/>
            <color indexed="81"/>
            <rFont val="Tahoma"/>
            <family val="2"/>
          </rPr>
          <t>Alex Nicolau:</t>
        </r>
        <r>
          <rPr>
            <sz val="9"/>
            <color indexed="81"/>
            <rFont val="Tahoma"/>
            <family val="2"/>
          </rPr>
          <t xml:space="preserve">
BDA estimate</t>
        </r>
      </text>
    </comment>
    <comment ref="AF215" authorId="0" shapeId="0" xr:uid="{8E738B79-A3DC-4668-9D1B-EFB09A90CE97}">
      <text>
        <r>
          <rPr>
            <b/>
            <sz val="9"/>
            <color indexed="81"/>
            <rFont val="Tahoma"/>
            <family val="2"/>
          </rPr>
          <t>Alex Nicolau:</t>
        </r>
        <r>
          <rPr>
            <sz val="9"/>
            <color indexed="81"/>
            <rFont val="Tahoma"/>
            <family val="2"/>
          </rPr>
          <t xml:space="preserve">
BDA estimate</t>
        </r>
      </text>
    </comment>
    <comment ref="AG215" authorId="0" shapeId="0" xr:uid="{3176B4E4-B7CE-4ECF-94F9-15A4C932E7A9}">
      <text>
        <r>
          <rPr>
            <b/>
            <sz val="9"/>
            <color indexed="81"/>
            <rFont val="Tahoma"/>
            <family val="2"/>
          </rPr>
          <t>Alex Nicolau:</t>
        </r>
        <r>
          <rPr>
            <sz val="9"/>
            <color indexed="81"/>
            <rFont val="Tahoma"/>
            <family val="2"/>
          </rPr>
          <t xml:space="preserve">
BDA estimate</t>
        </r>
      </text>
    </comment>
    <comment ref="Z220" authorId="0" shapeId="0" xr:uid="{79C0E7EB-C7B2-42CA-AE49-B56EA696E2FB}">
      <text>
        <r>
          <rPr>
            <b/>
            <sz val="9"/>
            <color indexed="81"/>
            <rFont val="Tahoma"/>
            <family val="2"/>
          </rPr>
          <t>Alex Nicolau:</t>
        </r>
        <r>
          <rPr>
            <sz val="9"/>
            <color indexed="81"/>
            <rFont val="Tahoma"/>
            <family val="2"/>
          </rPr>
          <t xml:space="preserve">
BDA estimate</t>
        </r>
      </text>
    </comment>
    <comment ref="AA220" authorId="0" shapeId="0" xr:uid="{10F83E53-AF21-40B2-80E9-692818977395}">
      <text>
        <r>
          <rPr>
            <b/>
            <sz val="9"/>
            <color indexed="81"/>
            <rFont val="Tahoma"/>
            <family val="2"/>
          </rPr>
          <t>Alex Nicolau:</t>
        </r>
        <r>
          <rPr>
            <sz val="9"/>
            <color indexed="81"/>
            <rFont val="Tahoma"/>
            <family val="2"/>
          </rPr>
          <t xml:space="preserve">
BDA estimate</t>
        </r>
      </text>
    </comment>
    <comment ref="AB220" authorId="0" shapeId="0" xr:uid="{07129D7C-DD2E-436C-AF4E-9E378B9AAF4D}">
      <text>
        <r>
          <rPr>
            <b/>
            <sz val="9"/>
            <color indexed="81"/>
            <rFont val="Tahoma"/>
            <family val="2"/>
          </rPr>
          <t>Alex Nicolau:</t>
        </r>
        <r>
          <rPr>
            <sz val="9"/>
            <color indexed="81"/>
            <rFont val="Tahoma"/>
            <family val="2"/>
          </rPr>
          <t xml:space="preserve">
BDA estimate</t>
        </r>
      </text>
    </comment>
    <comment ref="AC220" authorId="0" shapeId="0" xr:uid="{22BBB98F-BC45-400F-ACB3-B9FE8C18B069}">
      <text>
        <r>
          <rPr>
            <b/>
            <sz val="9"/>
            <color indexed="81"/>
            <rFont val="Tahoma"/>
            <family val="2"/>
          </rPr>
          <t>Alex Nicolau:</t>
        </r>
        <r>
          <rPr>
            <sz val="9"/>
            <color indexed="81"/>
            <rFont val="Tahoma"/>
            <family val="2"/>
          </rPr>
          <t xml:space="preserve">
BDA estimate</t>
        </r>
      </text>
    </comment>
    <comment ref="AD220" authorId="0" shapeId="0" xr:uid="{6FC4FC29-232A-467F-83CE-0FB38C0E8993}">
      <text>
        <r>
          <rPr>
            <b/>
            <sz val="9"/>
            <color indexed="81"/>
            <rFont val="Tahoma"/>
            <family val="2"/>
          </rPr>
          <t>Alex Nicolau:</t>
        </r>
        <r>
          <rPr>
            <sz val="9"/>
            <color indexed="81"/>
            <rFont val="Tahoma"/>
            <family val="2"/>
          </rPr>
          <t xml:space="preserve">
BDA estimate</t>
        </r>
      </text>
    </comment>
    <comment ref="AE220" authorId="0" shapeId="0" xr:uid="{43E461DF-6E62-4CDD-8884-905FF6478F88}">
      <text>
        <r>
          <rPr>
            <b/>
            <sz val="9"/>
            <color indexed="81"/>
            <rFont val="Tahoma"/>
            <family val="2"/>
          </rPr>
          <t>Alex Nicolau:</t>
        </r>
        <r>
          <rPr>
            <sz val="9"/>
            <color indexed="81"/>
            <rFont val="Tahoma"/>
            <family val="2"/>
          </rPr>
          <t xml:space="preserve">
BDA estimate</t>
        </r>
      </text>
    </comment>
    <comment ref="AF220" authorId="0" shapeId="0" xr:uid="{9A18CED1-CB3F-42BC-A3EA-26B93D6C2574}">
      <text>
        <r>
          <rPr>
            <b/>
            <sz val="9"/>
            <color indexed="81"/>
            <rFont val="Tahoma"/>
            <family val="2"/>
          </rPr>
          <t>Alex Nicolau:</t>
        </r>
        <r>
          <rPr>
            <sz val="9"/>
            <color indexed="81"/>
            <rFont val="Tahoma"/>
            <family val="2"/>
          </rPr>
          <t xml:space="preserve">
BDA estimate</t>
        </r>
      </text>
    </comment>
    <comment ref="AG220" authorId="0" shapeId="0" xr:uid="{BD2E41BC-FCDC-4867-A048-07E164E94E26}">
      <text>
        <r>
          <rPr>
            <b/>
            <sz val="9"/>
            <color indexed="81"/>
            <rFont val="Tahoma"/>
            <family val="2"/>
          </rPr>
          <t>Alex Nicolau:</t>
        </r>
        <r>
          <rPr>
            <sz val="9"/>
            <color indexed="81"/>
            <rFont val="Tahoma"/>
            <family val="2"/>
          </rPr>
          <t xml:space="preserve">
BDA estimate</t>
        </r>
      </text>
    </comment>
    <comment ref="L237" authorId="0" shapeId="0" xr:uid="{EE048C5D-85FC-4AD3-BEC2-0210564BC54A}">
      <text>
        <r>
          <rPr>
            <b/>
            <sz val="9"/>
            <color indexed="81"/>
            <rFont val="Tahoma"/>
            <family val="2"/>
          </rPr>
          <t>Alex Nicolau:</t>
        </r>
        <r>
          <rPr>
            <sz val="9"/>
            <color indexed="81"/>
            <rFont val="Tahoma"/>
            <family val="2"/>
          </rPr>
          <t xml:space="preserve">
BDA estimate</t>
        </r>
      </text>
    </comment>
    <comment ref="M237" authorId="0" shapeId="0" xr:uid="{EB441CCC-9369-4025-AE51-B9D9A781312D}">
      <text>
        <r>
          <rPr>
            <b/>
            <sz val="9"/>
            <color indexed="81"/>
            <rFont val="Tahoma"/>
            <family val="2"/>
          </rPr>
          <t>Alex Nicolau:</t>
        </r>
        <r>
          <rPr>
            <sz val="9"/>
            <color indexed="81"/>
            <rFont val="Tahoma"/>
            <family val="2"/>
          </rPr>
          <t xml:space="preserve">
BDA estimate</t>
        </r>
      </text>
    </comment>
    <comment ref="N237" authorId="0" shapeId="0" xr:uid="{A55FCE45-188D-4A37-834E-78D4CF48E3C9}">
      <text>
        <r>
          <rPr>
            <b/>
            <sz val="9"/>
            <color indexed="81"/>
            <rFont val="Tahoma"/>
            <family val="2"/>
          </rPr>
          <t>Alex Nicolau:</t>
        </r>
        <r>
          <rPr>
            <sz val="9"/>
            <color indexed="81"/>
            <rFont val="Tahoma"/>
            <family val="2"/>
          </rPr>
          <t xml:space="preserve">
BDA estimate</t>
        </r>
      </text>
    </comment>
    <comment ref="O237" authorId="0" shapeId="0" xr:uid="{12E42AA2-5634-4837-AF36-ED9C632EDC83}">
      <text>
        <r>
          <rPr>
            <b/>
            <sz val="9"/>
            <color indexed="81"/>
            <rFont val="Tahoma"/>
            <family val="2"/>
          </rPr>
          <t>Alex Nicolau:</t>
        </r>
        <r>
          <rPr>
            <sz val="9"/>
            <color indexed="81"/>
            <rFont val="Tahoma"/>
            <family val="2"/>
          </rPr>
          <t xml:space="preserve">
BDA estimate</t>
        </r>
      </text>
    </comment>
    <comment ref="P237" authorId="0" shapeId="0" xr:uid="{10D79017-CC7A-4F6F-A914-14563C35FB87}">
      <text>
        <r>
          <rPr>
            <b/>
            <sz val="9"/>
            <color indexed="81"/>
            <rFont val="Tahoma"/>
            <family val="2"/>
          </rPr>
          <t>Alex Nicolau:</t>
        </r>
        <r>
          <rPr>
            <sz val="9"/>
            <color indexed="81"/>
            <rFont val="Tahoma"/>
            <family val="2"/>
          </rPr>
          <t xml:space="preserve">
BDA estimate</t>
        </r>
      </text>
    </comment>
    <comment ref="Q237" authorId="0" shapeId="0" xr:uid="{CCD02269-7D52-46DE-9973-4A8A5BF7860E}">
      <text>
        <r>
          <rPr>
            <b/>
            <sz val="9"/>
            <color indexed="81"/>
            <rFont val="Tahoma"/>
            <family val="2"/>
          </rPr>
          <t>Alex Nicolau:</t>
        </r>
        <r>
          <rPr>
            <sz val="9"/>
            <color indexed="81"/>
            <rFont val="Tahoma"/>
            <family val="2"/>
          </rPr>
          <t xml:space="preserve">
BDA estimate</t>
        </r>
      </text>
    </comment>
    <comment ref="R237" authorId="0" shapeId="0" xr:uid="{065D8CEF-6548-4FF1-8FB5-C7019845E0AC}">
      <text>
        <r>
          <rPr>
            <b/>
            <sz val="9"/>
            <color indexed="81"/>
            <rFont val="Tahoma"/>
            <family val="2"/>
          </rPr>
          <t>Alex Nicolau:</t>
        </r>
        <r>
          <rPr>
            <sz val="9"/>
            <color indexed="81"/>
            <rFont val="Tahoma"/>
            <family val="2"/>
          </rPr>
          <t xml:space="preserve">
BDA estimate</t>
        </r>
      </text>
    </comment>
    <comment ref="S237" authorId="0" shapeId="0" xr:uid="{3A65D027-869C-4185-8A7B-82EF877B48D0}">
      <text>
        <r>
          <rPr>
            <b/>
            <sz val="9"/>
            <color indexed="81"/>
            <rFont val="Tahoma"/>
            <family val="2"/>
          </rPr>
          <t>Alex Nicolau:</t>
        </r>
        <r>
          <rPr>
            <sz val="9"/>
            <color indexed="81"/>
            <rFont val="Tahoma"/>
            <family val="2"/>
          </rPr>
          <t xml:space="preserve">
BDA estimate</t>
        </r>
      </text>
    </comment>
    <comment ref="T237" authorId="0" shapeId="0" xr:uid="{50FAA8CA-57CB-4B1C-8F37-599F53FEB0B3}">
      <text>
        <r>
          <rPr>
            <b/>
            <sz val="9"/>
            <color indexed="81"/>
            <rFont val="Tahoma"/>
            <family val="2"/>
          </rPr>
          <t>Alex Nicolau:</t>
        </r>
        <r>
          <rPr>
            <sz val="9"/>
            <color indexed="81"/>
            <rFont val="Tahoma"/>
            <family val="2"/>
          </rPr>
          <t xml:space="preserve">
BDA estimate</t>
        </r>
      </text>
    </comment>
    <comment ref="U237" authorId="0" shapeId="0" xr:uid="{91965109-53EA-43A1-8958-F9210194CA28}">
      <text>
        <r>
          <rPr>
            <b/>
            <sz val="9"/>
            <color indexed="81"/>
            <rFont val="Tahoma"/>
            <family val="2"/>
          </rPr>
          <t>Alex Nicolau:</t>
        </r>
        <r>
          <rPr>
            <sz val="9"/>
            <color indexed="81"/>
            <rFont val="Tahoma"/>
            <family val="2"/>
          </rPr>
          <t xml:space="preserve">
BDA estimate</t>
        </r>
      </text>
    </comment>
    <comment ref="V237" authorId="0" shapeId="0" xr:uid="{0A17B1A4-51DD-47E3-BAEB-F93781FFEF0E}">
      <text>
        <r>
          <rPr>
            <b/>
            <sz val="9"/>
            <color indexed="81"/>
            <rFont val="Tahoma"/>
            <family val="2"/>
          </rPr>
          <t>Alex Nicolau:</t>
        </r>
        <r>
          <rPr>
            <sz val="9"/>
            <color indexed="81"/>
            <rFont val="Tahoma"/>
            <family val="2"/>
          </rPr>
          <t xml:space="preserve">
BDA estimate, adjusted to match reported FY21 GMV </t>
        </r>
      </text>
    </comment>
    <comment ref="W237" authorId="0" shapeId="0" xr:uid="{E3281A0F-1C2A-483B-935C-09F790782515}">
      <text>
        <r>
          <rPr>
            <b/>
            <sz val="9"/>
            <color indexed="81"/>
            <rFont val="Tahoma"/>
            <family val="2"/>
          </rPr>
          <t>Alex Nicolau:</t>
        </r>
        <r>
          <rPr>
            <sz val="9"/>
            <color indexed="81"/>
            <rFont val="Tahoma"/>
            <family val="2"/>
          </rPr>
          <t xml:space="preserve">
BDA estimate, adjusted to match reported FY21 GMV </t>
        </r>
      </text>
    </comment>
    <comment ref="X237" authorId="0" shapeId="0" xr:uid="{4256A575-F36F-4F5E-816A-3671E00211A5}">
      <text>
        <r>
          <rPr>
            <b/>
            <sz val="9"/>
            <color indexed="81"/>
            <rFont val="Tahoma"/>
            <family val="2"/>
          </rPr>
          <t>Alex Nicolau:</t>
        </r>
        <r>
          <rPr>
            <sz val="9"/>
            <color indexed="81"/>
            <rFont val="Tahoma"/>
            <family val="2"/>
          </rPr>
          <t xml:space="preserve">
BDA estimate</t>
        </r>
      </text>
    </comment>
    <comment ref="Y237" authorId="0" shapeId="0" xr:uid="{E7CC7641-1712-4AD3-8802-3D174EE52ABC}">
      <text>
        <r>
          <rPr>
            <b/>
            <sz val="9"/>
            <color indexed="81"/>
            <rFont val="Tahoma"/>
            <family val="2"/>
          </rPr>
          <t>Alex Nicolau:</t>
        </r>
        <r>
          <rPr>
            <sz val="9"/>
            <color indexed="81"/>
            <rFont val="Tahoma"/>
            <family val="2"/>
          </rPr>
          <t xml:space="preserve">
BDA estimate</t>
        </r>
      </text>
    </comment>
    <comment ref="Z237" authorId="0" shapeId="0" xr:uid="{AFEB4F70-E147-4D9E-9B4E-8C56EC0B0D50}">
      <text>
        <r>
          <rPr>
            <b/>
            <sz val="9"/>
            <color indexed="81"/>
            <rFont val="Tahoma"/>
            <family val="2"/>
          </rPr>
          <t>Alex Nicolau:</t>
        </r>
        <r>
          <rPr>
            <sz val="9"/>
            <color indexed="81"/>
            <rFont val="Tahoma"/>
            <family val="2"/>
          </rPr>
          <t xml:space="preserve">
BDA estimate</t>
        </r>
      </text>
    </comment>
    <comment ref="AA237" authorId="0" shapeId="0" xr:uid="{86A71B3E-9094-4915-A1B8-1B21F0349435}">
      <text>
        <r>
          <rPr>
            <b/>
            <sz val="9"/>
            <color indexed="81"/>
            <rFont val="Tahoma"/>
            <family val="2"/>
          </rPr>
          <t>Alex Nicolau:</t>
        </r>
        <r>
          <rPr>
            <sz val="9"/>
            <color indexed="81"/>
            <rFont val="Tahoma"/>
            <family val="2"/>
          </rPr>
          <t xml:space="preserve">
BDA estimate</t>
        </r>
      </text>
    </comment>
    <comment ref="AB237" authorId="0" shapeId="0" xr:uid="{4A710B43-3E06-437A-B683-66CA0325BC07}">
      <text>
        <r>
          <rPr>
            <b/>
            <sz val="9"/>
            <color indexed="81"/>
            <rFont val="Tahoma"/>
            <family val="2"/>
          </rPr>
          <t>Alex Nicolau:</t>
        </r>
        <r>
          <rPr>
            <sz val="9"/>
            <color indexed="81"/>
            <rFont val="Tahoma"/>
            <family val="2"/>
          </rPr>
          <t xml:space="preserve">
BDA estimate</t>
        </r>
      </text>
    </comment>
    <comment ref="AC237" authorId="0" shapeId="0" xr:uid="{9D7DAD6B-0177-4684-BCB0-3E72D3E12A7E}">
      <text>
        <r>
          <rPr>
            <b/>
            <sz val="9"/>
            <color indexed="81"/>
            <rFont val="Tahoma"/>
            <family val="2"/>
          </rPr>
          <t>Alex Nicolau:</t>
        </r>
        <r>
          <rPr>
            <sz val="9"/>
            <color indexed="81"/>
            <rFont val="Tahoma"/>
            <family val="2"/>
          </rPr>
          <t xml:space="preserve">
BDA estimate</t>
        </r>
      </text>
    </comment>
    <comment ref="AD237" authorId="0" shapeId="0" xr:uid="{63768228-B325-4F27-99F3-EDF2C4846374}">
      <text>
        <r>
          <rPr>
            <b/>
            <sz val="9"/>
            <color indexed="81"/>
            <rFont val="Tahoma"/>
            <family val="2"/>
          </rPr>
          <t>Alex Nicolau:</t>
        </r>
        <r>
          <rPr>
            <sz val="9"/>
            <color indexed="81"/>
            <rFont val="Tahoma"/>
            <family val="2"/>
          </rPr>
          <t xml:space="preserve">
BDA estimate</t>
        </r>
      </text>
    </comment>
    <comment ref="AE237" authorId="0" shapeId="0" xr:uid="{D392E556-CCFB-42CD-AB59-A0EDD1590014}">
      <text>
        <r>
          <rPr>
            <b/>
            <sz val="9"/>
            <color indexed="81"/>
            <rFont val="Tahoma"/>
            <family val="2"/>
          </rPr>
          <t>Alex Nicolau:</t>
        </r>
        <r>
          <rPr>
            <sz val="9"/>
            <color indexed="81"/>
            <rFont val="Tahoma"/>
            <family val="2"/>
          </rPr>
          <t xml:space="preserve">
BDA estimate</t>
        </r>
      </text>
    </comment>
    <comment ref="AF237" authorId="0" shapeId="0" xr:uid="{EB3A5017-A41D-4548-84AB-7E0D3FD317D0}">
      <text>
        <r>
          <rPr>
            <b/>
            <sz val="9"/>
            <color indexed="81"/>
            <rFont val="Tahoma"/>
            <family val="2"/>
          </rPr>
          <t>Alex Nicolau:</t>
        </r>
        <r>
          <rPr>
            <sz val="9"/>
            <color indexed="81"/>
            <rFont val="Tahoma"/>
            <family val="2"/>
          </rPr>
          <t xml:space="preserve">
BDA estimate</t>
        </r>
      </text>
    </comment>
    <comment ref="AG237" authorId="0" shapeId="0" xr:uid="{397DDF46-735F-4449-9070-358EA69A6855}">
      <text>
        <r>
          <rPr>
            <b/>
            <sz val="9"/>
            <color indexed="81"/>
            <rFont val="Tahoma"/>
            <family val="2"/>
          </rPr>
          <t>Alex Nicolau:</t>
        </r>
        <r>
          <rPr>
            <sz val="9"/>
            <color indexed="81"/>
            <rFont val="Tahoma"/>
            <family val="2"/>
          </rPr>
          <t xml:space="preserve">
BDA estimate</t>
        </r>
      </text>
    </comment>
    <comment ref="S238" authorId="0" shapeId="0" xr:uid="{FC7D7573-585A-4A17-8DE2-38F7482623AB}">
      <text>
        <r>
          <rPr>
            <b/>
            <sz val="9"/>
            <color indexed="81"/>
            <rFont val="Tahoma"/>
            <family val="2"/>
          </rPr>
          <t>Alex Nicolau:</t>
        </r>
        <r>
          <rPr>
            <sz val="9"/>
            <color indexed="81"/>
            <rFont val="Tahoma"/>
            <family val="2"/>
          </rPr>
          <t xml:space="preserve">
BDA estimate</t>
        </r>
      </text>
    </comment>
    <comment ref="T238" authorId="0" shapeId="0" xr:uid="{34EB531C-AD3F-4808-B526-285202D23D97}">
      <text>
        <r>
          <rPr>
            <b/>
            <sz val="9"/>
            <color indexed="81"/>
            <rFont val="Tahoma"/>
            <family val="2"/>
          </rPr>
          <t>Alex Nicolau:</t>
        </r>
        <r>
          <rPr>
            <sz val="9"/>
            <color indexed="81"/>
            <rFont val="Tahoma"/>
            <family val="2"/>
          </rPr>
          <t xml:space="preserve">
BDA estimate</t>
        </r>
      </text>
    </comment>
    <comment ref="U238" authorId="0" shapeId="0" xr:uid="{028CEDEE-257C-4F30-8F1E-7EA01C2E3770}">
      <text>
        <r>
          <rPr>
            <b/>
            <sz val="9"/>
            <color indexed="81"/>
            <rFont val="Tahoma"/>
            <family val="2"/>
          </rPr>
          <t>Alex Nicolau:</t>
        </r>
        <r>
          <rPr>
            <sz val="9"/>
            <color indexed="81"/>
            <rFont val="Tahoma"/>
            <family val="2"/>
          </rPr>
          <t xml:space="preserve">
BDA estimate</t>
        </r>
      </text>
    </comment>
    <comment ref="V238" authorId="0" shapeId="0" xr:uid="{9B9DB298-3D5B-41AF-989A-E60EFFC780FA}">
      <text>
        <r>
          <rPr>
            <b/>
            <sz val="9"/>
            <color indexed="81"/>
            <rFont val="Tahoma"/>
            <family val="2"/>
          </rPr>
          <t>Alex Nicolau:</t>
        </r>
        <r>
          <rPr>
            <sz val="9"/>
            <color indexed="81"/>
            <rFont val="Tahoma"/>
            <family val="2"/>
          </rPr>
          <t xml:space="preserve">
BDA estimate</t>
        </r>
      </text>
    </comment>
    <comment ref="W238" authorId="0" shapeId="0" xr:uid="{E2394EC4-9BBE-4CC4-9A51-BB073175F724}">
      <text>
        <r>
          <rPr>
            <b/>
            <sz val="9"/>
            <color indexed="81"/>
            <rFont val="Tahoma"/>
            <family val="2"/>
          </rPr>
          <t>Alex Nicolau:</t>
        </r>
        <r>
          <rPr>
            <sz val="9"/>
            <color indexed="81"/>
            <rFont val="Tahoma"/>
            <family val="2"/>
          </rPr>
          <t xml:space="preserve">
BDA estimate</t>
        </r>
      </text>
    </comment>
    <comment ref="X238" authorId="0" shapeId="0" xr:uid="{5D2CEFC6-5088-40F1-96CE-B829EFF30B91}">
      <text>
        <r>
          <rPr>
            <b/>
            <sz val="9"/>
            <color indexed="81"/>
            <rFont val="Tahoma"/>
            <family val="2"/>
          </rPr>
          <t>Alex Nicolau:</t>
        </r>
        <r>
          <rPr>
            <sz val="9"/>
            <color indexed="81"/>
            <rFont val="Tahoma"/>
            <family val="2"/>
          </rPr>
          <t xml:space="preserve">
BDA estimate</t>
        </r>
      </text>
    </comment>
    <comment ref="Y238" authorId="0" shapeId="0" xr:uid="{2BB8A3F9-42FE-40E9-ABA5-79C3C4132CEF}">
      <text>
        <r>
          <rPr>
            <b/>
            <sz val="9"/>
            <color indexed="81"/>
            <rFont val="Tahoma"/>
            <family val="2"/>
          </rPr>
          <t>Alex Nicolau:</t>
        </r>
        <r>
          <rPr>
            <sz val="9"/>
            <color indexed="81"/>
            <rFont val="Tahoma"/>
            <family val="2"/>
          </rPr>
          <t xml:space="preserve">
BDA estimate</t>
        </r>
      </text>
    </comment>
    <comment ref="Z238" authorId="0" shapeId="0" xr:uid="{5D103FE7-2DBF-48BB-902E-4EFF0586969B}">
      <text>
        <r>
          <rPr>
            <b/>
            <sz val="9"/>
            <color indexed="81"/>
            <rFont val="Tahoma"/>
            <family val="2"/>
          </rPr>
          <t>Alex Nicolau:</t>
        </r>
        <r>
          <rPr>
            <sz val="9"/>
            <color indexed="81"/>
            <rFont val="Tahoma"/>
            <family val="2"/>
          </rPr>
          <t xml:space="preserve">
BDA estimate</t>
        </r>
      </text>
    </comment>
    <comment ref="AA238" authorId="0" shapeId="0" xr:uid="{456BFF12-3DAF-4662-8E55-62D002C7DC7A}">
      <text>
        <r>
          <rPr>
            <b/>
            <sz val="9"/>
            <color indexed="81"/>
            <rFont val="Tahoma"/>
            <family val="2"/>
          </rPr>
          <t>Alex Nicolau:</t>
        </r>
        <r>
          <rPr>
            <sz val="9"/>
            <color indexed="81"/>
            <rFont val="Tahoma"/>
            <family val="2"/>
          </rPr>
          <t xml:space="preserve">
BDA estimate</t>
        </r>
      </text>
    </comment>
    <comment ref="AB238" authorId="0" shapeId="0" xr:uid="{F908E462-D65D-4237-A247-7552B920B9B8}">
      <text>
        <r>
          <rPr>
            <b/>
            <sz val="9"/>
            <color indexed="81"/>
            <rFont val="Tahoma"/>
            <family val="2"/>
          </rPr>
          <t>Alex Nicolau:</t>
        </r>
        <r>
          <rPr>
            <sz val="9"/>
            <color indexed="81"/>
            <rFont val="Tahoma"/>
            <family val="2"/>
          </rPr>
          <t xml:space="preserve">
BDA estimate</t>
        </r>
      </text>
    </comment>
    <comment ref="AC238" authorId="0" shapeId="0" xr:uid="{CD343B69-F206-42C4-9B19-8DDD97924E7A}">
      <text>
        <r>
          <rPr>
            <b/>
            <sz val="9"/>
            <color indexed="81"/>
            <rFont val="Tahoma"/>
            <family val="2"/>
          </rPr>
          <t>Alex Nicolau:</t>
        </r>
        <r>
          <rPr>
            <sz val="9"/>
            <color indexed="81"/>
            <rFont val="Tahoma"/>
            <family val="2"/>
          </rPr>
          <t xml:space="preserve">
BDA estimate</t>
        </r>
      </text>
    </comment>
    <comment ref="AD238" authorId="0" shapeId="0" xr:uid="{199AB2E4-DD7E-49C1-B911-C95D29A1392A}">
      <text>
        <r>
          <rPr>
            <b/>
            <sz val="9"/>
            <color indexed="81"/>
            <rFont val="Tahoma"/>
            <family val="2"/>
          </rPr>
          <t>Alex Nicolau:</t>
        </r>
        <r>
          <rPr>
            <sz val="9"/>
            <color indexed="81"/>
            <rFont val="Tahoma"/>
            <family val="2"/>
          </rPr>
          <t xml:space="preserve">
BDA estimate</t>
        </r>
      </text>
    </comment>
    <comment ref="AE238" authorId="0" shapeId="0" xr:uid="{8212732A-4B70-49CC-BC08-41DB63AEFD08}">
      <text>
        <r>
          <rPr>
            <b/>
            <sz val="9"/>
            <color indexed="81"/>
            <rFont val="Tahoma"/>
            <family val="2"/>
          </rPr>
          <t>Alex Nicolau:</t>
        </r>
        <r>
          <rPr>
            <sz val="9"/>
            <color indexed="81"/>
            <rFont val="Tahoma"/>
            <family val="2"/>
          </rPr>
          <t xml:space="preserve">
BDA estimate</t>
        </r>
      </text>
    </comment>
    <comment ref="AF238" authorId="0" shapeId="0" xr:uid="{67B045CA-6813-490A-8678-E8B7C55D9018}">
      <text>
        <r>
          <rPr>
            <b/>
            <sz val="9"/>
            <color indexed="81"/>
            <rFont val="Tahoma"/>
            <family val="2"/>
          </rPr>
          <t>Alex Nicolau:</t>
        </r>
        <r>
          <rPr>
            <sz val="9"/>
            <color indexed="81"/>
            <rFont val="Tahoma"/>
            <family val="2"/>
          </rPr>
          <t xml:space="preserve">
BDA estimate</t>
        </r>
      </text>
    </comment>
    <comment ref="AG238" authorId="0" shapeId="0" xr:uid="{4808F587-F4F1-4142-896D-C8797152E71B}">
      <text>
        <r>
          <rPr>
            <b/>
            <sz val="9"/>
            <color indexed="81"/>
            <rFont val="Tahoma"/>
            <family val="2"/>
          </rPr>
          <t>Alex Nicolau:</t>
        </r>
        <r>
          <rPr>
            <sz val="9"/>
            <color indexed="81"/>
            <rFont val="Tahoma"/>
            <family val="2"/>
          </rPr>
          <t xml:space="preserve">
BDA estimate</t>
        </r>
      </text>
    </comment>
    <comment ref="Z242" authorId="0" shapeId="0" xr:uid="{D60ACB29-D56D-469A-A38B-8B346555D6F7}">
      <text>
        <r>
          <rPr>
            <b/>
            <sz val="9"/>
            <color indexed="81"/>
            <rFont val="Tahoma"/>
            <family val="2"/>
          </rPr>
          <t>Alex Nicolau:</t>
        </r>
        <r>
          <rPr>
            <sz val="9"/>
            <color indexed="81"/>
            <rFont val="Tahoma"/>
            <family val="2"/>
          </rPr>
          <t xml:space="preserve">
BDA estimate</t>
        </r>
      </text>
    </comment>
    <comment ref="AA242" authorId="0" shapeId="0" xr:uid="{F18C0F35-40EA-4C2E-8EC4-6CE5C2BF8BA6}">
      <text>
        <r>
          <rPr>
            <b/>
            <sz val="9"/>
            <color indexed="81"/>
            <rFont val="Tahoma"/>
            <family val="2"/>
          </rPr>
          <t>Alex Nicolau:</t>
        </r>
        <r>
          <rPr>
            <sz val="9"/>
            <color indexed="81"/>
            <rFont val="Tahoma"/>
            <family val="2"/>
          </rPr>
          <t xml:space="preserve">
BDA estimate</t>
        </r>
      </text>
    </comment>
    <comment ref="AB242" authorId="0" shapeId="0" xr:uid="{943F3A02-1249-42CE-BC9A-38E28F2D39DF}">
      <text>
        <r>
          <rPr>
            <b/>
            <sz val="9"/>
            <color indexed="81"/>
            <rFont val="Tahoma"/>
            <family val="2"/>
          </rPr>
          <t>Alex Nicolau:</t>
        </r>
        <r>
          <rPr>
            <sz val="9"/>
            <color indexed="81"/>
            <rFont val="Tahoma"/>
            <family val="2"/>
          </rPr>
          <t xml:space="preserve">
BDA estimate</t>
        </r>
      </text>
    </comment>
    <comment ref="AC242" authorId="0" shapeId="0" xr:uid="{F99B4C5F-9BD5-4B2C-B54A-47489B275495}">
      <text>
        <r>
          <rPr>
            <b/>
            <sz val="9"/>
            <color indexed="81"/>
            <rFont val="Tahoma"/>
            <family val="2"/>
          </rPr>
          <t>Alex Nicolau:</t>
        </r>
        <r>
          <rPr>
            <sz val="9"/>
            <color indexed="81"/>
            <rFont val="Tahoma"/>
            <family val="2"/>
          </rPr>
          <t xml:space="preserve">
BDA estimate</t>
        </r>
      </text>
    </comment>
    <comment ref="AD242" authorId="0" shapeId="0" xr:uid="{1DA7087C-FE69-4C1A-858F-CF6FEEF4D76A}">
      <text>
        <r>
          <rPr>
            <b/>
            <sz val="9"/>
            <color indexed="81"/>
            <rFont val="Tahoma"/>
            <family val="2"/>
          </rPr>
          <t>Alex Nicolau:</t>
        </r>
        <r>
          <rPr>
            <sz val="9"/>
            <color indexed="81"/>
            <rFont val="Tahoma"/>
            <family val="2"/>
          </rPr>
          <t xml:space="preserve">
BDA estimate</t>
        </r>
      </text>
    </comment>
    <comment ref="AE242" authorId="0" shapeId="0" xr:uid="{CFEB53F3-639D-4FA5-A7A0-7115EDE504B5}">
      <text>
        <r>
          <rPr>
            <b/>
            <sz val="9"/>
            <color indexed="81"/>
            <rFont val="Tahoma"/>
            <family val="2"/>
          </rPr>
          <t>Alex Nicolau:</t>
        </r>
        <r>
          <rPr>
            <sz val="9"/>
            <color indexed="81"/>
            <rFont val="Tahoma"/>
            <family val="2"/>
          </rPr>
          <t xml:space="preserve">
BDA estimate</t>
        </r>
      </text>
    </comment>
    <comment ref="AF242" authorId="0" shapeId="0" xr:uid="{FAD24437-C5E1-4442-8C88-6F689F99EF5F}">
      <text>
        <r>
          <rPr>
            <b/>
            <sz val="9"/>
            <color indexed="81"/>
            <rFont val="Tahoma"/>
            <family val="2"/>
          </rPr>
          <t>Alex Nicolau:</t>
        </r>
        <r>
          <rPr>
            <sz val="9"/>
            <color indexed="81"/>
            <rFont val="Tahoma"/>
            <family val="2"/>
          </rPr>
          <t xml:space="preserve">
BDA estimate</t>
        </r>
      </text>
    </comment>
    <comment ref="AG242" authorId="0" shapeId="0" xr:uid="{1E060223-CE7F-4D8E-8659-E716A3AECBC2}">
      <text>
        <r>
          <rPr>
            <b/>
            <sz val="9"/>
            <color indexed="81"/>
            <rFont val="Tahoma"/>
            <family val="2"/>
          </rPr>
          <t>Alex Nicolau:</t>
        </r>
        <r>
          <rPr>
            <sz val="9"/>
            <color indexed="81"/>
            <rFont val="Tahoma"/>
            <family val="2"/>
          </rPr>
          <t xml:space="preserve">
BDA estimate</t>
        </r>
      </text>
    </comment>
    <comment ref="D259" authorId="0" shapeId="0" xr:uid="{8D869FF2-CA3F-46F4-AB52-4C5C276E46CF}">
      <text>
        <r>
          <rPr>
            <b/>
            <sz val="9"/>
            <color indexed="81"/>
            <rFont val="Tahoma"/>
            <family val="2"/>
          </rPr>
          <t>Alex Nicolau:</t>
        </r>
        <r>
          <rPr>
            <sz val="9"/>
            <color indexed="81"/>
            <rFont val="Tahoma"/>
            <family val="2"/>
          </rPr>
          <t xml:space="preserve">
BDA estimate</t>
        </r>
      </text>
    </comment>
    <comment ref="E259" authorId="0" shapeId="0" xr:uid="{48253C90-61E1-49E9-B339-A6CCBB9C3C1B}">
      <text>
        <r>
          <rPr>
            <b/>
            <sz val="9"/>
            <color indexed="81"/>
            <rFont val="Tahoma"/>
            <family val="2"/>
          </rPr>
          <t>Alex Nicolau:</t>
        </r>
        <r>
          <rPr>
            <sz val="9"/>
            <color indexed="81"/>
            <rFont val="Tahoma"/>
            <family val="2"/>
          </rPr>
          <t xml:space="preserve">
BDA estimate</t>
        </r>
      </text>
    </comment>
    <comment ref="F259" authorId="0" shapeId="0" xr:uid="{D699F048-7B2E-4733-BB7A-1DBF5C626E08}">
      <text>
        <r>
          <rPr>
            <b/>
            <sz val="9"/>
            <color indexed="81"/>
            <rFont val="Tahoma"/>
            <family val="2"/>
          </rPr>
          <t>Alex Nicolau:</t>
        </r>
        <r>
          <rPr>
            <sz val="9"/>
            <color indexed="81"/>
            <rFont val="Tahoma"/>
            <family val="2"/>
          </rPr>
          <t xml:space="preserve">
BDA estimate</t>
        </r>
      </text>
    </comment>
    <comment ref="G259" authorId="0" shapeId="0" xr:uid="{BAD632DB-F0B6-4262-B57B-72E52B75F264}">
      <text>
        <r>
          <rPr>
            <b/>
            <sz val="9"/>
            <color indexed="81"/>
            <rFont val="Tahoma"/>
            <family val="2"/>
          </rPr>
          <t>Alex Nicolau:</t>
        </r>
        <r>
          <rPr>
            <sz val="9"/>
            <color indexed="81"/>
            <rFont val="Tahoma"/>
            <family val="2"/>
          </rPr>
          <t xml:space="preserve">
BDA estimate</t>
        </r>
      </text>
    </comment>
    <comment ref="H259" authorId="0" shapeId="0" xr:uid="{21619B7A-6D11-4E0C-8ED3-5D1A5825DC95}">
      <text>
        <r>
          <rPr>
            <b/>
            <sz val="9"/>
            <color indexed="81"/>
            <rFont val="Tahoma"/>
            <family val="2"/>
          </rPr>
          <t>Alex Nicolau:</t>
        </r>
        <r>
          <rPr>
            <sz val="9"/>
            <color indexed="81"/>
            <rFont val="Tahoma"/>
            <family val="2"/>
          </rPr>
          <t xml:space="preserve">
BDA estimate</t>
        </r>
      </text>
    </comment>
    <comment ref="I259" authorId="0" shapeId="0" xr:uid="{AF4C98A6-07EC-410C-924E-23212DA10FF3}">
      <text>
        <r>
          <rPr>
            <b/>
            <sz val="9"/>
            <color indexed="81"/>
            <rFont val="Tahoma"/>
            <family val="2"/>
          </rPr>
          <t>Alex Nicolau:</t>
        </r>
        <r>
          <rPr>
            <sz val="9"/>
            <color indexed="81"/>
            <rFont val="Tahoma"/>
            <family val="2"/>
          </rPr>
          <t xml:space="preserve">
BDA estimate</t>
        </r>
      </text>
    </comment>
    <comment ref="J259" authorId="0" shapeId="0" xr:uid="{15EEFA49-62FA-4DC8-84DD-6DC4AF8BF20E}">
      <text>
        <r>
          <rPr>
            <b/>
            <sz val="9"/>
            <color indexed="81"/>
            <rFont val="Tahoma"/>
            <family val="2"/>
          </rPr>
          <t>Alex Nicolau:</t>
        </r>
        <r>
          <rPr>
            <sz val="9"/>
            <color indexed="81"/>
            <rFont val="Tahoma"/>
            <family val="2"/>
          </rPr>
          <t xml:space="preserve">
BDA estimate</t>
        </r>
      </text>
    </comment>
    <comment ref="K259" authorId="0" shapeId="0" xr:uid="{DD3427C3-28FC-4DCC-B96B-20C092BA6A5D}">
      <text>
        <r>
          <rPr>
            <b/>
            <sz val="9"/>
            <color indexed="81"/>
            <rFont val="Tahoma"/>
            <family val="2"/>
          </rPr>
          <t>Alex Nicolau:</t>
        </r>
        <r>
          <rPr>
            <sz val="9"/>
            <color indexed="81"/>
            <rFont val="Tahoma"/>
            <family val="2"/>
          </rPr>
          <t xml:space="preserve">
BDA estimate</t>
        </r>
      </text>
    </comment>
    <comment ref="AO259" authorId="0" shapeId="0" xr:uid="{A3404FAE-94F8-470E-9935-7FDDF4A3E9E2}">
      <text>
        <r>
          <rPr>
            <b/>
            <sz val="9"/>
            <color indexed="81"/>
            <rFont val="Tahoma"/>
            <family val="2"/>
          </rPr>
          <t>Alex Nicolau:</t>
        </r>
        <r>
          <rPr>
            <sz val="9"/>
            <color indexed="81"/>
            <rFont val="Tahoma"/>
            <family val="2"/>
          </rPr>
          <t xml:space="preserve">
BDA estimate</t>
        </r>
      </text>
    </comment>
    <comment ref="S260" authorId="0" shapeId="0" xr:uid="{84FFEBBB-FD83-4111-AFFE-FB9546D3D82D}">
      <text>
        <r>
          <rPr>
            <b/>
            <sz val="9"/>
            <color indexed="81"/>
            <rFont val="Tahoma"/>
            <family val="2"/>
          </rPr>
          <t>Alex Nicolau:</t>
        </r>
        <r>
          <rPr>
            <sz val="9"/>
            <color indexed="81"/>
            <rFont val="Tahoma"/>
            <family val="2"/>
          </rPr>
          <t xml:space="preserve">
BDA estimate</t>
        </r>
      </text>
    </comment>
    <comment ref="T260" authorId="0" shapeId="0" xr:uid="{D821AD77-81BF-4284-A3DB-F05DDC1688D6}">
      <text>
        <r>
          <rPr>
            <b/>
            <sz val="9"/>
            <color indexed="81"/>
            <rFont val="Tahoma"/>
            <family val="2"/>
          </rPr>
          <t>Alex Nicolau:</t>
        </r>
        <r>
          <rPr>
            <sz val="9"/>
            <color indexed="81"/>
            <rFont val="Tahoma"/>
            <family val="2"/>
          </rPr>
          <t xml:space="preserve">
BDA estimate</t>
        </r>
      </text>
    </comment>
    <comment ref="U260" authorId="0" shapeId="0" xr:uid="{543753E6-E22C-4DE2-9D97-73FFA158502A}">
      <text>
        <r>
          <rPr>
            <b/>
            <sz val="9"/>
            <color indexed="81"/>
            <rFont val="Tahoma"/>
            <family val="2"/>
          </rPr>
          <t>Alex Nicolau:</t>
        </r>
        <r>
          <rPr>
            <sz val="9"/>
            <color indexed="81"/>
            <rFont val="Tahoma"/>
            <family val="2"/>
          </rPr>
          <t xml:space="preserve">
BDA estimate</t>
        </r>
      </text>
    </comment>
    <comment ref="V260" authorId="0" shapeId="0" xr:uid="{22C77114-BB72-4FC3-AF6A-48CE74DEA914}">
      <text>
        <r>
          <rPr>
            <b/>
            <sz val="9"/>
            <color indexed="81"/>
            <rFont val="Tahoma"/>
            <family val="2"/>
          </rPr>
          <t>Alex Nicolau:</t>
        </r>
        <r>
          <rPr>
            <sz val="9"/>
            <color indexed="81"/>
            <rFont val="Tahoma"/>
            <family val="2"/>
          </rPr>
          <t xml:space="preserve">
BDA estimate</t>
        </r>
      </text>
    </comment>
    <comment ref="W260" authorId="0" shapeId="0" xr:uid="{86DD6472-DE90-4396-8BCB-998578BF79E4}">
      <text>
        <r>
          <rPr>
            <b/>
            <sz val="9"/>
            <color indexed="81"/>
            <rFont val="Tahoma"/>
            <family val="2"/>
          </rPr>
          <t>Alex Nicolau:</t>
        </r>
        <r>
          <rPr>
            <sz val="9"/>
            <color indexed="81"/>
            <rFont val="Tahoma"/>
            <family val="2"/>
          </rPr>
          <t xml:space="preserve">
BDA estimate</t>
        </r>
      </text>
    </comment>
    <comment ref="X260" authorId="0" shapeId="0" xr:uid="{8F198A7B-A756-4DDF-873E-CE6D9FBF0E3A}">
      <text>
        <r>
          <rPr>
            <b/>
            <sz val="9"/>
            <color indexed="81"/>
            <rFont val="Tahoma"/>
            <family val="2"/>
          </rPr>
          <t>Alex Nicolau:</t>
        </r>
        <r>
          <rPr>
            <sz val="9"/>
            <color indexed="81"/>
            <rFont val="Tahoma"/>
            <family val="2"/>
          </rPr>
          <t xml:space="preserve">
BDA estimate</t>
        </r>
      </text>
    </comment>
    <comment ref="Y260" authorId="0" shapeId="0" xr:uid="{6559A505-1D45-4BC7-8D5A-1A2C92596CD1}">
      <text>
        <r>
          <rPr>
            <b/>
            <sz val="9"/>
            <color indexed="81"/>
            <rFont val="Tahoma"/>
            <family val="2"/>
          </rPr>
          <t>Alex Nicolau:</t>
        </r>
        <r>
          <rPr>
            <sz val="9"/>
            <color indexed="81"/>
            <rFont val="Tahoma"/>
            <family val="2"/>
          </rPr>
          <t xml:space="preserve">
BDA estimate</t>
        </r>
      </text>
    </comment>
    <comment ref="Z260" authorId="0" shapeId="0" xr:uid="{308AE7A5-F51E-4438-91A6-B772727CDE7A}">
      <text>
        <r>
          <rPr>
            <b/>
            <sz val="9"/>
            <color indexed="81"/>
            <rFont val="Tahoma"/>
            <family val="2"/>
          </rPr>
          <t>Alex Nicolau:</t>
        </r>
        <r>
          <rPr>
            <sz val="9"/>
            <color indexed="81"/>
            <rFont val="Tahoma"/>
            <family val="2"/>
          </rPr>
          <t xml:space="preserve">
BDA estimate</t>
        </r>
      </text>
    </comment>
    <comment ref="AA260" authorId="0" shapeId="0" xr:uid="{43722F27-BA47-46F5-8505-FD5850557E94}">
      <text>
        <r>
          <rPr>
            <b/>
            <sz val="9"/>
            <color indexed="81"/>
            <rFont val="Tahoma"/>
            <family val="2"/>
          </rPr>
          <t>Alex Nicolau:</t>
        </r>
        <r>
          <rPr>
            <sz val="9"/>
            <color indexed="81"/>
            <rFont val="Tahoma"/>
            <family val="2"/>
          </rPr>
          <t xml:space="preserve">
BDA estimate</t>
        </r>
      </text>
    </comment>
    <comment ref="AB260" authorId="0" shapeId="0" xr:uid="{F1375C5F-0142-447D-81DC-4D8C62506217}">
      <text>
        <r>
          <rPr>
            <b/>
            <sz val="9"/>
            <color indexed="81"/>
            <rFont val="Tahoma"/>
            <family val="2"/>
          </rPr>
          <t>Alex Nicolau:</t>
        </r>
        <r>
          <rPr>
            <sz val="9"/>
            <color indexed="81"/>
            <rFont val="Tahoma"/>
            <family val="2"/>
          </rPr>
          <t xml:space="preserve">
BDA estimate</t>
        </r>
      </text>
    </comment>
    <comment ref="AC260" authorId="0" shapeId="0" xr:uid="{8DDC4676-7E9D-4CDD-85FB-25793C5931E1}">
      <text>
        <r>
          <rPr>
            <b/>
            <sz val="9"/>
            <color indexed="81"/>
            <rFont val="Tahoma"/>
            <family val="2"/>
          </rPr>
          <t>Alex Nicolau:</t>
        </r>
        <r>
          <rPr>
            <sz val="9"/>
            <color indexed="81"/>
            <rFont val="Tahoma"/>
            <family val="2"/>
          </rPr>
          <t xml:space="preserve">
BDA estimate</t>
        </r>
      </text>
    </comment>
    <comment ref="AD260" authorId="0" shapeId="0" xr:uid="{6B5B0569-9BB4-436E-990A-785CE3B62AF8}">
      <text>
        <r>
          <rPr>
            <b/>
            <sz val="9"/>
            <color indexed="81"/>
            <rFont val="Tahoma"/>
            <family val="2"/>
          </rPr>
          <t>Alex Nicolau:</t>
        </r>
        <r>
          <rPr>
            <sz val="9"/>
            <color indexed="81"/>
            <rFont val="Tahoma"/>
            <family val="2"/>
          </rPr>
          <t xml:space="preserve">
BDA estimate</t>
        </r>
      </text>
    </comment>
    <comment ref="AE260" authorId="0" shapeId="0" xr:uid="{B362954B-9FD5-4FFF-80D0-CB7028F8CB30}">
      <text>
        <r>
          <rPr>
            <b/>
            <sz val="9"/>
            <color indexed="81"/>
            <rFont val="Tahoma"/>
            <family val="2"/>
          </rPr>
          <t>Alex Nicolau:</t>
        </r>
        <r>
          <rPr>
            <sz val="9"/>
            <color indexed="81"/>
            <rFont val="Tahoma"/>
            <family val="2"/>
          </rPr>
          <t xml:space="preserve">
BDA estimate</t>
        </r>
      </text>
    </comment>
    <comment ref="S290" authorId="0" shapeId="0" xr:uid="{1DDE197D-95C1-4CCF-B66E-DFEF3FF22616}">
      <text>
        <r>
          <rPr>
            <b/>
            <sz val="9"/>
            <color indexed="81"/>
            <rFont val="Tahoma"/>
            <family val="2"/>
          </rPr>
          <t>Alex Nicolau:</t>
        </r>
        <r>
          <rPr>
            <sz val="9"/>
            <color indexed="81"/>
            <rFont val="Tahoma"/>
            <family val="2"/>
          </rPr>
          <t xml:space="preserve">
BDA estimate</t>
        </r>
      </text>
    </comment>
    <comment ref="T290" authorId="0" shapeId="0" xr:uid="{AC6BBA6F-4CAC-44A0-80A0-3CD4CB35964B}">
      <text>
        <r>
          <rPr>
            <b/>
            <sz val="9"/>
            <color indexed="81"/>
            <rFont val="Tahoma"/>
            <family val="2"/>
          </rPr>
          <t>Alex Nicolau:</t>
        </r>
        <r>
          <rPr>
            <sz val="9"/>
            <color indexed="81"/>
            <rFont val="Tahoma"/>
            <family val="2"/>
          </rPr>
          <t xml:space="preserve">
BDA estimate</t>
        </r>
      </text>
    </comment>
    <comment ref="U290" authorId="0" shapeId="0" xr:uid="{674F25C4-9073-45D2-B729-827BEE4F2A5B}">
      <text>
        <r>
          <rPr>
            <b/>
            <sz val="9"/>
            <color indexed="81"/>
            <rFont val="Tahoma"/>
            <family val="2"/>
          </rPr>
          <t>Alex Nicolau:</t>
        </r>
        <r>
          <rPr>
            <sz val="9"/>
            <color indexed="81"/>
            <rFont val="Tahoma"/>
            <family val="2"/>
          </rPr>
          <t xml:space="preserve">
BDA estimate</t>
        </r>
      </text>
    </comment>
    <comment ref="V290" authorId="0" shapeId="0" xr:uid="{C7A69AAD-3FF4-474D-8C4E-2017D49C56A9}">
      <text>
        <r>
          <rPr>
            <b/>
            <sz val="9"/>
            <color indexed="81"/>
            <rFont val="Tahoma"/>
            <family val="2"/>
          </rPr>
          <t>Alex Nicolau:</t>
        </r>
        <r>
          <rPr>
            <sz val="9"/>
            <color indexed="81"/>
            <rFont val="Tahoma"/>
            <family val="2"/>
          </rPr>
          <t xml:space="preserve">
BDA estimate</t>
        </r>
      </text>
    </comment>
    <comment ref="W290" authorId="0" shapeId="0" xr:uid="{E93265D1-7CA0-41ED-A14A-B03A84F1EA92}">
      <text>
        <r>
          <rPr>
            <b/>
            <sz val="9"/>
            <color indexed="81"/>
            <rFont val="Tahoma"/>
            <family val="2"/>
          </rPr>
          <t>Alex Nicolau:</t>
        </r>
        <r>
          <rPr>
            <sz val="9"/>
            <color indexed="81"/>
            <rFont val="Tahoma"/>
            <family val="2"/>
          </rPr>
          <t xml:space="preserve">
BDA estimate</t>
        </r>
      </text>
    </comment>
    <comment ref="X290" authorId="0" shapeId="0" xr:uid="{E32E38F5-8AF9-4F1C-8EF7-870DCD1CA743}">
      <text>
        <r>
          <rPr>
            <b/>
            <sz val="9"/>
            <color indexed="81"/>
            <rFont val="Tahoma"/>
            <family val="2"/>
          </rPr>
          <t>Alex Nicolau:</t>
        </r>
        <r>
          <rPr>
            <sz val="9"/>
            <color indexed="81"/>
            <rFont val="Tahoma"/>
            <family val="2"/>
          </rPr>
          <t xml:space="preserve">
BDA estimate</t>
        </r>
      </text>
    </comment>
    <comment ref="Y290" authorId="0" shapeId="0" xr:uid="{B90932F9-4C7D-4070-BBAA-0DB76E8D827C}">
      <text>
        <r>
          <rPr>
            <b/>
            <sz val="9"/>
            <color indexed="81"/>
            <rFont val="Tahoma"/>
            <family val="2"/>
          </rPr>
          <t>Alex Nicolau:</t>
        </r>
        <r>
          <rPr>
            <sz val="9"/>
            <color indexed="81"/>
            <rFont val="Tahoma"/>
            <family val="2"/>
          </rPr>
          <t xml:space="preserve">
BDA estimate</t>
        </r>
      </text>
    </comment>
    <comment ref="Z290" authorId="0" shapeId="0" xr:uid="{3DBF77F2-3F88-47BA-B026-F9E2FC59DD50}">
      <text>
        <r>
          <rPr>
            <b/>
            <sz val="9"/>
            <color indexed="81"/>
            <rFont val="Tahoma"/>
            <family val="2"/>
          </rPr>
          <t>Alex Nicolau:</t>
        </r>
        <r>
          <rPr>
            <sz val="9"/>
            <color indexed="81"/>
            <rFont val="Tahoma"/>
            <family val="2"/>
          </rPr>
          <t xml:space="preserve">
BDA estimate</t>
        </r>
      </text>
    </comment>
    <comment ref="AA290" authorId="0" shapeId="0" xr:uid="{E7981FC3-D1B4-441C-AE7B-137E31A1DEEC}">
      <text>
        <r>
          <rPr>
            <b/>
            <sz val="9"/>
            <color indexed="81"/>
            <rFont val="Tahoma"/>
            <family val="2"/>
          </rPr>
          <t>Alex Nicolau:</t>
        </r>
        <r>
          <rPr>
            <sz val="9"/>
            <color indexed="81"/>
            <rFont val="Tahoma"/>
            <family val="2"/>
          </rPr>
          <t xml:space="preserve">
BDA estimate</t>
        </r>
      </text>
    </comment>
    <comment ref="AB290" authorId="0" shapeId="0" xr:uid="{1E678F2C-6E92-4774-86A5-A14F2C54327E}">
      <text>
        <r>
          <rPr>
            <b/>
            <sz val="9"/>
            <color indexed="81"/>
            <rFont val="Tahoma"/>
            <family val="2"/>
          </rPr>
          <t>Alex Nicolau:</t>
        </r>
        <r>
          <rPr>
            <sz val="9"/>
            <color indexed="81"/>
            <rFont val="Tahoma"/>
            <family val="2"/>
          </rPr>
          <t xml:space="preserve">
BDA estimate</t>
        </r>
      </text>
    </comment>
    <comment ref="AC290" authorId="0" shapeId="0" xr:uid="{B7DC50CD-2885-4F28-B69C-7D522D24CC41}">
      <text>
        <r>
          <rPr>
            <b/>
            <sz val="9"/>
            <color indexed="81"/>
            <rFont val="Tahoma"/>
            <family val="2"/>
          </rPr>
          <t>Alex Nicolau:</t>
        </r>
        <r>
          <rPr>
            <sz val="9"/>
            <color indexed="81"/>
            <rFont val="Tahoma"/>
            <family val="2"/>
          </rPr>
          <t xml:space="preserve">
BDA estimate</t>
        </r>
      </text>
    </comment>
    <comment ref="AD290" authorId="0" shapeId="0" xr:uid="{9AABED62-BAD4-4F71-9165-536148B0F43F}">
      <text>
        <r>
          <rPr>
            <b/>
            <sz val="9"/>
            <color indexed="81"/>
            <rFont val="Tahoma"/>
            <family val="2"/>
          </rPr>
          <t>Alex Nicolau:</t>
        </r>
        <r>
          <rPr>
            <sz val="9"/>
            <color indexed="81"/>
            <rFont val="Tahoma"/>
            <family val="2"/>
          </rPr>
          <t xml:space="preserve">
BDA estimate</t>
        </r>
      </text>
    </comment>
    <comment ref="AA305" authorId="0" shapeId="0" xr:uid="{C352E1F4-F6D1-4284-86D7-47FE8FD9BEBA}">
      <text>
        <r>
          <rPr>
            <b/>
            <sz val="9"/>
            <color indexed="81"/>
            <rFont val="Tahoma"/>
            <family val="2"/>
          </rPr>
          <t>Alex Nicolau:</t>
        </r>
        <r>
          <rPr>
            <sz val="9"/>
            <color indexed="81"/>
            <rFont val="Tahoma"/>
            <family val="2"/>
          </rPr>
          <t xml:space="preserve">
BDA estimate</t>
        </r>
      </text>
    </comment>
    <comment ref="AB305" authorId="0" shapeId="0" xr:uid="{691D8CC7-18A4-4539-89C5-597F3497C52B}">
      <text>
        <r>
          <rPr>
            <b/>
            <sz val="9"/>
            <color indexed="81"/>
            <rFont val="Tahoma"/>
            <family val="2"/>
          </rPr>
          <t>Alex Nicolau:</t>
        </r>
        <r>
          <rPr>
            <sz val="9"/>
            <color indexed="81"/>
            <rFont val="Tahoma"/>
            <family val="2"/>
          </rPr>
          <t xml:space="preserve">
BDA estimate</t>
        </r>
      </text>
    </comment>
    <comment ref="AC305" authorId="0" shapeId="0" xr:uid="{5B5887E9-01B4-40E2-B0FE-A4AF0A8D0520}">
      <text>
        <r>
          <rPr>
            <b/>
            <sz val="9"/>
            <color indexed="81"/>
            <rFont val="Tahoma"/>
            <family val="2"/>
          </rPr>
          <t>Alex Nicolau:</t>
        </r>
        <r>
          <rPr>
            <sz val="9"/>
            <color indexed="81"/>
            <rFont val="Tahoma"/>
            <family val="2"/>
          </rPr>
          <t xml:space="preserve">
BDA estimate</t>
        </r>
      </text>
    </comment>
    <comment ref="AD305" authorId="0" shapeId="0" xr:uid="{0240F5B1-A444-42FD-9BA9-7C4EEB458E35}">
      <text>
        <r>
          <rPr>
            <b/>
            <sz val="9"/>
            <color indexed="81"/>
            <rFont val="Tahoma"/>
            <family val="2"/>
          </rPr>
          <t>Alex Nicolau:</t>
        </r>
        <r>
          <rPr>
            <sz val="9"/>
            <color indexed="81"/>
            <rFont val="Tahoma"/>
            <family val="2"/>
          </rPr>
          <t xml:space="preserve">
BDA estimate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<sst xmlns="http://schemas.openxmlformats.org/spreadsheetml/2006/main" count="3166" uniqueCount="642">
  <si>
    <t>PDD</t>
  </si>
  <si>
    <t>Historical Financials</t>
  </si>
  <si>
    <t>Merchandise sales</t>
  </si>
  <si>
    <t>Cost of merchandise sales</t>
  </si>
  <si>
    <t>Total cost of revenues</t>
  </si>
  <si>
    <t>Payment processing fees</t>
  </si>
  <si>
    <t>Sales and marketing expenses</t>
  </si>
  <si>
    <t>General and administrative expenses</t>
  </si>
  <si>
    <t>Research and development expenses</t>
  </si>
  <si>
    <t>Impairment of long-term investment</t>
  </si>
  <si>
    <t>Total operating expenses</t>
  </si>
  <si>
    <t>Operating profit (loss)</t>
  </si>
  <si>
    <t>Gross profit (loss)</t>
  </si>
  <si>
    <t>Interest income</t>
  </si>
  <si>
    <t>Interest expense</t>
  </si>
  <si>
    <t>Foreign exchange gain (loss)</t>
  </si>
  <si>
    <t>Change in the fair value of the warrant liability</t>
  </si>
  <si>
    <t>Other income (loss), net</t>
  </si>
  <si>
    <t>Income (loss) before income taxes</t>
  </si>
  <si>
    <t>Income tax expenses</t>
  </si>
  <si>
    <t>Share of results of equity investee</t>
  </si>
  <si>
    <t>Net income (loss)</t>
  </si>
  <si>
    <t>Deemed distribution to certain holders of convertible preferred shares</t>
  </si>
  <si>
    <t>Contribution from a holder of convertible preferred shares</t>
  </si>
  <si>
    <t>Net income (loss) attributable to ordinary shareholders</t>
  </si>
  <si>
    <t>Income Statement</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</si>
  <si>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</si>
  <si>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</si>
  <si>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</si>
  <si>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</si>
  <si>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</si>
  <si>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</si>
  <si>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</si>
  <si>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</si>
  <si>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</si>
  <si>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</si>
  <si>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</si>
  <si>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</si>
  <si>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</si>
  <si>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</si>
  <si>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</si>
  <si>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</si>
  <si>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</si>
  <si>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</si>
  <si>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</si>
  <si>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</si>
  <si>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</si>
  <si>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</si>
  <si>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</si>
  <si>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3Q24e</t>
  </si>
  <si>
    <t>4Q24e</t>
  </si>
  <si>
    <t>FY16</t>
  </si>
  <si>
    <t>FY17</t>
  </si>
  <si>
    <t>FY18</t>
  </si>
  <si>
    <t>FY19</t>
  </si>
  <si>
    <t>FY20</t>
  </si>
  <si>
    <t>FY21</t>
  </si>
  <si>
    <t>FY22</t>
  </si>
  <si>
    <t>FY24e</t>
  </si>
  <si>
    <t>FYE December 31,</t>
  </si>
  <si>
    <t>Quarterly,</t>
  </si>
  <si>
    <t>Weighted average basic shares oustanding</t>
  </si>
  <si>
    <t>Weighted average diluted shares oustanding</t>
  </si>
  <si>
    <t>Basic EPS</t>
  </si>
  <si>
    <t>Diluted EPS</t>
  </si>
  <si>
    <t>n/a</t>
  </si>
  <si>
    <t>Memo:</t>
  </si>
  <si>
    <t>Online marketing services and other</t>
  </si>
  <si>
    <t>Transaction services</t>
  </si>
  <si>
    <t>Costs associated with the operation of our platform and others</t>
  </si>
  <si>
    <t>SBC</t>
  </si>
  <si>
    <t>Share-Based Compensation</t>
  </si>
  <si>
    <t>Cost of revenues</t>
  </si>
  <si>
    <t>Total revenues</t>
  </si>
  <si>
    <t>Total share-based compensation</t>
  </si>
  <si>
    <t>Non-GAAP Operating Income (Loss)</t>
  </si>
  <si>
    <t>GAAP operating income (loss)</t>
  </si>
  <si>
    <t>Share-based compensation</t>
  </si>
  <si>
    <t>Impairment of long-term investments</t>
  </si>
  <si>
    <t>Non-GAAP operating income (loss)</t>
  </si>
  <si>
    <t>Non-GAAP Net Income (Loss)</t>
  </si>
  <si>
    <t>Interest expenses related to the convertible bonds' amortization to face value</t>
  </si>
  <si>
    <t>Non-GAAP net income attributable to ordinary shareholders</t>
  </si>
  <si>
    <t>Non-GAAP weighted average diluted shares outstanding</t>
  </si>
  <si>
    <t>Non-GAAP diluted EPS</t>
  </si>
  <si>
    <t>Financial Summary</t>
  </si>
  <si>
    <t>Y/Y % Change</t>
  </si>
  <si>
    <t>Non-GAAP Gross Profit</t>
  </si>
  <si>
    <t>Margin</t>
  </si>
  <si>
    <t>Non-GAAP S&amp;M</t>
  </si>
  <si>
    <t>Non-GAAP R&amp;D</t>
  </si>
  <si>
    <t>Non-GAAP G&amp;A</t>
  </si>
  <si>
    <t>Non-GAAP Opex</t>
  </si>
  <si>
    <t>(Gain) / loss from fair value change of certain investments</t>
  </si>
  <si>
    <t>Non-GAAP EBIT</t>
  </si>
  <si>
    <t>% of Revenue</t>
  </si>
  <si>
    <t>CRC EBIT</t>
  </si>
  <si>
    <t>Other</t>
  </si>
  <si>
    <t>CRC EBT</t>
  </si>
  <si>
    <t>Taxes (reported)</t>
  </si>
  <si>
    <t>Equity Income</t>
  </si>
  <si>
    <t>CRC NI</t>
  </si>
  <si>
    <t>CRC EPS</t>
  </si>
  <si>
    <t>Diluted Shares O/S</t>
  </si>
  <si>
    <r>
      <rPr>
        <i/>
        <u/>
        <sz val="8"/>
        <color theme="1"/>
        <rFont val="Arial"/>
        <family val="2"/>
      </rPr>
      <t>Memo:</t>
    </r>
    <r>
      <rPr>
        <i/>
        <sz val="8"/>
        <color theme="1"/>
        <rFont val="Arial"/>
        <family val="2"/>
      </rPr>
      <t xml:space="preserve"> Non-GAAP EPS</t>
    </r>
  </si>
  <si>
    <t>Revenue Detail</t>
  </si>
  <si>
    <t>LTM Active Buyers (mm)</t>
  </si>
  <si>
    <t>LTM 1P GMV</t>
  </si>
  <si>
    <t>LTM 3P GMV</t>
  </si>
  <si>
    <t>(RMB in millions, unless otherwise noted)</t>
  </si>
  <si>
    <t>LTM GMV (RMB in billions)</t>
  </si>
  <si>
    <t>LTM Spending per Active Buyer</t>
  </si>
  <si>
    <t>LTM 1P Revenue</t>
  </si>
  <si>
    <t>LTM 3P Revenue</t>
  </si>
  <si>
    <t>LTM Revenue</t>
  </si>
  <si>
    <t>LTM Revenue by Type</t>
  </si>
  <si>
    <t>Take Rate</t>
  </si>
  <si>
    <t>Other KPIs</t>
  </si>
  <si>
    <t>LTM Active Merchants</t>
  </si>
  <si>
    <t>Average Monthly Active Users</t>
  </si>
  <si>
    <t>LTM Orders Placed on Pinduoduo Mobile Platform (mm)</t>
  </si>
  <si>
    <t>LTM Orders per Active Buyer</t>
  </si>
  <si>
    <t>LTM Average Order Value</t>
  </si>
  <si>
    <t>Cash Flow Statement</t>
  </si>
  <si>
    <t>Amortization of right-of-use assets</t>
  </si>
  <si>
    <t>Allowance for credit losses</t>
  </si>
  <si>
    <t>Loss on disposal of property and equipment</t>
  </si>
  <si>
    <t>Deferred taxes</t>
  </si>
  <si>
    <t>Foreign exchange gain</t>
  </si>
  <si>
    <t>Share of results of equity investees</t>
  </si>
  <si>
    <t>Fair value change of investments</t>
  </si>
  <si>
    <t>Gain on extinguishment of convertible bond</t>
  </si>
  <si>
    <t>Restricted cash</t>
  </si>
  <si>
    <t>Receivables from online payment platforms</t>
  </si>
  <si>
    <t>Amounts due from related parties</t>
  </si>
  <si>
    <t>Prepayments and other current assets</t>
  </si>
  <si>
    <t>Amounts due to related parties</t>
  </si>
  <si>
    <t>Customer advances</t>
  </si>
  <si>
    <t>Payables to merchants</t>
  </si>
  <si>
    <t>Accrued expenses and other liabilities</t>
  </si>
  <si>
    <t>Merchant deposits</t>
  </si>
  <si>
    <t>Right of use assets</t>
  </si>
  <si>
    <t>Lease liabilities</t>
  </si>
  <si>
    <t>Other non-current assets</t>
  </si>
  <si>
    <t>Other non-current liabilities</t>
  </si>
  <si>
    <t>Proceeds from short-term investments</t>
  </si>
  <si>
    <t>Proceeds from sale of short-term investments</t>
  </si>
  <si>
    <t>Purchase of short-term investments</t>
  </si>
  <si>
    <t>Purchase from a long-term investment</t>
  </si>
  <si>
    <t>Proceeds from disposal of a long-term investment</t>
  </si>
  <si>
    <t>Purchases of available-for-sale investments</t>
  </si>
  <si>
    <t>Purchase of property and equipment</t>
  </si>
  <si>
    <t>Proceeds from disposal of property and equipment</t>
  </si>
  <si>
    <t>Repayment from a related party</t>
  </si>
  <si>
    <t>Loan to third parties, net of repayment</t>
  </si>
  <si>
    <t>Business Acquisition</t>
  </si>
  <si>
    <t>Loan to a related party</t>
  </si>
  <si>
    <t>Deemed distribution</t>
  </si>
  <si>
    <t>Proceeds from issuance of convertible preferred shares</t>
  </si>
  <si>
    <t>Issuance costs</t>
  </si>
  <si>
    <t>Initial public offering costs</t>
  </si>
  <si>
    <t>Proceeds from follow-on offering</t>
  </si>
  <si>
    <t>Proceeds from the private placements</t>
  </si>
  <si>
    <t>Costs incurred for the follow-on offering</t>
  </si>
  <si>
    <t>Proceeds from issuance of convertible bonds</t>
  </si>
  <si>
    <t>Costs incurred for the issuance of convertible bonds</t>
  </si>
  <si>
    <t>Proceeds from short-term borrowings</t>
  </si>
  <si>
    <t>Repayment of short-term borrowings</t>
  </si>
  <si>
    <t>Repurchase of Class B ordinary shares</t>
  </si>
  <si>
    <t>Dividends paid</t>
  </si>
  <si>
    <t>Proceeds from IPO, net of fees</t>
  </si>
  <si>
    <t>Cash Flow from Operating Activities</t>
  </si>
  <si>
    <t>Changes in operating assets and liabilities:</t>
  </si>
  <si>
    <t>Net cash generated from operating activities</t>
  </si>
  <si>
    <t>Cash Flow from Investing Activities</t>
  </si>
  <si>
    <t>Net cash used in investing activities</t>
  </si>
  <si>
    <t>Cash Flow from Financing Activities</t>
  </si>
  <si>
    <t>Net cash generated from/(used in) financing activities</t>
  </si>
  <si>
    <t>Increase/(decrease) in cash, cash equivalents and restricted cash</t>
  </si>
  <si>
    <t>Effect of exchange rate changes on cash, cash equivalents and restricted cash</t>
  </si>
  <si>
    <t>YTD</t>
  </si>
  <si>
    <t>Cash Flow Statement (cont.)</t>
  </si>
  <si>
    <t>Balance Sheet</t>
  </si>
  <si>
    <t>Current Assets</t>
  </si>
  <si>
    <t>Cash and cash equivalents</t>
  </si>
  <si>
    <t>Short-term investments</t>
  </si>
  <si>
    <t>Non-Current Assets</t>
  </si>
  <si>
    <t>Long-term investment</t>
  </si>
  <si>
    <t>Property and equipment, net</t>
  </si>
  <si>
    <t>Intangible asset</t>
  </si>
  <si>
    <t>Deferred tax assets</t>
  </si>
  <si>
    <t>Current Liabilities</t>
  </si>
  <si>
    <t>Payable to merchants</t>
  </si>
  <si>
    <t>Short term borrowings</t>
  </si>
  <si>
    <t>Convertible bond</t>
  </si>
  <si>
    <t>Deferred tax liability</t>
  </si>
  <si>
    <t>Warrant liability</t>
  </si>
  <si>
    <t>Non-Current Liabilities</t>
  </si>
  <si>
    <t>Convertible bonds</t>
  </si>
  <si>
    <t>Deferred tax liabilities</t>
  </si>
  <si>
    <t>Shareholders' Equity</t>
  </si>
  <si>
    <t>Additional paid-in capital</t>
  </si>
  <si>
    <t>Statutory reserves</t>
  </si>
  <si>
    <t>Accumulated other comprehensive loss</t>
  </si>
  <si>
    <t>Retained earnings</t>
  </si>
  <si>
    <t>Total current assets</t>
  </si>
  <si>
    <t>Total non-current assets</t>
  </si>
  <si>
    <t>Total assets</t>
  </si>
  <si>
    <t>Assets</t>
  </si>
  <si>
    <t>Liabilities</t>
  </si>
  <si>
    <t>Total current liabilities</t>
  </si>
  <si>
    <t>Total non-current liabilities</t>
  </si>
  <si>
    <t>Convertible preferred shares</t>
  </si>
  <si>
    <t>Total liabilities</t>
  </si>
  <si>
    <t>Total shareholders' equity</t>
  </si>
  <si>
    <t>Total liabilities &amp; shareholders' equity</t>
  </si>
  <si>
    <t>FCF</t>
  </si>
  <si>
    <t>Depreciation and amortization</t>
  </si>
  <si>
    <t>D&amp;A</t>
  </si>
  <si>
    <t>CRC EBITDA</t>
  </si>
  <si>
    <t>Capex</t>
  </si>
  <si>
    <t>CRC EBITDA - Capex</t>
  </si>
  <si>
    <t>LTM Revenue Detail</t>
  </si>
  <si>
    <t>1P Revenue</t>
  </si>
  <si>
    <t>3P Revenue</t>
  </si>
  <si>
    <t>Total Revenue</t>
  </si>
  <si>
    <t>Online Marketing Services and Other</t>
  </si>
  <si>
    <t>Transaction Services</t>
  </si>
  <si>
    <t>Taxes</t>
  </si>
  <si>
    <t>Recurring FCF</t>
  </si>
  <si>
    <t>Realized FCF</t>
  </si>
  <si>
    <t>Non-GAAP NI Conversion</t>
  </si>
  <si>
    <r>
      <rPr>
        <i/>
        <u/>
        <sz val="8"/>
        <color theme="1"/>
        <rFont val="Arial"/>
        <family val="2"/>
      </rPr>
      <t>Memo:</t>
    </r>
    <r>
      <rPr>
        <i/>
        <sz val="8"/>
        <color theme="1"/>
        <rFont val="Arial"/>
        <family val="2"/>
      </rPr>
      <t xml:space="preserve"> Non-GAAP NI</t>
    </r>
  </si>
  <si>
    <t>Leverage</t>
  </si>
  <si>
    <t>Cash</t>
  </si>
  <si>
    <t>Net Debt</t>
  </si>
  <si>
    <t>Total Debt (incl. Convertible)</t>
  </si>
  <si>
    <r>
      <rPr>
        <i/>
        <u/>
        <sz val="8"/>
        <color theme="1"/>
        <rFont val="Arial"/>
        <family val="2"/>
      </rPr>
      <t>Memo:</t>
    </r>
    <r>
      <rPr>
        <i/>
        <sz val="8"/>
        <color theme="1"/>
        <rFont val="Arial"/>
        <family val="2"/>
      </rPr>
      <t xml:space="preserve"> Net Debt excl. Convert</t>
    </r>
  </si>
  <si>
    <t>Interest, net (excl. Convert Amort.)</t>
  </si>
  <si>
    <t>LTM Online Marketing Services and Other</t>
  </si>
  <si>
    <t>LTM Transaction Services</t>
  </si>
  <si>
    <t>4Q23</t>
  </si>
  <si>
    <t>1Q24</t>
  </si>
  <si>
    <t>2Q24</t>
  </si>
  <si>
    <t>3Q24</t>
  </si>
  <si>
    <t>4Q24</t>
  </si>
  <si>
    <t>Revenue - Online marketing services</t>
  </si>
  <si>
    <t>Revenue - Transaction services</t>
  </si>
  <si>
    <t>Gross profit/(loss) - operating</t>
  </si>
  <si>
    <t>Selling and marketing expenses - operating</t>
  </si>
  <si>
    <t>Research and development expense - operating</t>
  </si>
  <si>
    <t>General and administrative expenses - operating</t>
  </si>
  <si>
    <t>Total adjustments to operating income/(loss)</t>
  </si>
  <si>
    <t>Interest income/(expense), net</t>
  </si>
  <si>
    <t>Total other non-operating income/(expense)</t>
  </si>
  <si>
    <t>Provision/(benefit) for income taxes</t>
  </si>
  <si>
    <t>Share of results of equity</t>
  </si>
  <si>
    <t>ADS Diluted - Shares</t>
  </si>
  <si>
    <t>EPADS-Diluted - Operating</t>
  </si>
  <si>
    <t>Purchases of property, plant and equipment</t>
  </si>
  <si>
    <t>FY23</t>
  </si>
  <si>
    <t>FY24</t>
  </si>
  <si>
    <t>Q/Q % Change</t>
  </si>
  <si>
    <t>Basic EPADS</t>
  </si>
  <si>
    <t>Diliuted EPADS</t>
  </si>
  <si>
    <t>Weighted average basic ADSs oustanding</t>
  </si>
  <si>
    <t>Weighted average diluted ADSs oustanding</t>
  </si>
  <si>
    <t>Non-GAAP diluted EPADS</t>
  </si>
  <si>
    <t>FY25e</t>
  </si>
  <si>
    <t>FY26e</t>
  </si>
  <si>
    <t>FY27e</t>
  </si>
  <si>
    <t>FY28e</t>
  </si>
  <si>
    <t>FY29e</t>
  </si>
  <si>
    <t>FY30e</t>
  </si>
  <si>
    <t>FY31e</t>
  </si>
  <si>
    <t>FY32e</t>
  </si>
  <si>
    <t>FY33e</t>
  </si>
  <si>
    <t>FY34e</t>
  </si>
  <si>
    <t>Opex</t>
  </si>
  <si>
    <t>Adjusted EBITDA</t>
  </si>
  <si>
    <t>EBITDA - Capex</t>
  </si>
  <si>
    <t>Rate %</t>
  </si>
  <si>
    <t>n/m</t>
  </si>
  <si>
    <t>/ LTM Adjusted EBITDA</t>
  </si>
  <si>
    <t>FCFE</t>
  </si>
  <si>
    <t>Cumulative FCFE</t>
  </si>
  <si>
    <t>% of Market Cap</t>
  </si>
  <si>
    <t>Basis Multiples</t>
  </si>
  <si>
    <t>TEV / Revenue</t>
  </si>
  <si>
    <t>TEV / CRC EBITDA</t>
  </si>
  <si>
    <t>TEV / CRC EBITDA - Capex</t>
  </si>
  <si>
    <t>P / E</t>
  </si>
  <si>
    <t>P / Recurring FCF</t>
  </si>
  <si>
    <t>Ten-Year IRR</t>
  </si>
  <si>
    <t>Forward Multiple</t>
  </si>
  <si>
    <t>Terminal Value</t>
  </si>
  <si>
    <t>Total</t>
  </si>
  <si>
    <t>Cash Flows</t>
  </si>
  <si>
    <t>MOIC ==&gt;</t>
  </si>
  <si>
    <t>IRR</t>
  </si>
  <si>
    <t>Capitalization</t>
  </si>
  <si>
    <t>Value</t>
  </si>
  <si>
    <t>TEV</t>
  </si>
  <si>
    <t>Shares</t>
  </si>
  <si>
    <r>
      <rPr>
        <i/>
        <u/>
        <sz val="8"/>
        <color theme="1"/>
        <rFont val="Arial"/>
        <family val="2"/>
      </rPr>
      <t>Memo:</t>
    </r>
    <r>
      <rPr>
        <i/>
        <sz val="8"/>
        <color theme="1"/>
        <rFont val="Arial"/>
        <family val="2"/>
      </rPr>
      <t xml:space="preserve"> ETR</t>
    </r>
  </si>
  <si>
    <t>¥/Share</t>
  </si>
  <si>
    <t>Equity (USD)</t>
  </si>
  <si>
    <t>Net income/(loss) attributable to common stock holders - Operating</t>
  </si>
  <si>
    <t>USDCNY</t>
  </si>
  <si>
    <t>Equity (CNY)</t>
  </si>
  <si>
    <t>Net Debt (excl. Convert)</t>
  </si>
  <si>
    <t>Total Debt (excl. Convert)</t>
  </si>
  <si>
    <t>Simple Model [Case 1]</t>
  </si>
  <si>
    <t>Other Income</t>
  </si>
  <si>
    <t>Interest Expense (Income)</t>
  </si>
  <si>
    <t>PDD China 3P Revenue</t>
  </si>
  <si>
    <t>PDD China 1P Revenue</t>
  </si>
  <si>
    <t>PDD China Revenue</t>
  </si>
  <si>
    <t>PDD Temu Revenue</t>
  </si>
  <si>
    <t>PDD Revenue</t>
  </si>
  <si>
    <t>China Online Retail Sales, Goods</t>
  </si>
  <si>
    <t>PDD China Net GMV</t>
  </si>
  <si>
    <t>PDD China Gross GMV</t>
  </si>
  <si>
    <t>PDD China 1P Gross GMV</t>
  </si>
  <si>
    <t>PDD China 3P Gross GMV</t>
  </si>
  <si>
    <t>China Retail Sales of Consumer Goods, Retail Trade</t>
  </si>
  <si>
    <t>Temu Adjusted EBITDA</t>
  </si>
  <si>
    <t>Employees</t>
  </si>
  <si>
    <t>Sales and marketing</t>
  </si>
  <si>
    <t>Product development</t>
  </si>
  <si>
    <t>Platform operation</t>
  </si>
  <si>
    <t>Management and administration</t>
  </si>
  <si>
    <t>Total employees</t>
  </si>
  <si>
    <t>Equity Issuance/(Repurchase)</t>
  </si>
  <si>
    <t>LTM Gross GMV Build</t>
  </si>
  <si>
    <t>LTM Gross GMV (RMB in billions)</t>
  </si>
  <si>
    <t>LTM Gross GMV by Type</t>
  </si>
  <si>
    <t>LTM 1P Gross GMV</t>
  </si>
  <si>
    <t>LTM 3P Gross GMV</t>
  </si>
  <si>
    <t>TAM / Penetration Analysis [Case 1]</t>
  </si>
  <si>
    <t>China Revenue</t>
  </si>
  <si>
    <t>Temu Revenue</t>
  </si>
  <si>
    <t>China 3P Revenue</t>
  </si>
  <si>
    <t>China 1P Revenue</t>
  </si>
  <si>
    <t>China Adjusted EBITDA</t>
  </si>
  <si>
    <t>Penetration %</t>
  </si>
  <si>
    <t>Online Penetration %</t>
  </si>
  <si>
    <t>Net to Gross Adjustment</t>
  </si>
  <si>
    <t>Take Rate %</t>
  </si>
  <si>
    <t>Nominal GDP</t>
  </si>
  <si>
    <t>Online Market Share %</t>
  </si>
  <si>
    <t>China Gross GMV</t>
  </si>
  <si>
    <t>Temu Gross GMV</t>
  </si>
  <si>
    <t>PDD Gross GMV</t>
  </si>
  <si>
    <t>Sales and Marketing Expenses</t>
  </si>
  <si>
    <t>Other sales and marketing expenses</t>
  </si>
  <si>
    <t>Total sales and marketing expenses</t>
  </si>
  <si>
    <r>
      <rPr>
        <i/>
        <u/>
        <sz val="8"/>
        <color theme="1"/>
        <rFont val="Arial"/>
        <family val="2"/>
      </rPr>
      <t>Memo:</t>
    </r>
    <r>
      <rPr>
        <i/>
        <sz val="8"/>
        <color theme="1"/>
        <rFont val="Arial"/>
        <family val="2"/>
      </rPr>
      <t xml:space="preserve"> China 3P Take Rate %</t>
    </r>
  </si>
  <si>
    <t>China Net GMV</t>
  </si>
  <si>
    <t>Margin on China Net GMV</t>
  </si>
  <si>
    <t>Actual</t>
  </si>
  <si>
    <t>Variance</t>
  </si>
  <si>
    <t>FY35e</t>
  </si>
  <si>
    <t>Gross GMV</t>
  </si>
  <si>
    <t>1Q17</t>
  </si>
  <si>
    <t>2Q17</t>
  </si>
  <si>
    <t>3Q17</t>
  </si>
  <si>
    <t>4Q17</t>
  </si>
  <si>
    <t>Net GMV Conversion Rate %</t>
  </si>
  <si>
    <t>Net GMV</t>
  </si>
  <si>
    <t>China E-Commerce</t>
  </si>
  <si>
    <t>China CGP</t>
  </si>
  <si>
    <t>Temu</t>
  </si>
  <si>
    <t>FX</t>
  </si>
  <si>
    <t>CNYUSD</t>
  </si>
  <si>
    <t>Start Date</t>
  </si>
  <si>
    <t>End Date</t>
  </si>
  <si>
    <t>Revenue Summary</t>
  </si>
  <si>
    <t>China CGP Revenue</t>
  </si>
  <si>
    <t>China E-Commerce Revenue</t>
  </si>
  <si>
    <r>
      <rPr>
        <i/>
        <u/>
        <sz val="8"/>
        <color theme="1"/>
        <rFont val="Arial"/>
        <family val="2"/>
      </rPr>
      <t>Memo:</t>
    </r>
    <r>
      <rPr>
        <i/>
        <sz val="8"/>
        <color theme="1"/>
        <rFont val="Arial"/>
        <family val="2"/>
      </rPr>
      <t xml:space="preserve"> Temu (USD in billions)</t>
    </r>
  </si>
  <si>
    <t>Consolidated</t>
  </si>
  <si>
    <t>GMV Detail</t>
  </si>
  <si>
    <t>China E-Commerce Gross Take Rate %</t>
  </si>
  <si>
    <t>China CGP Gross Take Rate %</t>
  </si>
  <si>
    <t>Gross Take Rate Detail</t>
  </si>
  <si>
    <t>Temu Gross Take Rate %</t>
  </si>
  <si>
    <t>Net Take Rate Detail</t>
  </si>
  <si>
    <t>China E-Commerce Net Take Rate %</t>
  </si>
  <si>
    <t>China CGP Net Take Rate %</t>
  </si>
  <si>
    <t>Temu Net Take Rate %</t>
  </si>
  <si>
    <t>China CGP Revenue (3P)</t>
  </si>
  <si>
    <t>Temu Revenue (3P)</t>
  </si>
  <si>
    <t>Total Gross GMV (RMB in billions)</t>
  </si>
  <si>
    <t>Total Gross GMV</t>
  </si>
  <si>
    <t>Total Net GMV (RMB in billions)</t>
  </si>
  <si>
    <t>Total Net GMV</t>
  </si>
  <si>
    <t>China 3P Net GMV</t>
  </si>
  <si>
    <t>OMS Revenue / China 3P Net GMV</t>
  </si>
  <si>
    <t>Tax Analysis</t>
  </si>
  <si>
    <t>Temu Non-GAAP EBIT</t>
  </si>
  <si>
    <t>China Non-GAAP EBIT</t>
  </si>
  <si>
    <t>FYE Decemer 31,</t>
  </si>
  <si>
    <t>OMS Revenue</t>
  </si>
  <si>
    <t>Sequential Change</t>
  </si>
  <si>
    <t>Income Tax Expense</t>
  </si>
  <si>
    <t>Operating income/(loss) - Temu</t>
  </si>
  <si>
    <t>Estimated Temu Profitability</t>
  </si>
  <si>
    <t>Profit Detail</t>
  </si>
  <si>
    <t>China Non-GAAP Gross Profit</t>
  </si>
  <si>
    <t>Total Non-GAAP EBIT</t>
  </si>
  <si>
    <t>Temu Non-GAAP Gross Profit</t>
  </si>
  <si>
    <t>Total Non-GAAP Gross Profit</t>
  </si>
  <si>
    <t>Y/Y Incremental Margin</t>
  </si>
  <si>
    <t>China Non-GAAP S&amp;M</t>
  </si>
  <si>
    <t>Temu Non-GAAP S&amp;M</t>
  </si>
  <si>
    <t>Total Non-GAAP S&amp;M</t>
  </si>
  <si>
    <t>China Non-GAAP R&amp;D</t>
  </si>
  <si>
    <t>Temu Non-GAAP R&amp;D</t>
  </si>
  <si>
    <t>Total Non-GAAP R&amp;D</t>
  </si>
  <si>
    <t>China Non-GAAP G&amp;A</t>
  </si>
  <si>
    <t>Temu Non-GAAP G&amp;A</t>
  </si>
  <si>
    <t>Total Non-GAAP G&amp;A</t>
  </si>
  <si>
    <t>Period</t>
  </si>
  <si>
    <t>Date</t>
  </si>
  <si>
    <t>Non-GAAP EBIT
Margin</t>
  </si>
  <si>
    <t>Comments</t>
  </si>
  <si>
    <t>Profit Commentary</t>
  </si>
  <si>
    <r>
      <t xml:space="preserve">Q: And my second question is about the profitability. We noticed that your profitability margin decreased from the last 2 quarters. Given Q4 is the yearly strong quarter in terms of profit, does that mean that you have shifted focus more to growth and what opportunities are you spending actual?
A: Let me take your question on the profitability. And well, </t>
    </r>
    <r>
      <rPr>
        <b/>
        <sz val="8"/>
        <color theme="1"/>
        <rFont val="Arial"/>
        <family val="2"/>
      </rPr>
      <t>we are in our development stage</t>
    </r>
    <r>
      <rPr>
        <sz val="8"/>
        <color theme="1"/>
        <rFont val="Arial"/>
        <family val="2"/>
      </rPr>
      <t xml:space="preserve">. We still see many areas to improve and create more valuable users. </t>
    </r>
    <r>
      <rPr>
        <b/>
        <sz val="8"/>
        <color theme="1"/>
        <rFont val="Arial"/>
        <family val="2"/>
      </rPr>
      <t>We will continue to step up investment</t>
    </r>
    <r>
      <rPr>
        <sz val="8"/>
        <color theme="1"/>
        <rFont val="Arial"/>
        <family val="2"/>
      </rPr>
      <t xml:space="preserve"> in key areas to strengthen our R&amp;D capabilities, support agriculture and manufacturing through technology and improve our service offerings to users and profitability is not our current priority. With that said, </t>
    </r>
    <r>
      <rPr>
        <b/>
        <sz val="8"/>
        <color theme="1"/>
        <rFont val="Arial"/>
        <family val="2"/>
      </rPr>
      <t>we always practice financial prudence for every investmen</t>
    </r>
    <r>
      <rPr>
        <sz val="8"/>
        <color theme="1"/>
        <rFont val="Arial"/>
        <family val="2"/>
      </rPr>
      <t xml:space="preserve">t. We carefully evaluate the ROI and ask ourself if it can create long-term high-quality development for us. </t>
    </r>
    <r>
      <rPr>
        <b/>
        <sz val="8"/>
        <color theme="1"/>
        <rFont val="Arial"/>
        <family val="2"/>
      </rPr>
      <t>When we see good opportunities, we will invest definitely.</t>
    </r>
  </si>
  <si>
    <r>
      <t xml:space="preserve">Q: My second question is, we noticed your profit margin decreased slightly year-on-year. What are some of the key areas you are putting results into? And how should we understand the fluctuation of your profit margin as industry competition further intensified.
A: Well, first, we are still in the development phase. </t>
    </r>
    <r>
      <rPr>
        <b/>
        <sz val="8"/>
        <color theme="1"/>
        <rFont val="Arial"/>
        <family val="2"/>
      </rPr>
      <t>Profitability itself is not our priority.</t>
    </r>
    <r>
      <rPr>
        <sz val="8"/>
        <color theme="1"/>
        <rFont val="Arial"/>
        <family val="2"/>
      </rPr>
      <t xml:space="preserve"> As Jiazhen just mentioned, it's a natural result of the value we create. So with that said, in Q2, we saw different financial results, showing the early results from our high-quality development strategy. And in this process of executing our high-quality development strategy, </t>
    </r>
    <r>
      <rPr>
        <b/>
        <sz val="8"/>
        <color theme="1"/>
        <rFont val="Arial"/>
        <family val="2"/>
      </rPr>
      <t>we are stepping up investment in many key investment areas.</t>
    </r>
    <r>
      <rPr>
        <sz val="8"/>
        <color theme="1"/>
        <rFont val="Arial"/>
        <family val="2"/>
      </rPr>
      <t xml:space="preserve"> For example, giving back to consumers, supporting SME merchants investing with cultural and, manufacturing supply chains and 10 billion Ecosystem Initiative to many [ areas ]. These efforts are reflecting in our financial results. Also, </t>
    </r>
    <r>
      <rPr>
        <b/>
        <sz val="8"/>
        <color theme="1"/>
        <rFont val="Arial"/>
        <family val="2"/>
      </rPr>
      <t>as competition further intensified, we will react positively</t>
    </r>
    <r>
      <rPr>
        <sz val="8"/>
        <color theme="1"/>
        <rFont val="Arial"/>
        <family val="2"/>
      </rPr>
      <t xml:space="preserve"> by enhancing our board savings and better service core capabilities and giving back to our consumers and merchants. I'll now go to high-quality developments. </t>
    </r>
    <r>
      <rPr>
        <b/>
        <sz val="8"/>
        <color theme="1"/>
        <rFont val="Arial"/>
        <family val="2"/>
      </rPr>
      <t>When we see opportunities to create long-term value, we will continue to exercise financial prudence and invest with determination.</t>
    </r>
  </si>
  <si>
    <r>
      <t xml:space="preserve">Q: And my second question is about profitability. We have delivered profitability for 6 quarters in a row. We have also noticed that many of your peers have started to focus more on cost control and efficiency improvement. So does your profitability for the past 3 quarters mean you have started to pursue a similar strategy? And should we expect a similar level of profitability to continue over the next few quarters?
A: I will take your second question about our profitability. Well, first of all, I would like to point out the </t>
    </r>
    <r>
      <rPr>
        <b/>
        <sz val="8"/>
        <color rgb="FFFF0000"/>
        <rFont val="Arial"/>
        <family val="2"/>
      </rPr>
      <t>high profitability level for Q3 is unlikely to continue</t>
    </r>
    <r>
      <rPr>
        <sz val="8"/>
        <color theme="1"/>
        <rFont val="Arial"/>
        <family val="2"/>
      </rPr>
      <t xml:space="preserve">. Over the past quarter, some of our projects such as a few agriculture-related projects, as I just mentioned in my remarks, were impacted in terms of project time line and investment pace. So the expenses line items on our quarterly results were affected. And on the other hand, our quarterly revenue increased as a result of increased merchant activities. Therefore, profitability is partially due to such time lapse. And this shows that our business cycle and financial reporting cycle are not always in sync. </t>
    </r>
    <r>
      <rPr>
        <b/>
        <sz val="8"/>
        <color theme="1"/>
        <rFont val="Arial"/>
        <family val="2"/>
      </rPr>
      <t>We think such profitability level may not be sustainable.</t>
    </r>
    <r>
      <rPr>
        <sz val="8"/>
        <color theme="1"/>
        <rFont val="Arial"/>
        <family val="2"/>
      </rPr>
      <t xml:space="preserve"> In addition, </t>
    </r>
    <r>
      <rPr>
        <b/>
        <sz val="8"/>
        <color theme="1"/>
        <rFont val="Arial"/>
        <family val="2"/>
      </rPr>
      <t>we are still in the development stage, and profitability is not our current priority. We will continue to step up investments</t>
    </r>
    <r>
      <rPr>
        <sz val="8"/>
        <color theme="1"/>
        <rFont val="Arial"/>
        <family val="2"/>
      </rPr>
      <t xml:space="preserve">, especially to support agriculture and manufacturing industry through technology. And </t>
    </r>
    <r>
      <rPr>
        <b/>
        <sz val="8"/>
        <color theme="1"/>
        <rFont val="Arial"/>
        <family val="2"/>
      </rPr>
      <t xml:space="preserve">this may cause fluctuations in our future profitability, and the </t>
    </r>
    <r>
      <rPr>
        <b/>
        <sz val="8"/>
        <color rgb="FFFF0000"/>
        <rFont val="Arial"/>
        <family val="2"/>
      </rPr>
      <t>Q3 level will not continue</t>
    </r>
    <r>
      <rPr>
        <b/>
        <sz val="8"/>
        <rFont val="Arial"/>
        <family val="2"/>
      </rPr>
      <t>.</t>
    </r>
  </si>
  <si>
    <r>
      <t xml:space="preserve">Q: My second question is on the shareholder return and margin. In fourth quarter, the company achieved a decent profitability against the best drop of intensified competition and rapid growth of your global business. Can management share your view of how we should think about the margin in 2024 and going forward?
A: Well, regarding profitability, we always emphasize though </t>
    </r>
    <r>
      <rPr>
        <b/>
        <sz val="8"/>
        <color theme="1"/>
        <rFont val="Arial"/>
        <family val="2"/>
      </rPr>
      <t>we are still in the development stage</t>
    </r>
    <r>
      <rPr>
        <sz val="8"/>
        <color theme="1"/>
        <rFont val="Arial"/>
        <family val="2"/>
      </rPr>
      <t xml:space="preserve">. </t>
    </r>
    <r>
      <rPr>
        <b/>
        <sz val="8"/>
        <color theme="1"/>
        <rFont val="Arial"/>
        <family val="2"/>
      </rPr>
      <t>Profitability is not our priority.</t>
    </r>
    <r>
      <rPr>
        <sz val="8"/>
        <color theme="1"/>
        <rFont val="Arial"/>
        <family val="2"/>
      </rPr>
      <t xml:space="preserve"> Considering our current stage of development, our strategic focus remains on the high-quality development of the platform. So we will focus on building the platform's long-term value, which is consistent with the interest of our investors. Over the past years, guided by our strategy of high-quality development. We have made some investments in a few key areas. For example, we have continued to give back to consumers to deepen our mind share. We also remain committed to R&amp;D, which R&amp;D exceeding RMB 10 billion for the second consecutive year. This investment have yielded favorable initial returns. Moving forward, </t>
    </r>
    <r>
      <rPr>
        <b/>
        <sz val="8"/>
        <color theme="1"/>
        <rFont val="Arial"/>
        <family val="2"/>
      </rPr>
      <t>we will continue to make a decisive and patient investments where we see long-term ROI potential</t>
    </r>
    <r>
      <rPr>
        <sz val="8"/>
        <color theme="1"/>
        <rFont val="Arial"/>
        <family val="2"/>
      </rPr>
      <t xml:space="preserve">. And our </t>
    </r>
    <r>
      <rPr>
        <b/>
        <sz val="8"/>
        <color theme="1"/>
        <rFont val="Arial"/>
        <family val="2"/>
      </rPr>
      <t>business execution cycle is affected by various factors and may not align with our financial reporting cycle. Profitability on a quarterly basis, we are in eligibly fluctuate based on the different investment opportunities we identify</t>
    </r>
    <r>
      <rPr>
        <sz val="8"/>
        <color theme="1"/>
        <rFont val="Arial"/>
        <family val="2"/>
      </rPr>
      <t xml:space="preserve">. So the financial </t>
    </r>
    <r>
      <rPr>
        <b/>
        <sz val="8"/>
        <color theme="1"/>
        <rFont val="Arial"/>
        <family val="2"/>
      </rPr>
      <t xml:space="preserve">results in </t>
    </r>
    <r>
      <rPr>
        <b/>
        <sz val="8"/>
        <color rgb="FFFFC000"/>
        <rFont val="Arial"/>
        <family val="2"/>
      </rPr>
      <t>Q4 may not serve as a benchmark for future quarters</t>
    </r>
    <r>
      <rPr>
        <b/>
        <sz val="8"/>
        <rFont val="Arial"/>
        <family val="2"/>
      </rPr>
      <t>.</t>
    </r>
  </si>
  <si>
    <r>
      <t xml:space="preserve">To conclude, </t>
    </r>
    <r>
      <rPr>
        <b/>
        <sz val="8"/>
        <color theme="1"/>
        <rFont val="Arial"/>
        <family val="2"/>
      </rPr>
      <t>profitability in the past quarter was mainly attributable to a few short-term factors that may not reappear in the future</t>
    </r>
    <r>
      <rPr>
        <sz val="8"/>
        <color theme="1"/>
        <rFont val="Arial"/>
        <family val="2"/>
      </rPr>
      <t xml:space="preserve">. First, we saw good user engagement during the past quarter. As competition remains intense, we're not sure whether such engagement momentum will continue. Second, project performance and lower business-related activities affected our overall expenses in Q2. We view this factor just mostly temporary in nature. In fact, we incurred higher expenses in the second half of Q2 when things return to normal. Therefore, given that progress in the second quarter are mainly due to a combination of several short-term factors, </t>
    </r>
    <r>
      <rPr>
        <b/>
        <sz val="8"/>
        <color rgb="FFFF0000"/>
        <rFont val="Arial"/>
        <family val="2"/>
      </rPr>
      <t>we do not expect profitability in the past quarter to serve as a benchmark for future quarters</t>
    </r>
    <r>
      <rPr>
        <b/>
        <sz val="8"/>
        <rFont val="Arial"/>
        <family val="2"/>
      </rPr>
      <t>.</t>
    </r>
    <r>
      <rPr>
        <sz val="8"/>
        <color theme="1"/>
        <rFont val="Arial"/>
        <family val="2"/>
      </rPr>
      <t xml:space="preserve">
---
Q: And my second question is about our profitability. Given the second quarter earnings comes in better than expected market expectations, how should we think about the profitability trend in the second half?
A: For your second question about profit. Well, as mentioned before, we have not changed our strategy to the focus on profitability. So for the past quarter alone, </t>
    </r>
    <r>
      <rPr>
        <b/>
        <sz val="8"/>
        <color theme="1"/>
        <rFont val="Arial"/>
        <family val="2"/>
      </rPr>
      <t>our profitability was mainly attributable to a number of external factors, which are mostly short term or 1 of nature</t>
    </r>
    <r>
      <rPr>
        <sz val="8"/>
        <color theme="1"/>
        <rFont val="Arial"/>
        <family val="2"/>
      </rPr>
      <t xml:space="preserve">. On the revenue side, we saw a good level of user engagement and consumption, which are mostly boosted by consumption recovery. At the same time, we still face very intense competition. For the expense side, factors such as project delays and decrease in business-related activities [indiscernible] to the short-term impact in our Q2 expenses. And to sum up, </t>
    </r>
    <r>
      <rPr>
        <b/>
        <sz val="8"/>
        <color rgb="FFFF0000"/>
        <rFont val="Arial"/>
        <family val="2"/>
      </rPr>
      <t>this quarter's profitability is due to short-term factors combined. So it is not a good benchmark for future reference</t>
    </r>
    <r>
      <rPr>
        <sz val="8"/>
        <rFont val="Arial"/>
        <family val="2"/>
      </rPr>
      <t>.</t>
    </r>
    <r>
      <rPr>
        <sz val="8"/>
        <color theme="1"/>
        <rFont val="Arial"/>
        <family val="2"/>
      </rPr>
      <t xml:space="preserve"> And this is our view on profitability.</t>
    </r>
  </si>
  <si>
    <r>
      <t xml:space="preserve">Q: And the second question actually is about your profitability. I think if I remember correctly, the -- this is the first time that we have seen a very meaningful the profitability for PDD on quarterly basis. And the non-GAAP net margin is 18%. That's very impressive. So given that our business model has been more and more mature, should we expect that -- the profitability pattern in this quarter to be more stable going forward and is more expected going forward?
A: And coming to your second question on the profitability. And our profit in this quarter was mainly attributable to the operating leverage from the sales and marketing expenses, as I just stated in the remarks, due to the seasonality. It is a unique quarter as Q2 is typically a low season for us with less sales and marketing spending. And </t>
    </r>
    <r>
      <rPr>
        <b/>
        <sz val="8"/>
        <color theme="1"/>
        <rFont val="Arial"/>
        <family val="2"/>
      </rPr>
      <t>we do not think that this quarter's profitability should be an indicator or a reference for our future investment in user mindshare and as well as the agri-focused infrastructure</t>
    </r>
    <r>
      <rPr>
        <sz val="8"/>
        <color theme="1"/>
        <rFont val="Arial"/>
        <family val="2"/>
      </rPr>
      <t xml:space="preserve">. </t>
    </r>
    <r>
      <rPr>
        <b/>
        <sz val="8"/>
        <color theme="1"/>
        <rFont val="Arial"/>
        <family val="2"/>
      </rPr>
      <t xml:space="preserve">We are seeing more investment coming in the coming quarter. And as we invest more into agriculture, </t>
    </r>
    <r>
      <rPr>
        <b/>
        <sz val="8"/>
        <color rgb="FFFF0000"/>
        <rFont val="Arial"/>
        <family val="2"/>
      </rPr>
      <t>we do not expect profitability to continue</t>
    </r>
    <r>
      <rPr>
        <b/>
        <sz val="8"/>
        <color theme="1"/>
        <rFont val="Arial"/>
        <family val="2"/>
      </rPr>
      <t>.</t>
    </r>
    <r>
      <rPr>
        <sz val="8"/>
        <color theme="1"/>
        <rFont val="Arial"/>
        <family val="2"/>
      </rPr>
      <t xml:space="preserve"> And let me just add one more comment on this. We will keep maintaining the 0 commission policy on our agriculture produce to help more farmers and agri merchants, and this type of investment will continue.</t>
    </r>
  </si>
  <si>
    <r>
      <t>Q: This is also the second consecutive quarter that your company is showing both non-GAAP and GAAP profit. Just wondering, are you prioritizing profitability over growth going forward? And should the investors expect full year profitability for 2021 and going onwards as well?
A: Natalie, coming back to your question regarding the consecutive being profitable for the past 2 quarters, the main contribution of our profitability in the past 2 quarters is deleverage efforts from sales and marketing expenses showing a decline in percentage of revenue. But for us, the profitability is not any team's KPI internally. We are more focused on the long-term investment to address users' fundamental needs. As we have been communicating with the market, to us, investment into sales and marketing is similar in nature to capital expenditure which crystallize as user mindshare and long-term assets for us. So this is a strategy that we have been digitally executing for the first 5 years and an area where we will continue to practice financial prudence. It is worth highlighting that w</t>
    </r>
    <r>
      <rPr>
        <b/>
        <sz val="8"/>
        <color theme="1"/>
        <rFont val="Arial"/>
        <family val="2"/>
      </rPr>
      <t>e are shifting our focus and investments towards R&amp;D</t>
    </r>
    <r>
      <rPr>
        <sz val="8"/>
        <color theme="1"/>
        <rFont val="Arial"/>
        <family val="2"/>
      </rPr>
      <t xml:space="preserve"> and expect to step up our investment there to lay the foundation for the solid long-term growth. As a result, </t>
    </r>
    <r>
      <rPr>
        <b/>
        <sz val="8"/>
        <color theme="1"/>
        <rFont val="Arial"/>
        <family val="2"/>
      </rPr>
      <t>we will expect R&amp;D expenses to increase going forward.</t>
    </r>
  </si>
  <si>
    <r>
      <t>Q: And my second question is, PDD has delivered another quarter of strong profit. Can you share with us how management team are looking at the balance between profitability and growth? Are we seeing a pivot in strategic priority? Also should investors expect future -- how should we expect the future profitability trend? And how much was the onetime rebate that contributed to this quarter's higher profitability?
A: For second question, which is about profitability, well, I would like to point out that we're not changing our strategy to focus on profitability. This quarter's higher profit was due to one-off rebate, as mentioned before, and controlled spending in the face of slower growth. To further elaborate, first, we are -- as we encounter slow growth and concurrently making adjustments, we are taking a cautious approach and proactively controlling our expenses. On top of this, portion of this quarter's profit was due to cost and expense reduction related to a one-off rebate from our service provider. And this one-off rebate has resulted in lower cost and expenses and higher profitability in the quarter. But</t>
    </r>
    <r>
      <rPr>
        <b/>
        <sz val="8"/>
        <color theme="1"/>
        <rFont val="Arial"/>
        <family val="2"/>
      </rPr>
      <t xml:space="preserve"> if we strip out the one-off rebate, costs and expenses will be higher than the reported number, and profitability in the quarter will also be lower</t>
    </r>
    <r>
      <rPr>
        <sz val="8"/>
        <color theme="1"/>
        <rFont val="Arial"/>
        <family val="2"/>
      </rPr>
      <t xml:space="preserve">. And second, as competition intensifies and user demand becomes more diversified, </t>
    </r>
    <r>
      <rPr>
        <b/>
        <sz val="8"/>
        <color theme="1"/>
        <rFont val="Arial"/>
        <family val="2"/>
      </rPr>
      <t>we do expect continued investment in agriculture and core technology, which will result in higher expense line items, hence, impacting profitability</t>
    </r>
    <r>
      <rPr>
        <sz val="8"/>
        <color theme="1"/>
        <rFont val="Arial"/>
        <family val="2"/>
      </rPr>
      <t>. And in your question, you also emphasized the rebate. Well, I think the one-off rebates, yes, [ they're being ] one-off nature, it is based on a case-by-case negotiation with our service providers, we do not expect it will recur in the future. And for the amounts, due to confidentiality obligation with the service provider, we could not comment on the specific amounts. But what we can say is that it contributed a meaningful portion of this quarter's profit.</t>
    </r>
  </si>
  <si>
    <r>
      <t xml:space="preserve">Q: And then the next is about the margin. We've noticed that your margin decreased on a year-over-year and quarter-over-quarter basis. What are some of the key investment areas that you're putting your resources into? Is this related to the competition? How is your global business impacting your profitability? And how should we think about the trend for the margin in the next few quarters?
A: I will answer your question about profitability. First and foremost, </t>
    </r>
    <r>
      <rPr>
        <b/>
        <sz val="8"/>
        <color theme="1"/>
        <rFont val="Arial"/>
        <family val="2"/>
      </rPr>
      <t>we are still in the development phase.</t>
    </r>
    <r>
      <rPr>
        <sz val="8"/>
        <color theme="1"/>
        <rFont val="Arial"/>
        <family val="2"/>
      </rPr>
      <t xml:space="preserve"> </t>
    </r>
    <r>
      <rPr>
        <b/>
        <sz val="8"/>
        <color theme="1"/>
        <rFont val="Arial"/>
        <family val="2"/>
      </rPr>
      <t>Profitability in the short run is not our priority.</t>
    </r>
    <r>
      <rPr>
        <sz val="8"/>
        <color theme="1"/>
        <rFont val="Arial"/>
        <family val="2"/>
      </rPr>
      <t xml:space="preserve"> Instead, our team is focused on executing our high-quality development strategy, which we hope will increase the value of the platform in the long run. In the past quarter, guided by the high-quality development strategy, </t>
    </r>
    <r>
      <rPr>
        <b/>
        <sz val="8"/>
        <color theme="1"/>
        <rFont val="Arial"/>
        <family val="2"/>
      </rPr>
      <t>we step up our investment in key areas such as promotion activities and service upgrades</t>
    </r>
    <r>
      <rPr>
        <sz val="8"/>
        <color theme="1"/>
        <rFont val="Arial"/>
        <family val="2"/>
      </rPr>
      <t xml:space="preserve"> to deepen our more savings and better services for merchants. We also further built on our supply chain capabilities and ecosystem improvements. We are seeing encouraging results from our execution. And </t>
    </r>
    <r>
      <rPr>
        <b/>
        <sz val="8"/>
        <color theme="1"/>
        <rFont val="Arial"/>
        <family val="2"/>
      </rPr>
      <t>we continue to invest firmly when we see good ROI potential</t>
    </r>
    <r>
      <rPr>
        <sz val="8"/>
        <color theme="1"/>
        <rFont val="Arial"/>
        <family val="2"/>
      </rPr>
      <t xml:space="preserve">. In terms of future trends, </t>
    </r>
    <r>
      <rPr>
        <b/>
        <sz val="8"/>
        <color theme="1"/>
        <rFont val="Arial"/>
        <family val="2"/>
      </rPr>
      <t xml:space="preserve">we operate in a fast-paced market environment where investment opportunities change on a daily basis. Because of this, our business execution will not match the financial reporting schedule. And going forward, our </t>
    </r>
    <r>
      <rPr>
        <b/>
        <sz val="8"/>
        <color rgb="FFFFC000"/>
        <rFont val="Arial"/>
        <family val="2"/>
      </rPr>
      <t>profitability may continue to fluctuate on a quarterly basis</t>
    </r>
    <r>
      <rPr>
        <b/>
        <sz val="8"/>
        <color theme="1"/>
        <rFont val="Arial"/>
        <family val="2"/>
      </rPr>
      <t xml:space="preserve">. </t>
    </r>
  </si>
  <si>
    <r>
      <t xml:space="preserve">Q: And [indiscernible] we noticed that your profitability margin this quarter is another sequential decrease. Just wondering what are the major reasons behind? Is it because of the seasonality or competition? Does it mean that you are now actively spending [indiscernible]?
A: I will address your question on profitability. Well, as just Lei pointed out, we have very clear long-term strategies, and we see many areas to further improve. We're executing these strategies with determination. We will continue to nurture the development of healthy, more savings and better services platform ecosystem. We firmly believe our patient investment can generate value for consumers, sellers and the platform ecosystem. Feedback from consumers and sellers also make us more determined in seeking quality development. So </t>
    </r>
    <r>
      <rPr>
        <b/>
        <sz val="8"/>
        <color theme="1"/>
        <rFont val="Arial"/>
        <family val="2"/>
      </rPr>
      <t>we plan to further step up our long-term investment.</t>
    </r>
    <r>
      <rPr>
        <sz val="8"/>
        <color theme="1"/>
        <rFont val="Arial"/>
        <family val="2"/>
      </rPr>
      <t xml:space="preserve"> For example, we are launching our 10 b Ecosystem Initiative to support quality sellers and improve our overall platform ecosystem. </t>
    </r>
    <r>
      <rPr>
        <b/>
        <sz val="8"/>
        <color theme="1"/>
        <rFont val="Arial"/>
        <family val="2"/>
      </rPr>
      <t xml:space="preserve">As we deepen our efforts our profitability level decreased in the past 2 quarters on a quarter-to-quarter basis. We think </t>
    </r>
    <r>
      <rPr>
        <b/>
        <sz val="8"/>
        <color rgb="FFFFC000"/>
        <rFont val="Arial"/>
        <family val="2"/>
      </rPr>
      <t>it is normal for profitability to fluctuate between quarters</t>
    </r>
    <r>
      <rPr>
        <b/>
        <sz val="8"/>
        <color theme="1"/>
        <rFont val="Arial"/>
        <family val="2"/>
      </rPr>
      <t>.</t>
    </r>
  </si>
  <si>
    <r>
      <t xml:space="preserve">Q: And my second question is regarding the profitability. You have delivered meaningful process on both GAAP and non-GAAP basis for 4 consecutive quarters. Just wondering at current stage, are you now prioritizing probability of a growth? Should investors expect our quarterly earnings to be the norm?
A: Well, thanks for your second question about profitability. First, I would like to point out -- just note, our current priority and over the past few quarters, </t>
    </r>
    <r>
      <rPr>
        <b/>
        <sz val="8"/>
        <color theme="1"/>
        <rFont val="Arial"/>
        <family val="2"/>
      </rPr>
      <t>our profits will remain due to our operating leverage</t>
    </r>
    <r>
      <rPr>
        <sz val="8"/>
        <color theme="1"/>
        <rFont val="Arial"/>
        <family val="2"/>
      </rPr>
      <t xml:space="preserve">, especially from sales and marketing. And as mentioned last quarter, we have also controlled our spending in the face of slower growth. And under current intensified competition, we also see we still have many room to improve in terms of certifying users. The reasons pandemic also shows that. </t>
    </r>
    <r>
      <rPr>
        <b/>
        <sz val="8"/>
        <color theme="1"/>
        <rFont val="Arial"/>
        <family val="2"/>
      </rPr>
      <t xml:space="preserve">So we need to step up our investments and it </t>
    </r>
    <r>
      <rPr>
        <b/>
        <sz val="8"/>
        <color rgb="FFFFC000"/>
        <rFont val="Arial"/>
        <family val="2"/>
      </rPr>
      <t>may cause our quarterly profit to fluctuate in the future</t>
    </r>
    <r>
      <rPr>
        <b/>
        <sz val="8"/>
        <color theme="1"/>
        <rFont val="Arial"/>
        <family val="2"/>
      </rPr>
      <t>.</t>
    </r>
    <r>
      <rPr>
        <sz val="8"/>
        <color theme="1"/>
        <rFont val="Arial"/>
        <family val="2"/>
      </rPr>
      <t xml:space="preserve"> As you may see, this quarter's profit has decreased sequentially versus last quarter. Meanwhile, the profitability over past few quarters also gives us greater confidence to continue our long-term investments. We hope that everyone will focus more on the value we generate.</t>
    </r>
  </si>
  <si>
    <t>Revenue</t>
  </si>
  <si>
    <t>China 3P Non-GAAP Gross Profit</t>
  </si>
  <si>
    <t>China 1P Non-GAAP Gross Profit</t>
  </si>
  <si>
    <t>China E-Commerce Non-GAAP Gross Profit</t>
  </si>
  <si>
    <t>China CGP Non-GAAP Gross Profit</t>
  </si>
  <si>
    <t>Q/Q Incremental Margin</t>
  </si>
  <si>
    <t>TEV / Gross Profit (China 3P Rev x 80%)</t>
  </si>
  <si>
    <t>Sales, marketing and fulfillment</t>
  </si>
  <si>
    <t>Proceeds from available-for-sale debt securities</t>
  </si>
  <si>
    <t>Repurchase of convertible bonds</t>
  </si>
  <si>
    <t>Ordinary shares</t>
  </si>
  <si>
    <t>CRC</t>
  </si>
  <si>
    <t>Consensus</t>
  </si>
  <si>
    <t>Operating income/(loss) - Operating</t>
  </si>
  <si>
    <t>2Q24 Results</t>
  </si>
  <si>
    <t>2Q24 Earnings - Variance Analysis</t>
  </si>
  <si>
    <t>FY25</t>
  </si>
  <si>
    <t>CRC vs. Consensus</t>
  </si>
  <si>
    <r>
      <rPr>
        <i/>
        <u/>
        <sz val="8"/>
        <color theme="1"/>
        <rFont val="Arial"/>
        <family val="2"/>
      </rPr>
      <t>Memo:</t>
    </r>
    <r>
      <rPr>
        <i/>
        <sz val="8"/>
        <color theme="1"/>
        <rFont val="Arial"/>
        <family val="2"/>
      </rPr>
      <t xml:space="preserve"> P / E (Consensus)</t>
    </r>
  </si>
  <si>
    <t>FY2024</t>
  </si>
  <si>
    <t>FY2025</t>
  </si>
  <si>
    <t>FY2026</t>
  </si>
  <si>
    <t>Notes</t>
  </si>
  <si>
    <t>(1) Assumes 20% growth in China non-OMS and 0% growth in Temu revenue in FY25.</t>
  </si>
  <si>
    <r>
      <t>Transaction Services</t>
    </r>
    <r>
      <rPr>
        <vertAlign val="superscript"/>
        <sz val="8"/>
        <color theme="1"/>
        <rFont val="Arial"/>
        <family val="2"/>
      </rPr>
      <t>1</t>
    </r>
  </si>
  <si>
    <r>
      <t xml:space="preserve">We have communicated for a number of occasions that profit growth in the past few quarters should not be used as a long-term guidance. And it is a result of mismatch between the business investment and the financial reporting cycles. As we enter a new investment in the phase, I would like to make it clear to our investors that </t>
    </r>
    <r>
      <rPr>
        <b/>
        <sz val="8"/>
        <color rgb="FFFF0000"/>
        <rFont val="Arial"/>
        <family val="2"/>
      </rPr>
      <t>our profits will gradually trend down starting in Q3</t>
    </r>
    <r>
      <rPr>
        <b/>
        <sz val="8"/>
        <color theme="1"/>
        <rFont val="Arial"/>
        <family val="2"/>
      </rPr>
      <t>, and there will be such or rebounds in the short term. In the long run, the decline in profitability is inevitable.</t>
    </r>
    <r>
      <rPr>
        <sz val="8"/>
        <color theme="1"/>
        <rFont val="Arial"/>
        <family val="2"/>
      </rPr>
      <t xml:space="preserve">
---
On the supply side, we will invest substantial resources to support high-quality merchants who are willing to innovate and improve qualities. And </t>
    </r>
    <r>
      <rPr>
        <b/>
        <sz val="8"/>
        <color rgb="FFFF0000"/>
        <rFont val="Arial"/>
        <family val="2"/>
      </rPr>
      <t>we will offer significant transaction fee reductions to these merchants, with an initial target of 10 billion in the first year.</t>
    </r>
    <r>
      <rPr>
        <sz val="8"/>
        <color theme="1"/>
        <rFont val="Arial"/>
        <family val="2"/>
      </rPr>
      <t xml:space="preserve"> By doing so, our goals to provide clear incentives for the merchants to join high-quality development. On the other hand, we will further deepen our trust and safety capabilities to improve our merchant ecosystem and strengthen our supply chain. We are actively identifying and removing a lot of actors from our platforms, and we will continue to strengthen these efforts. At the moment, we have already started a new round of investments in operations and R&amp;D to streamline the merchant onboarding and product listing process. Leveraging technology, we will gradually improve the quality of our products sold on our platforms and create a fair and transparent business environment for our merchants. In this process,</t>
    </r>
    <r>
      <rPr>
        <b/>
        <sz val="8"/>
        <color theme="1"/>
        <rFont val="Arial"/>
        <family val="2"/>
      </rPr>
      <t xml:space="preserve"> we believe that sacrificing short-term profit is [indiscernible].</t>
    </r>
    <r>
      <rPr>
        <b/>
        <sz val="8"/>
        <color rgb="FFFF0000"/>
        <rFont val="Arial"/>
        <family val="2"/>
      </rPr>
      <t xml:space="preserve"> A clear downward trend in profit is expected</t>
    </r>
    <r>
      <rPr>
        <b/>
        <sz val="8"/>
        <color theme="1"/>
        <rFont val="Arial"/>
        <family val="2"/>
      </rPr>
      <t xml:space="preserve"> but we are prepared to invest firmly and tacitly in the platform's long-term health.</t>
    </r>
    <r>
      <rPr>
        <sz val="8"/>
        <color theme="1"/>
        <rFont val="Arial"/>
        <family val="2"/>
      </rPr>
      <t xml:space="preserve"> This is a decision that has received unanimous support from all our management team.
---
We have communicated on a number of occasions that </t>
    </r>
    <r>
      <rPr>
        <b/>
        <sz val="8"/>
        <color theme="1"/>
        <rFont val="Arial"/>
        <family val="2"/>
      </rPr>
      <t>profit growth in the past few quarters should not be used as long-term guidance.</t>
    </r>
    <r>
      <rPr>
        <sz val="8"/>
        <color theme="1"/>
        <rFont val="Arial"/>
        <family val="2"/>
      </rPr>
      <t xml:space="preserve"> And it was a result of the mismatch between the business investment and financial reporting cycle. In addition, our business is currently facing intense competition and shifting external factors, which will inevitably bring fluctuations to our business and also slow down our top line growth. We are now entering a new phase of a steady transformation towards high-quality development. And we need to invest patiently in the platform's long-term health. And to support a sustainable development of our platform ecosystem, </t>
    </r>
    <r>
      <rPr>
        <b/>
        <sz val="8"/>
        <color theme="1"/>
        <rFont val="Arial"/>
        <family val="2"/>
      </rPr>
      <t>we will invest substantial resources over the next 12 months to support highquality merchants.</t>
    </r>
    <r>
      <rPr>
        <sz val="8"/>
        <color theme="1"/>
        <rFont val="Arial"/>
        <family val="2"/>
      </rPr>
      <t xml:space="preserve"> And looking ahead, </t>
    </r>
    <r>
      <rPr>
        <b/>
        <sz val="8"/>
        <color rgb="FFFFC000"/>
        <rFont val="Arial"/>
        <family val="2"/>
      </rPr>
      <t>our profitability may fluctuate in the short run</t>
    </r>
    <r>
      <rPr>
        <sz val="8"/>
        <color theme="1"/>
        <rFont val="Arial"/>
        <family val="2"/>
      </rPr>
      <t xml:space="preserve">, but </t>
    </r>
    <r>
      <rPr>
        <b/>
        <sz val="8"/>
        <color rgb="FFFF0000"/>
        <rFont val="Arial"/>
        <family val="2"/>
      </rPr>
      <t xml:space="preserve">directionally, it will gradually enter a downward trend. </t>
    </r>
    <r>
      <rPr>
        <sz val="8"/>
        <color theme="1"/>
        <rFont val="Arial"/>
        <family val="2"/>
      </rPr>
      <t xml:space="preserve">And empowering and supporting merchants is crucial to building our high-quality supply chain and also creating a robust platform ecosystem. Over the long run, this will start off a virtuous cycle for the platform. And therefore, </t>
    </r>
    <r>
      <rPr>
        <b/>
        <sz val="8"/>
        <color theme="1"/>
        <rFont val="Arial"/>
        <family val="2"/>
      </rPr>
      <t>we will remain committed to patient investments even though short-term profits will be affected.</t>
    </r>
  </si>
  <si>
    <t>3Q25e</t>
  </si>
  <si>
    <t>4Q25e</t>
  </si>
  <si>
    <t>1Q25e</t>
  </si>
  <si>
    <t>2Q25e</t>
  </si>
  <si>
    <t>% of Net GMV</t>
  </si>
  <si>
    <r>
      <t xml:space="preserve">Q: I have 2 questions, the first is on profitability. The company can still achieve profitability growth in the first quarter despite intensified competition. We are also seeing good operating leverage in terms of sales and marketing expenses. Does it mean the company is slowing down the investment in marketing? More broadly, can management talk about your plan in resources allocation?
A: Thanks for your question. This is Jun. Let me first answer your question about profitability. Well, regarding profitability, we mentioned in our prepared remarks that the company's business does not follow a linear path. it will beat market expectation in some quarters and miss expectation in others. </t>
    </r>
    <r>
      <rPr>
        <b/>
        <sz val="8"/>
        <color theme="1"/>
        <rFont val="Arial"/>
        <family val="2"/>
      </rPr>
      <t xml:space="preserve">We suggest investors not to forecast our future growth completely based on results from few quarters. </t>
    </r>
    <r>
      <rPr>
        <sz val="8"/>
        <color theme="1"/>
        <rFont val="Arial"/>
        <family val="2"/>
      </rPr>
      <t xml:space="preserve">We always focus on the long-term growth of the company's intrinsic value and will not [ smooth out ] short-term financial data. In business execution, while we're compelled to return of investment in different markets and make prudent plans for resources allocation, we will not increase or decrease in expense items solely based on a preset budget. The company's investment in each quarter depends on the specific investment opportunities we see in the market. Currently, we are still in a growth phase. </t>
    </r>
    <r>
      <rPr>
        <b/>
        <sz val="8"/>
        <color theme="1"/>
        <rFont val="Arial"/>
        <family val="2"/>
      </rPr>
      <t>If we see value-creation opportunities in the future, we will investment [indiscernible]. These investments marked bring fluctuations to short-term profitability, but will help us grow intrinsic value in the long run.</t>
    </r>
    <r>
      <rPr>
        <sz val="8"/>
        <color theme="1"/>
        <rFont val="Arial"/>
        <family val="2"/>
      </rPr>
      <t xml:space="preserve"> This is our view on profitability. Thank you.</t>
    </r>
  </si>
  <si>
    <t>OTR Tracking</t>
  </si>
  <si>
    <t>Low</t>
  </si>
  <si>
    <t>High</t>
  </si>
  <si>
    <r>
      <rPr>
        <i/>
        <u/>
        <sz val="8"/>
        <color theme="1"/>
        <rFont val="Arial"/>
        <family val="2"/>
      </rPr>
      <t>Memo:</t>
    </r>
    <r>
      <rPr>
        <i/>
        <sz val="8"/>
        <color theme="1"/>
        <rFont val="Arial"/>
        <family val="2"/>
      </rPr>
      <t xml:space="preserve"> Temu Gross GMV w/ 45% Take Rate</t>
    </r>
  </si>
  <si>
    <t>OTR</t>
  </si>
  <si>
    <t>BDA</t>
  </si>
  <si>
    <t>Interest Income Analysis</t>
  </si>
  <si>
    <t>Interest Income</t>
  </si>
  <si>
    <t>Short-Term Investments</t>
  </si>
  <si>
    <t>Restricted Cash</t>
  </si>
  <si>
    <t>Cash and Cash Equivalents</t>
  </si>
  <si>
    <t>Long-Term Time Deposits and HTM Debt Securities</t>
  </si>
  <si>
    <t>Long-Term AFS Debt Securities</t>
  </si>
  <si>
    <t>Due in 1 Year Through 5 Years</t>
  </si>
  <si>
    <t>Due in 5 Years Through 10 Years</t>
  </si>
  <si>
    <t>Due in 1 Year Through 2 Years</t>
  </si>
  <si>
    <t>Due in 2 Years Through 3 Years</t>
  </si>
  <si>
    <t>Other Non-Current Assets</t>
  </si>
  <si>
    <t>Equity-Method Investments</t>
  </si>
  <si>
    <t>Long-Term Time Deposits and Debt Securities</t>
  </si>
  <si>
    <t>Days in Period</t>
  </si>
  <si>
    <t>Total Interest-Earning Assets</t>
  </si>
  <si>
    <t>Average Interest-Earning Assets</t>
  </si>
  <si>
    <t>Interest-Earning Assets, Avg</t>
  </si>
  <si>
    <t>IEA Yield</t>
  </si>
  <si>
    <t>Cash and Cash Equivalents + Restricted Cash</t>
  </si>
  <si>
    <t>Due in Less Than 1 Year</t>
  </si>
  <si>
    <t>Onshore IEA Yield</t>
  </si>
  <si>
    <t>Offshore IEA Yield</t>
  </si>
  <si>
    <t>Total IEA Yield</t>
  </si>
  <si>
    <t>China Gov.'t Bond Yield (6M)</t>
  </si>
  <si>
    <t>China Gov.'t Bond Yield (3M)</t>
  </si>
  <si>
    <t>China Gov.'t Bond Yield (9M)</t>
  </si>
  <si>
    <t>China Gov.'t Bond Yield (12M)</t>
  </si>
  <si>
    <t>Onshore IEA Yield (Est.)</t>
  </si>
  <si>
    <t>US Gov.'t Bond Yield (3M)</t>
  </si>
  <si>
    <t>US Gov.'t Bond Yield (6M)</t>
  </si>
  <si>
    <t>US Gov.'t Bond Yield (9M)</t>
  </si>
  <si>
    <t>Weighted Average Portfolio Duration (Months)</t>
  </si>
  <si>
    <t>China Gov.'t Bond Yield (1M)</t>
  </si>
  <si>
    <t>US Gov.'t Bond Yield (1M)</t>
  </si>
  <si>
    <t>Onshore Gov't Bond Yield (Est.)</t>
  </si>
  <si>
    <t>Non-Gov't Yield Premium</t>
  </si>
  <si>
    <t>Offshore Gov't Bond Yield (Est.)</t>
  </si>
  <si>
    <t>Offhore IEA Yield (Est.)</t>
  </si>
  <si>
    <t>4Q Average</t>
  </si>
  <si>
    <t>Implied Yield Weights</t>
  </si>
  <si>
    <t>Onshore/Offshore Yield Calc</t>
  </si>
  <si>
    <t>Cumulative Net Cash Raised Offshore</t>
  </si>
  <si>
    <t>Cumulative Gross Cash Raised Offshore</t>
  </si>
  <si>
    <t>Cumulative Temu GMV</t>
  </si>
  <si>
    <t>Potential Offshore Cash</t>
  </si>
  <si>
    <t>% of Total Non-Restricted IEA</t>
  </si>
  <si>
    <t>Interest-Earning Assets</t>
  </si>
  <si>
    <t>Onshore/Offshore IEA Split</t>
  </si>
  <si>
    <t>Offshore Cash Analysis</t>
  </si>
  <si>
    <t>Unrestricted Cash and Investments</t>
  </si>
  <si>
    <t>% of Unrestricted Cash and Investments</t>
  </si>
  <si>
    <t>Estimated Offshore Cash</t>
  </si>
  <si>
    <r>
      <rPr>
        <i/>
        <u/>
        <sz val="8"/>
        <color theme="1"/>
        <rFont val="Arial"/>
        <family val="2"/>
      </rPr>
      <t>Memo:</t>
    </r>
    <r>
      <rPr>
        <i/>
        <sz val="8"/>
        <color theme="1"/>
        <rFont val="Arial"/>
        <family val="2"/>
      </rPr>
      <t xml:space="preserve"> Max Offshore Cash (PDD Reporting)</t>
    </r>
  </si>
  <si>
    <r>
      <rPr>
        <i/>
        <u/>
        <sz val="8"/>
        <color theme="1"/>
        <rFont val="Arial"/>
        <family val="2"/>
      </rPr>
      <t>Memo:</t>
    </r>
    <r>
      <rPr>
        <i/>
        <sz val="8"/>
        <color theme="1"/>
        <rFont val="Arial"/>
        <family val="2"/>
      </rPr>
      <t xml:space="preserve"> Max Offshore Cash (SAIC Filings)</t>
    </r>
  </si>
  <si>
    <t>Cumulative Temu Net GMV</t>
  </si>
  <si>
    <t>Cumulative Temu S&amp;M</t>
  </si>
  <si>
    <t>Cumulative Temu Offshore Logistics (33% of Total)</t>
  </si>
  <si>
    <r>
      <rPr>
        <i/>
        <u/>
        <sz val="8"/>
        <color theme="1"/>
        <rFont val="Arial"/>
        <family val="2"/>
      </rPr>
      <t>Memo:</t>
    </r>
    <r>
      <rPr>
        <i/>
        <sz val="8"/>
        <color theme="1"/>
        <rFont val="Arial"/>
        <family val="2"/>
      </rPr>
      <t xml:space="preserve"> Min Offshore Cash (SAIC Filings)</t>
    </r>
  </si>
  <si>
    <t>Cash Analysis</t>
  </si>
  <si>
    <t>(RMB in thousands, unless otherwise noted)</t>
  </si>
  <si>
    <t>Scenario 1</t>
  </si>
  <si>
    <t>Scenario 2</t>
  </si>
  <si>
    <t>As of December 31, 2023</t>
  </si>
  <si>
    <t>Total
Assets</t>
  </si>
  <si>
    <t>(-) Non-Cash Assets</t>
  </si>
  <si>
    <t>SAIC</t>
  </si>
  <si>
    <t>GAAP / CRC Est.</t>
  </si>
  <si>
    <t>CRC Est.</t>
  </si>
  <si>
    <t>PDD Holdings Inc.</t>
  </si>
  <si>
    <t>Hangzhou Weimi</t>
  </si>
  <si>
    <t>Hangzhou Weimi Network Technology Co., Ltd.</t>
  </si>
  <si>
    <t>VIE and Its Subsidiaries</t>
  </si>
  <si>
    <t>Hangzhou Aimi Network Technology Co., Ltd.</t>
  </si>
  <si>
    <t>Shanghai Xunmeng Information Technology Co., Ltd.</t>
  </si>
  <si>
    <t>Other Entities</t>
  </si>
  <si>
    <t>Other Subsidiaries of PDD Holdings Inc.</t>
  </si>
  <si>
    <r>
      <t>Walnut Street Information Technology Co., Ltd.</t>
    </r>
    <r>
      <rPr>
        <vertAlign val="superscript"/>
        <sz val="8"/>
        <color theme="1"/>
        <rFont val="Arial"/>
        <family val="2"/>
      </rPr>
      <t>1</t>
    </r>
  </si>
  <si>
    <t>Shenzhen Qianhai Xinzhijiang Information Technology Co., Ltd.</t>
  </si>
  <si>
    <t>Shanghai Yucan Information Technology Co., Ltd.</t>
  </si>
  <si>
    <t>Onshore Subsidiaries of PDD Holdings Inc.</t>
  </si>
  <si>
    <t>Hong Kong Walnut Street Limited (Hong Kong)</t>
  </si>
  <si>
    <t>Radiance Sea Investment Limited (British Virgin Islands)</t>
  </si>
  <si>
    <t>Radiance Sea Group Limited (Cayman Islands)</t>
  </si>
  <si>
    <t>Radiance Sea Hong Kong Limited (Hong Kong)</t>
  </si>
  <si>
    <t>Pinduoduo Investment Limited (British Virgin Islands) and Subsidiaries</t>
  </si>
  <si>
    <t>Offshore Subsidiaries of PDD Holdings Inc.</t>
  </si>
  <si>
    <t>Consolidated Onshore Entities</t>
  </si>
  <si>
    <t>Consolidated Offshore Entities</t>
  </si>
  <si>
    <t>Consolidated Entities</t>
  </si>
  <si>
    <t>Note(s)</t>
  </si>
  <si>
    <t>(1) Includes restricted cash. 'VIE and Its Subsidiaries' held 99.6% and 99.7% of total restricted cash in FY21 and FY22, respectively.</t>
  </si>
  <si>
    <r>
      <t>Implied
Cash &amp; Invest.</t>
    </r>
    <r>
      <rPr>
        <b/>
        <u val="singleAccounting"/>
        <vertAlign val="superscript"/>
        <sz val="8"/>
        <color theme="1"/>
        <rFont val="Arial"/>
        <family val="2"/>
      </rPr>
      <t>1</t>
    </r>
  </si>
  <si>
    <t>% of Temu US Digital Ad Spend on FB + IG</t>
  </si>
  <si>
    <t>Temu US Digital Ad Spend</t>
  </si>
  <si>
    <t>Pathmatics</t>
  </si>
  <si>
    <t>Revenue from Top 10 China-Based Advertisers</t>
  </si>
  <si>
    <t>Share from Top 10 China-Based Advertisers</t>
  </si>
  <si>
    <t>Revenue from China-Based Advertisers</t>
  </si>
  <si>
    <t>Share from China-Based Advertisers</t>
  </si>
  <si>
    <t>"In 2023, revenue from China-based advertisers represented 10% of our overall revenue and contributed 5 percentage points to total worldwide revenue growth… I would also add here that our ad spend -- ad spend in China, I think we know that spend from a few of our larger advertisers has been an important contributor to strength in China broadly. But in fact, two-thirds of our China ad revenue came from advertisers outside the top 10 spenders in that country in 2023."</t>
  </si>
  <si>
    <r>
      <t>Meta (2/1/24)</t>
    </r>
    <r>
      <rPr>
        <b/>
        <sz val="8"/>
        <color theme="1"/>
        <rFont val="Arial"/>
        <family val="2"/>
      </rPr>
      <t xml:space="preserve"> - </t>
    </r>
    <r>
      <rPr>
        <b/>
        <i/>
        <sz val="8"/>
        <color theme="1"/>
        <rFont val="Arial"/>
        <family val="2"/>
      </rPr>
      <t>Q4 2023 Earnings Call</t>
    </r>
  </si>
  <si>
    <t>"PDD Holdings, the parent company of Temu, spent nearly $2 billion on advertisements last year at Meta, according to people familiar with the matter, surprising executives at the parent company of Facebook and Instagram. Temu also became one of Google’s top five advertisers by spending last year, according to people familiar with the business. A Temu spokesman disputed the $2 billion figure but declined to disclose the company’s spending levels at Meta."</t>
  </si>
  <si>
    <r>
      <t>WSJ (3/7/24)</t>
    </r>
    <r>
      <rPr>
        <b/>
        <sz val="8"/>
        <color theme="1"/>
        <rFont val="Arial"/>
        <family val="2"/>
      </rPr>
      <t xml:space="preserve"> - </t>
    </r>
    <r>
      <rPr>
        <b/>
        <i/>
        <sz val="8"/>
        <color theme="1"/>
        <rFont val="Arial"/>
        <family val="2"/>
      </rPr>
      <t>Temu’s Push Into America Pays Off Big Time for Meta and Google</t>
    </r>
  </si>
  <si>
    <t>"Multiple people close to Temu told LatePost that the business's marketing budget this year is between US$2 billion and US$3 billion."</t>
  </si>
  <si>
    <r>
      <t>LatePost (11/20/23)</t>
    </r>
    <r>
      <rPr>
        <b/>
        <sz val="8"/>
        <color theme="1"/>
        <rFont val="Arial"/>
        <family val="2"/>
      </rPr>
      <t xml:space="preserve"> - </t>
    </r>
    <r>
      <rPr>
        <b/>
        <i/>
        <sz val="8"/>
        <color theme="1"/>
        <rFont val="Arial"/>
        <family val="2"/>
      </rPr>
      <t>Fierce battle for overseas e-commerce: Temu doubles GMV target, SHEIN maintains profits, TikTok goes all out to attack the United States</t>
    </r>
  </si>
  <si>
    <t>Key Data Points on '23 Ad Spend</t>
  </si>
  <si>
    <t>Estimated Temu Global Ad Spend (RMB)</t>
  </si>
  <si>
    <t>Estimated Temu Global Ad Spend</t>
  </si>
  <si>
    <t>FY23 Temu Global Ad Spend</t>
  </si>
  <si>
    <t>% of FY23 Temu Global Ad Spend per Pathmatics</t>
  </si>
  <si>
    <t>FY23 Temu Global Ad Spend per Pathmatics</t>
  </si>
  <si>
    <t>Temu Global Ad Spend per Pathmatics</t>
  </si>
  <si>
    <t>==&gt; % of digital + traditional likley lower</t>
  </si>
  <si>
    <t>==&gt; max potential Temu ad spend on Meta</t>
  </si>
  <si>
    <t>Temu Ad Spend on Meta</t>
  </si>
  <si>
    <t>Temu US Digital Ad Spend on Meta</t>
  </si>
  <si>
    <t>(USD in millions, unless otherwise noted)</t>
  </si>
  <si>
    <t>% of Temu Ad Spend on Meta</t>
  </si>
  <si>
    <t>Implied Temu Ad Spend</t>
  </si>
  <si>
    <t>"We believe Temu spend RMB 23-24bn on S&amp;M in FY23, and around RMB 2bn in FY22. This is based on media reports and interviews with ad agencies. Temu cooperates with over 20 ad agencies. Each agency only knows their own numbers. We interviewed 4-5 ad agencies. My conviction level in our Temu S&amp;M estimate is medium ot high. The total amount should be similar to what we estimated."</t>
  </si>
  <si>
    <t>Advertising expenses and incentive programs</t>
  </si>
  <si>
    <t>Temu S&amp;M Analysis</t>
  </si>
  <si>
    <t>Estimated Temu S&amp;M</t>
  </si>
  <si>
    <t>Estimated Temu S&amp;M (RMB)</t>
  </si>
  <si>
    <t>Temu US Ad Spend per Pathmatics</t>
  </si>
  <si>
    <t>Temu ex-US Ad Spend per Pathmatics</t>
  </si>
  <si>
    <t>US Coupon Rate % per YipitData</t>
  </si>
  <si>
    <t>CRC Adjustment for International Markets</t>
  </si>
  <si>
    <t>Estimated Temu Net GMV (Before Coupons)</t>
  </si>
  <si>
    <t>Estimated Temu Incentives</t>
  </si>
  <si>
    <t>Ad Spend</t>
  </si>
  <si>
    <t>Consumer Incentives</t>
  </si>
  <si>
    <t>Estimated Temu Global Coupon Rate %</t>
  </si>
  <si>
    <t>S&amp;M</t>
  </si>
  <si>
    <t>Estimated Temu Incentives (RMB)</t>
  </si>
  <si>
    <t>Supplemental</t>
  </si>
  <si>
    <r>
      <rPr>
        <i/>
        <u/>
        <sz val="8"/>
        <color theme="1"/>
        <rFont val="Arial"/>
        <family val="2"/>
      </rPr>
      <t>Memo:</t>
    </r>
    <r>
      <rPr>
        <i/>
        <sz val="8"/>
        <color theme="1"/>
        <rFont val="Arial"/>
        <family val="2"/>
      </rPr>
      <t xml:space="preserve"> Consensus Temu S&amp;M</t>
    </r>
  </si>
  <si>
    <t>CRC Estimates</t>
  </si>
  <si>
    <t>Sales Growth per OTR</t>
  </si>
  <si>
    <t>Ad Spending (% of Sales) per OTR</t>
  </si>
  <si>
    <t>Net GMV Growth per CRC</t>
  </si>
  <si>
    <t>Net Take Rate % per CRC</t>
  </si>
  <si>
    <t>Merchant Support Initiative</t>
  </si>
  <si>
    <t>P&amp;L Initiatives</t>
  </si>
  <si>
    <t>Cash Flow Initiatives</t>
  </si>
  <si>
    <t>GS Est.</t>
  </si>
  <si>
    <t>GS Notes</t>
  </si>
  <si>
    <t>CRC Notes</t>
  </si>
  <si>
    <t>8.6m active merchants (Dec '21) x RMB 500 = RMB4.3bn</t>
  </si>
  <si>
    <t>RMB500 (50%) Reduction in Merchant Deposit
(for merchants meeting certain conditions)</t>
  </si>
  <si>
    <t xml:space="preserve">14.2m active merchants (Dec '23) x RMB 500 = RMB7.1bn
50% x RMB15.1 merchant deposits (Dec '22) = RMB7.5bn
50% x RMB18.0 merchant deposits (Jun '23) = RMB9.0bn
</t>
  </si>
  <si>
    <t>Temu Net GMV (CRC Est.)</t>
  </si>
  <si>
    <t>Y/Y % Change, Organic, cFX</t>
  </si>
  <si>
    <t>TEVQUklDRS4xLzEvMjAxNi4xMi8zMS8yMDE2AQAAAALtWgACAAAAETAuMTUwNjAxNjc5Mzg1MjQ2ADtmIMj8lt0IbMBG3fyW3QgyQ0lRQVZHLiRVU0RDTlkuSVFfTEFTVFNBTEVQUklDRS4xLzEvMjAxNy4zLzMxLzIwMTcBAAAAAu1aAAIAAAARMC4xNDUyMDg0NzM3ODg4ODkAO2YgyPyW3QhswEbd/JbdCDJDSVFBVkcuJFVTRENOWS5JUV9MQVNUU0FMRVBSSUNFLjQvMS8yMDE3LjYvMzAvMjAxNwEAAAAC7VoAAgAAABEwLjE0NTc1NTc2MTM5NTYwNAA7ZiDI/JbdCHJovd38lt0IMkNJUUFWRy4kVVNEQ05ZLklRX0xBU1RTQUxFUFJJQ0UuNy8xLzIwMTcuOS8zMC8yMDE3AQAAAALtWgACAAAAEDAuMTQ5OTQ1NDI3NzM5MTMAO2YgyPyW3QhyaL3d/JbdCDRDSVFBVkcuJFVTRENOWS5JUV9MQVNUU0FMRVBSSUNFLjEwLzEvMjAxNy4xMi8zMS8yMDE3AQAAAALtWgACAAAAETAuMTUxMjMxODQxMDk3ODI2ADtmIMj8lt0IVxi93fyW3QgyQ0lRQVZHLiRVU0RDTlkuSVFfTEFTVFNBTEVQUklDRS43LzEvMjAyMy45LzMwLzIwMjMBAAAAAu1aAAIAAAARMC4xMzgwNjQ5NTY5MzQ3ODMAO2YgyPyW3QhXGL3d/JbdCDJDSVFBVkcuJFVTRENOWS5JUV9MQVNUU0FMRVBSSUNFLjcvMS8yMDIyLjkvMzAvMjAyMgEAAAAC7VoAAgAAABEwLjE0NjEzNDY1Njk1NjUyMgA7ZiDI/JbdCEKQvd38lt0IMkNJUUFWRy4kVVNEQ05ZLklR</t>
  </si>
  <si>
    <t>X0xBU1RTQUxFUFJJQ0UuNy8xLzIwMjEuOS8zMC8yMDIxAQAAAALtWgACAAAAETAuMTU0NTQzMjM0NTk3ODI2ADtmIMj8lt0IQpC93fyW3QgyQ0lRQVZHLiRVU0RDTlkuSVFfTEFTVFNBTEVQUklDRS43LzEvMjAyMC45LzMwLzIwMjABAAAAAu1aAAIAAAARMC4xNDQ1NDU0MjI4MjYwODcAO2YgyPyW3QgmQb3d/JbdCDJDSVFBVkcuJFVTRENOWS5JUV9MQVNUU0FMRVBSSUNFLjcvMS8yMDE5LjkvMzAvMjAxOQEAAAAC7VoAAgAAABEwLjE0MjU1MjEyNjQ3ODI2MQA7ZiDI/JbdCHJovd38lt0INENJUUFWRy4kVVNEQ05ZLklRX0xBU1RTQUxFUFJJQ0UuMTAvMS8yMDIzLjEyLzMxLzIwMjMBAAAAAu1aAAIAAAARMC4xMzg0ODMyNDMyMTczOTEAO2YgyPyW3Qgetr3d/JbdCDRDSVFBVkcuJFVTRENOWS5JUV9MQVNUU0FMRVBSSUNFLjEwLzEvMjAyMi4xMi8zMS8yMDIyAQAAAALtWgACAAAAETAuMTQwNzI2NDczODI2MDg3ADtmIMj8lt0IXt293fyW3Qg0Q0lRQVZHLiRVU0RDTlkuSVFfTEFTVFNBTEVQUklDRS4xMC8xLzIwMjEuMTIvMzEvMjAyMQEAAAAC7VoAAgAAABEwLjE1NjQxMjkyMTE1MjE3NAA7ZiDI/JbdCHJovd38lt0INENJUUFWRy4kVVNEQ05ZLklRX0xBU1RTQUxFUFJJQ0UuMTAvMS8yMDIwLjEyLzMxLzIwMjABAAAAAu1aAAIAAAARMC4xNTEwMzc5MjM4ODA0MzUAO2YgyPyW3QhCkL3d/JbdCDRDSVFB</t>
  </si>
  <si>
    <t>VkcuJFVTRENOWS5JUV9MQVNUU0FMRVBSSUNFLjEwLzEvMjAxOS4xMi8zMS8yMDE5AQAAAALtWgACAAAAETAuMTQxOTkwMzU1MzM2OTU3ADtmIMj8lt0IXt293fyW3QgyQ0lRQVZHLiRVU0RDTlkuSVFfTEFTVFNBTEVQUklDRS4xLzEvMjAyMy4zLzMxLzIwMjMBAAAAAu1aAAIAAAAMMC4xNDYxNzE1MDMzADtmIMj8lt0IBwS+3fyW3QgyQ0lRQVZHLiRVU0RDTlkuSVFfTEFTVFNBTEVQUklDRS4xLzEvMjAyMi4zLzMxLzIwMjIBAAAAAu1aAAIAAAARMC4xNTc1MzEyNzQwMzMzMzMAO2YgyPyW3Qgetr3d/JbdCDJDSVFBVkcuJFVTRENOWS5JUV9MQVNUU0FMRVBSSUNFLjEvMS8yMDIxLjMvMzEvMjAyMQEAAAAC7VoAAgAAABEwLjE1NDI1MTQzNTE2NjY2NwA7ZiDI/JbdCB62vd38lt0IMkNJUUFWRy4kVVNEQ05ZLklRX0xBU1RTQUxFUFJJQ0UuMS8xLzIwMjAuMy8zMS8yMDIwAQAAAALtWgACAAAAETAuMTQzMjgxODI5NjQ4MzUyADtmIMj8lt0IBwS+3fyW3QgyQ0lRQVZHLiRVU0RDTlkuSVFfTEFTVFNBTEVQUklDRS4xLzEvMjAxOS4zLzMxLzIwMTkBAAAAAu1aAAIAAAARMC4xNDgxOTk2NTE1MTExMTEAO2YgyPyW3Qj+Kr7d/JbdCDJDSVFBVkcuJFVTRENOWS5JUV9MQVNUU0FMRVBSSUNFLjQvMS8yMDIzLjYvMzAvMjAyMwEAAAAC7VoAAgAAABEwLjE0MjcxMDMwNjk2NzAzMwA7ZiDI/JbdCF7dvd38lt0IMkNJ</t>
  </si>
  <si>
    <t>UUFWRy4kVVNEQ05ZLklRX0xBU1RTQUxFUFJJQ0UuNC8xLzIwMjIuNi8zMC8yMDIyAQAAAALtWgACAAAAETAuMTUxMzg1MjIyMTIwODc5ADtmIMj8lt0IXt293fyW3QgyQ0lRQVZHLiRVU0RDTlkuSVFfTEFTVFNBTEVQUklDRS40LzEvMjAyMS42LzMwLzIwMjEBAAAAAu1aAAIAAAARMC4xNTQ4MzAzNTg4MDIxOTgAO2YgyPyW3QjxUr7d/JbdCDJDSVFBVkcuJFVTRENOWS5JUV9MQVNUU0FMRVBSSUNFLjQvMS8yMDIwLjYvMzAvMjAyMAEAAAAC7VoAAgAAABEwLjE0MTEzNjk2OTQxNzU4MgA7ZiDI/JbdCAcEvt38lt0IMkNJUUFWRy4kVVNEQ05ZLklRX0xBU1RTQUxFUFJJQ0UuNC8xLzIwMTkuNi8zMC8yMDE5AQAAAALtWgACAAAAETAuMTQ2NjA1MzI5MTg2ODEzADtmIMj8lt0IBwS+3fyW3QgzQ0lRQVZHLiRVU0RDTlkuSVFfTEFTVFNBTEVQUklDRS4xLzEvMjAxNy4xMi8zMS8yMDE3AQAAAALtWgACAAAADDAuMTQ4MDU3MTExNAA7ZiDI/JbdCP4qvt38lt0IM0NJUUFWRy4kVVNEQ05ZLklRX0xBU1RTQUxFUFJJQ0UuMS8xLzIwMTguMTIvMzEvMjAxOAEAAAAC7VoAAgAAABEwLjE1MTM4NjkxNzUwOTU4OQA7ZiDI/JbdCP4qvt38lt0IM0NJUUFWRy4kVVNEQ05ZLklRX0xBU1RTQUxFUFJJQ0UuMS8xLzIwMTkuMTIvMzEvMjAxOQEAAAAC7VoAAgAAABAwLjE0NDgxMzU5NDI5ODYzADtmIMj8lt0I/iq+3fyW3Qgz</t>
  </si>
  <si>
    <t>Q0lRQVZHLiRVU0RDTlkuSVFfTEFTVFNBTEVQUklDRS4xLzEvMjAyMC4xMi8zMS8yMDIwAQAAAALtWgACAAAAETAuMTQ1MDE1Nzg4NTU3Mzc3ADtmIMj8lt0I8VK+3fyW3QgzQ0lRQVZHLiRVU0RDTlkuSVFfTEFTVFNBTEVQUklDRS4xLzEvMjAyMS4xMi8zMS8yMDIxAQAAAALtWgACAAAAEDAuMTU1MDE0MTMxOTA0MTEAO2YgyPyW3QjxUr7d/JbdCDNDSVFBVkcuJFVTRENOWS5JUV9MQVNUU0FMRVBSSUNFLjEvMS8yMDIyLjEyLzMxLzIwMjIBAAAAAu1aAAIAAAARMC4xNDg4OTA2NjgyNDEwOTYAO2YgyPyW3QjleL7d/JbdCDNDSVFBVkcuJFVTRENOWS5JUV9MQVNUU0FMRVBSSUNFLjEvMS8yMDIzLjEyLzMxLzIwMjMBAAAAAu1aAAIAAAARMC4xNDEzMjc0MTgyMDU0NzkAO2YgyPyW3QjleL7d/JbdCCtDSVFBVkcuJFVTRENOWS5JUV9MQVNUU0FMRVBSSUNFLi4xMi8zMS8yMDIwBQAAAAEAAAAIAAAAEihJbnZhbGlkIEVuZCBEYXRlKeAyht38lt0I4DKG3fyW3QgrQ0lRQVZHLiRVU0RDTlkuSVFfTEFTVFNBTEVQUklDRS4uMTIvMzEvMjAyMQUAAAABAAAACAAAABIoSW52YWxpZCBFbmQgRGF0ZSngMobd/JbdCOAyht38lt0IK0NJUUFWRy4kVVNEQ05ZLklRX0xBU1RTQUxFUFJJQ0UuLjEyLzMxLzIwMjIFAAAAAQAAAAgAAAASKEludmFsaWQgRW5kIERhdGUp4DKG3fyW3QjgMobd/JbdCCtDSVFBVkcuJFVTRENO</t>
  </si>
  <si>
    <t>WS5JUV9MQVNUU0FMRVBSSUNFLi4xMi8zMS8yMDIzBQAAAAEAAAAIAAAAEihJbnZhbGlkIEVuZCBEYXRlKeAyht38lt0I4DKG3fyW3QgrQ0lRQVZHLiRVU0RDTlkuSVFfTEFTVFNBTEVQUklDRS4uMTIvMzEvMjAxNwUAAAABAAAACAAAABIoSW52YWxpZCBFbmQgRGF0ZSngMobd/JbdCOAyht38lt0IK0NJUUFWRy4kVVNEQ05ZLklRX0xBU1RTQUxFUFJJQ0UuLjEyLzMxLzIwMTgFAAAAAQAAAAgAAAASKEludmFsaWQgRW5kIERhdGUp4DKG3fyW3QjgMobd/JbdCCtDSVFBVkcuJFVTRENOWS5JUV9MQVNUU0FMRVBSSUNFLi4xMi8zMS8yMDE5BQAAAAEAAAAIAAAAEihJbnZhbGlkIEVuZCBEYXRlKeAyht38lt0I4DKG3fyW3QgqQ0lRQVZHLiRVU0RDTlkuSVFfTEFTVFNBTEVQUklDRS4uNi8zMC8yMDIxBQAAAAEAAAAIAAAAEihJbnZhbGlkIEVuZCBEYXRlKeAyht38lt0I4DKG3fyW3QgqQ0lRQVZHLiRVU0RDTlkuSVFfTEFTVFNBTEVQUklDRS4uNi8zMC8yMDIwBQAAAAEAAAAIAAAAEihJbnZhbGlkIEVuZCBEYXRlKeAyht38lt0I4DKG3fyW3QgqQ0lRQVZHLiRVU0RDTlkuSVFfTEFTVFNBTEVQUklDRS4uNi8zMC8yMDE5BQAAAAEAAAAIAAAAEihJbnZhbGlkIEVuZCBEYXRlKeAyht38lt0I4DKG3fyW3QgqQ0lRQVZHLiRVU0RDTlkuSVFfTEFTVFNBTEVQUklDRS4uMy8zMS8yMDIwBQAAAAEAAAAIAAAAEihJbnZh</t>
  </si>
  <si>
    <t>bGlkIEVuZCBEYXRlKeAyht38lt0I4DKG3fyW3QgqQ0lRQVZHLiRVU0RDTlkuSVFfTEFTVFNBTEVQUklDRS4uMy8zMS8yMDE5BQAAAAEAAAAIAAAAEihJbnZhbGlkIEVuZCBEYXRlKeAyht38lt0I4DKG3fyW3QgqQ0lRQVZHLiRVU0RDTlkuSVFfTEFTVFNBTEVQUklDRS4uNi8zMC8yMDIzBQAAAAEAAAAIAAAAEihJbnZhbGlkIEVuZCBEYXRlKeAyht38lt0I4DKG3fyW3QgqQ0lRQVZHLiRVU0RDTlkuSVFfTEFTVFNBTEVQUklDRS4uNi8zMC8yMDIyBQAAAAEAAAAIAAAAEihJbnZhbGlkIEVuZCBEYXRlKeAyht38lt0I4DKG3fyW3QgqQ0lRQVZHLiRVU0RDTlkuSVFfTEFTVFNBTEVQUklDRS4uMy8zMS8yMDIzBQAAAAEAAAAIAAAAEihJbnZhbGlkIEVuZCBEYXRlKeAyht38lt0I4DKG3fyW3QgqQ0lRQVZHLiRVU0RDTlkuSVFfTEFTVFNBTEVQUklDRS4uMy8zMS8yMDIyBQAAAAEAAAAIAAAAEihJbnZhbGlkIEVuZCBEYXRlKeAyht38lt0I4DKG3fyW3QgqQ0lRQVZHLiRVU0RDTlkuSVFfTEFTVFNBTEVQUklDRS4uMy8zMS8yMDIxBQAAAAEAAAAIAAAAEihJbnZhbGlkIEVuZCBEYXRlKeAyht38lt0I4DKG3fyW3QgqQ0lRQVZHLiRVU0RDTlkuSVFfTEFTVFNBTEVQUklDRS4uOS8zMC8yMDIyBQAAAAEAAAAIAAAAEihJbnZhbGlkIEVuZCBEYXRlKeAyht38lt0I4DKG3fyW3QgqQ0lRQVZHLiRVU0RDTlkuSVFfTEFT</t>
  </si>
  <si>
    <t>VFNBTEVQUklDRS4uOS8zMC8yMDIxBQAAAAEAAAAIAAAAEihJbnZhbGlkIEVuZCBEYXRlKeAyht38lt0I4DKG3fyW3QgqQ0lRQVZHLiRVU0RDTlkuSVFfTEFTVFNBTEVQUklDRS4uOS8zMC8yMDIwBQAAAAEAAAAIAAAAEihJbnZhbGlkIEVuZCBEYXRlKeAyht38lt0I4DKG3fyW3QgqQ0lRQVZHLiRVU0RDTlkuSVFfTEFTVFNBTEVQUklDRS4uOS8zMC8yMDE5BQAAAAEAAAAIAAAAEihJbnZhbGlkIEVuZCBEYXRlKeAyht38lt0I4DKG3fyW3QgqQ0lRQVZHLiRVU0RDTlkuSVFfTEFTVFNBTEVQUklDRS4uNi8zMC8yMDE3BQAAAAEAAAAIAAAAEihJbnZhbGlkIEVuZCBEYXRlKeAyht38lt0I4DKG3fyW3QgqQ0lRQVZHLiRVU0RDTlkuSVFfTEFTVFNBTEVQUklDRS4uOS8zMC8yMDE3BQAAAAEAAAAIAAAAEihJbnZhbGlkIEVuZCBEYXRlKeAyht38lt0I4DKG3fyW3QgqQ0lRQVZHLiRVU0RDTlkuSVFfTEFTVFNBTEVQUklDRS4uOS8zMC8yMDIzBQAAAAEAAAAIAAAAEihJbnZhbGlkIEVuZCBEYXRlKeAyht38lt0I4DKG3fyW3QgqQ0lRQVZHLiRVU0RDTlkuSVFfTEFTVFNBTEVQUklDRS4uOS8zMC8yMDE4BQAAAAEAAAAIAAAAEihJbnZhbGlkIEVuZCBEYXRlKeAyht38lt0I4DKG3fyW3QgqQ0lRQVZHLiRVU0RDTlkuSVFfTEFTVFNBTEVQUklDRS4uNi8zMC8yMDI0BQAAAAEAAAAIAAAAEihJbnZhbGlkIEVuZCBEYXRl</t>
  </si>
  <si>
    <t>BAABTAhSRVBPUlRFRAFI/////wFQSAAAABxDSVEuJFVTRENOWS5JUV9MQVNUU0FMRVBSSUNFAQAAAALtWgACAAAACzAuMTM4NjI1MTE2ADtmIMj8lt0IsNZF3fyW3QggQ0lRLlBERC5JUV9FUFNfRVNULkZZMjAyNC4uLi5VU0QBAAAAbdggIgIAAAAQMTEuMjIyODM0MzA3NzU1MwEOAAAABQAAAAEzAQAAAAk1NzQ0MTcyMjACAAAACjEwMDQyNDMzNjQDAAAABjEwMDE3MwQAAAABMgYAAAABMAcAAAADMTYwCAAAAAEwCQAAAAExCgAAAAEwCwAAAAsxNDEyNTE0ODIwMAwAAAABMQ0AAAAJNS8yMC8yMDI1EAAAAAoxMi8zMS8yMDI0O2YgyPyW3Qi5LELV/ZbdCCBDSVEuUERELklRX0VQU19FU1QuRlkyMDI1Li4uLlVTRAEAAABt2CAiAgAAABAxMi4yNTczNjU4MzY4MzE0AQ4AAAAFAAAAATMBAAAACTU3NDQxNzIyMAIAAAAKMTAwNDI0MzM2OQMAAAAGMTAwMTczBAAAAAEyBgAAAAEwBwAAAAMxNjAIAAAAATAJAAAAATEKAAAAATALAAAACzE0MzI2NzA5NjM1DAAAAAExDQAAAAk1LzIwLzIwMjUQAAAACTUvMTkvMjAyNTtmIMj8lt0Is1NC1f2W3QggQ0lRLlBERC5JUV9FUFNfRVNULkZZMjAyNi4uLi5VU0QBAAAAbdggIgIAAAAQMTQuNzgwNzEwMzA0NTg4OAEOAAAABQAAAAEzAQAAAAk1NzQ0MTcyMjACAAAACjEwMDQyNDMzNzQDAAAABjEwMDE3MwQAAAABMgYAAAABMAcAAAADMTYwCAAAAAEwCQAAAAExCgAAAAEw</t>
  </si>
  <si>
    <t>CwAAAAsxNDMyNjcwOTYxNwwAAAABMQ0AAAAJNS8yMC8yMDI1EAAAAAk1LzE5LzIwMjU7ZiDI/JbdCLNTQtX9lt0IMkNJUUFWRy4kVVNEQ05ZLklRX0xBU1RTQUxFUFJJQ0UuNC8xLzIwMjQuNi8zMC8yMDI0AQAAAALtWgACAAAAETAuMTM4MDkyMTU5OTM0MDY2ADtmIMj8lt0IEvO83fyW3QgyQ0lRQVZHLiRVU0RDTlkuSVFfTEFTVFNBTEVQUklDRS4xLzEvMjAyNC4zLzMxLzIwMjQBAAAAAu1aAAIAAAARMC4xMzkyODg2Mzk4NTcxNDMAO2YgyPyW3QgS87zd/JbdCDJDSVFBVkcuJFVTRENOWS5JUV9MQVNUU0FMRVBSSUNFLjEvMS8yMDE4LjMvMzEvMjAxOAEAAAAC7VoAAgAAABEwLjE1NzMyODYzMDkyMjIyMgA7ZiDI/JbdCFcYvd38lt0IMkNJUUFWRy4kVVNEQ05ZLklRX0xBU1RTQUxFUFJJQ0UuNC8xLzIwMTguNi8zMC8yMDE4AQAAAALtWgACAAAAETAuMTU2ODE1NTM3ODAyMTk4ADtmIMj8lt0IVxi93fyW3QgyQ0lRQVZHLiRVU0RDTlkuSVFfTEFTVFNBTEVQUklDRS43LzEvMjAxOC45LzMwLzIwMTgBAAAAAu1aAAIAAAARMC4xNDY5ODM2NTAxNTIxNzQAO2YgyPyW3QgmQb3d/JbdCDRDSVFBVkcuJFVTRENOWS5JUV9MQVNUU0FMRVBSSUNFLjEwLzEvMjAxOC4xMi8zMS8yMDE4AQAAAALtWgACAAAAETAuMTQ0NjA4MDI1NTg2OTU3ADtmIMj8lt0IJkG93fyW3QgzQ0lRQVZHLiRVU0RDTlkuSVFfTEFTVFNB</t>
  </si>
  <si>
    <t>KeAyht38lt0I4DKG3fyW3QgqQ0lRQVZHLiRVU0RDTlkuSVFfTEFTVFNBTEVQUklDRS4uMy8zMS8yMDI0BQAAAAEAAAAIAAAAEihJbnZhbGlkIEVuZCBEYXRlKeAyht38lt0I4DKG3fyW3QgqQ0lRQVZHLiRVU0RDTlkuSVFfTEFTVFNBTEVQUklDRS4uMy8zMS8yMDE4BQAAAAEAAAAIAAAAEihJbnZhbGlkIEVuZCBEYXRlKYpYht38lt0IiliG3fyW3QgqQ0lRQVZHLiRVU0RDTlkuSVFfTEFTVFNBTEVQUklDRS4uNi8zMC8yMDE4BQAAAAEAAAAIAAAAEihJbnZhbGlkIEVuZCBEYXRlKYpYht38lt0IiliG3fyW3QgmQ0lRLiRDTllVU0QuSVFfTEFTVFNBTEVQUklDRS45LzMwLzIwMjQBAAAAgutaAAIAAAAGNy4wMTQ1AKtHVjn9lt0ICBxB1f2W3Q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</si>
</sst>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7" formatCode="&quot;$&quot;#,##0.00_);\(&quot;$&quot;#,##0.00\)"/>
    <numFmt numFmtId="41" formatCode="_(* #,##0_);_(* \(#,##0\);_(* &quot;-&quot;_);_(@_)"/>
    <numFmt numFmtId="43" formatCode="_(* #,##0.00_);_(* \(#,##0.00\);_(* &quot;-&quot;??_);_(@_)"/>
    <numFmt numFmtId="164" formatCode="_(* #,##0.00_);_(* \(#,##0.00\);_(* &quot;-&quot;_);_(@_)"/>
    <numFmt numFmtId="165" formatCode="_(* #,##0%_);_(* \(#,##0%\);_(* &quot;-&quot;_);_(@_)"/>
    <numFmt numFmtId="166" formatCode="_(* #,##0.0%_);_(* \(#,##0.0%\);_(* &quot;-&quot;_);_(@_)"/>
    <numFmt numFmtId="167" formatCode="m/d/yy;@"/>
    <numFmt numFmtId="168" formatCode="#,##0.0%_);\(#,##0.0%\)"/>
    <numFmt numFmtId="169" formatCode="0.0%"/>
    <numFmt numFmtId="170" formatCode="#,##0.0\x_);\(#,##0.0\x\)"/>
    <numFmt numFmtId="171" formatCode="#,##0%_);\(#,##0%\)"/>
    <numFmt numFmtId="172" formatCode="_(* #,##0_);_(* \(#,##0\);_(* &quot;-&quot;??_);_(@_)"/>
    <numFmt numFmtId="173" formatCode="0.000%"/>
    <numFmt numFmtId="174" formatCode="#,##0.00;[Red]\(#,##0.00\)"/>
    <numFmt numFmtId="175" formatCode="_(* #,##0.00%_);_(* \(#,##0.00%\);_(* &quot;-&quot;??_);_(@_)"/>
    <numFmt numFmtId="176" formatCode="_(* #,##0.0_);_(* \(#,##0.0\);_(* &quot;-&quot;_);_(@_)"/>
    <numFmt numFmtId="177" formatCode="_(* #,##0%_);_(* \(#,##0%\);_(* &quot;-&quot;??_);_(@_)"/>
    <numFmt numFmtId="178" formatCode="0.0000000000000000%"/>
  </numFmts>
  <fonts count="45" x14ac:knownFonts="1">
    <font>
      <sz val="8"/>
      <color theme="1"/>
      <name val="Arial"/>
      <family val="2"/>
    </font>
    <font>
      <b/>
      <sz val="8"/>
      <color theme="1"/>
      <name val="Arial"/>
      <family val="2"/>
    </font>
    <font>
      <i/>
      <sz val="8"/>
      <color theme="1"/>
      <name val="Arial"/>
      <family val="2"/>
    </font>
    <font>
      <b/>
      <u val="singleAccounting"/>
      <sz val="8"/>
      <color theme="1"/>
      <name val="Arial"/>
      <family val="2"/>
    </font>
    <font>
      <sz val="8"/>
      <name val="Arial"/>
      <family val="2"/>
    </font>
    <font>
      <sz val="8"/>
      <color rgb="FF0000FF"/>
      <name val="Arial"/>
      <family val="2"/>
    </font>
    <font>
      <u val="singleAccounting"/>
      <sz val="8"/>
      <color rgb="FF0000FF"/>
      <name val="Arial"/>
      <family val="2"/>
    </font>
    <font>
      <u val="singleAccounting"/>
      <sz val="8"/>
      <name val="Arial"/>
      <family val="2"/>
    </font>
    <font>
      <u val="singleAccounting"/>
      <sz val="8"/>
      <color theme="1"/>
      <name val="Arial"/>
      <family val="2"/>
    </font>
    <font>
      <i/>
      <u/>
      <sz val="8"/>
      <color theme="1"/>
      <name val="Arial"/>
      <family val="2"/>
    </font>
    <font>
      <i/>
      <sz val="8"/>
      <name val="Arial"/>
      <family val="2"/>
    </font>
    <font>
      <b/>
      <u/>
      <sz val="8"/>
      <color theme="1"/>
      <name val="Arial"/>
      <family val="2"/>
    </font>
    <font>
      <i/>
      <u val="singleAccounting"/>
      <sz val="8"/>
      <color theme="1"/>
      <name val="Arial"/>
      <family val="2"/>
    </font>
    <font>
      <b/>
      <sz val="8"/>
      <color rgb="FF0000FF"/>
      <name val="Arial"/>
      <family val="2"/>
    </font>
    <font>
      <b/>
      <sz val="8"/>
      <name val="Arial"/>
      <family val="2"/>
    </font>
    <font>
      <sz val="8"/>
      <color theme="1"/>
      <name val="Arial"/>
      <family val="2"/>
    </font>
    <font>
      <sz val="8"/>
      <color rgb="FFFF0000"/>
      <name val="Arial"/>
      <family val="2"/>
    </font>
    <font>
      <sz val="8"/>
      <color theme="0"/>
      <name val="Arial"/>
      <family val="2"/>
    </font>
    <font>
      <u/>
      <sz val="8"/>
      <color theme="1"/>
      <name val="Arial"/>
      <family val="2"/>
    </font>
    <font>
      <b/>
      <i/>
      <sz val="8"/>
      <color theme="1"/>
      <name val="Arial"/>
      <family val="2"/>
    </font>
    <font>
      <u val="singleAccounting"/>
      <sz val="8"/>
      <color rgb="FF7030A0"/>
      <name val="Arial"/>
      <family val="2"/>
    </font>
    <font>
      <u val="singleAccounting"/>
      <sz val="8"/>
      <color rgb="FFFF0000"/>
      <name val="Arial"/>
      <family val="2"/>
    </font>
    <font>
      <sz val="11"/>
      <color theme="1"/>
      <name val="Calibri"/>
      <family val="2"/>
      <scheme val="minor"/>
    </font>
    <font>
      <sz val="10"/>
      <color theme="1"/>
      <name val="Arial"/>
      <family val="2"/>
    </font>
    <font>
      <sz val="8"/>
      <color rgb="FF00B050"/>
      <name val="Arial"/>
      <family val="2"/>
    </font>
    <font>
      <i/>
      <sz val="8"/>
      <color rgb="FFFF0000"/>
      <name val="Arial"/>
      <family val="2"/>
    </font>
    <font>
      <u val="singleAccounting"/>
      <sz val="8"/>
      <color rgb="FF00B050"/>
      <name val="Arial"/>
      <family val="2"/>
    </font>
    <font>
      <i/>
      <sz val="8"/>
      <color rgb="FF00B050"/>
      <name val="Arial"/>
      <family val="2"/>
    </font>
    <font>
      <i/>
      <sz val="8"/>
      <color rgb="FF0000FF"/>
      <name val="Arial"/>
      <family val="2"/>
    </font>
    <font>
      <i/>
      <u val="singleAccounting"/>
      <sz val="8"/>
      <name val="Arial"/>
      <family val="2"/>
    </font>
    <font>
      <i/>
      <u val="singleAccounting"/>
      <sz val="8"/>
      <color rgb="FFFF0000"/>
      <name val="Arial"/>
      <family val="2"/>
    </font>
    <font>
      <i/>
      <u val="singleAccounting"/>
      <sz val="8"/>
      <color rgb="FF0000FF"/>
      <name val="Arial"/>
      <family val="2"/>
    </font>
    <font>
      <b/>
      <i/>
      <u val="singleAccounting"/>
      <sz val="8"/>
      <color theme="1"/>
      <name val="Arial"/>
      <family val="2"/>
    </font>
    <font>
      <sz val="9"/>
      <color indexed="81"/>
      <name val="Tahoma"/>
      <family val="2"/>
    </font>
    <font>
      <b/>
      <sz val="9"/>
      <color indexed="81"/>
      <name val="Tahoma"/>
      <family val="2"/>
    </font>
    <font>
      <sz val="8"/>
      <color rgb="FF7030A0"/>
      <name val="Arial"/>
      <family val="2"/>
    </font>
    <font>
      <u/>
      <sz val="8"/>
      <color rgb="FFFF0000"/>
      <name val="Arial"/>
      <family val="2"/>
    </font>
    <font>
      <u/>
      <sz val="8"/>
      <name val="Arial"/>
      <family val="2"/>
    </font>
    <font>
      <sz val="7"/>
      <color rgb="FF000000"/>
      <name val="Arial"/>
      <family val="2"/>
    </font>
    <font>
      <b/>
      <sz val="8"/>
      <color rgb="FFFF0000"/>
      <name val="Arial"/>
      <family val="2"/>
    </font>
    <font>
      <b/>
      <sz val="8"/>
      <color rgb="FFFFC000"/>
      <name val="Arial"/>
      <family val="2"/>
    </font>
    <font>
      <vertAlign val="superscript"/>
      <sz val="8"/>
      <color theme="1"/>
      <name val="Arial"/>
      <family val="2"/>
    </font>
    <font>
      <b/>
      <i/>
      <sz val="8"/>
      <color rgb="FFFF0000"/>
      <name val="Arial"/>
      <family val="2"/>
    </font>
    <font>
      <b/>
      <u val="singleAccounting"/>
      <vertAlign val="superscript"/>
      <sz val="8"/>
      <color theme="1"/>
      <name val="Arial"/>
      <family val="2"/>
    </font>
    <font>
      <i/>
      <sz val="8"/>
      <color rgb="FF7030A0"/>
      <name val="Arial"/>
      <family val="2"/>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CCFFCC"/>
        <bgColor indexed="64"/>
      </patternFill>
    </fill>
  </fills>
  <borders count="8">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s>
  <cellStyleXfs count="8">
    <xf numFmtId="0" fontId="0" fillId="0" borderId="0"/>
    <xf numFmtId="0" fontId="22" fillId="0" borderId="0"/>
    <xf numFmtId="9" fontId="23" fillId="0" borderId="0" applyFont="0" applyFill="0" applyBorder="0" applyAlignment="0" applyProtection="0"/>
    <xf numFmtId="0" fontId="15" fillId="0" borderId="0"/>
    <xf numFmtId="9" fontId="22" fillId="0" borderId="0" applyFont="0" applyFill="0" applyBorder="0" applyAlignment="0" applyProtection="0"/>
    <xf numFmtId="9" fontId="2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cellStyleXfs>
  <cellXfs count="297">
    <xf numFmtId="0" fontId="0" fillId="0" borderId="0" xfId="0"/>
    <xf numFmtId="0" fontId="1" fillId="0" borderId="0" xfId="0" applyFont="1"/>
    <xf numFmtId="0" fontId="1" fillId="0" borderId="1" xfId="0" applyFont="1" applyBorder="1"/>
    <xf numFmtId="0" fontId="2" fillId="0" borderId="0" xfId="0" applyFont="1"/>
    <xf numFmtId="0" fontId="0" fillId="0" borderId="0" xfId="0" applyAlignment="1">
      <alignment horizontal="left" indent="1"/>
    </xf>
    <xf numFmtId="0" fontId="0" fillId="0" borderId="3" xfId="0" applyBorder="1"/>
    <xf numFmtId="0" fontId="1" fillId="0" borderId="2" xfId="0" applyFont="1" applyBorder="1"/>
    <xf numFmtId="0" fontId="3" fillId="0" borderId="0" xfId="0" applyFont="1" applyAlignment="1">
      <alignment horizontal="center"/>
    </xf>
    <xf numFmtId="0" fontId="1" fillId="0" borderId="1" xfId="0" applyFont="1" applyBorder="1" applyAlignment="1">
      <alignment horizontal="centerContinuous"/>
    </xf>
    <xf numFmtId="0" fontId="0" fillId="0" borderId="1" xfId="0" applyBorder="1" applyAlignment="1">
      <alignment horizontal="centerContinuous"/>
    </xf>
    <xf numFmtId="41" fontId="0" fillId="0" borderId="0" xfId="0" applyNumberFormat="1"/>
    <xf numFmtId="41" fontId="5" fillId="0" borderId="0" xfId="0" applyNumberFormat="1" applyFont="1"/>
    <xf numFmtId="41" fontId="5" fillId="0" borderId="0" xfId="0" applyNumberFormat="1" applyFont="1" applyAlignment="1">
      <alignment horizontal="right"/>
    </xf>
    <xf numFmtId="41" fontId="6" fillId="0" borderId="0" xfId="0" applyNumberFormat="1" applyFont="1"/>
    <xf numFmtId="41" fontId="4" fillId="0" borderId="0" xfId="0" applyNumberFormat="1" applyFont="1"/>
    <xf numFmtId="41" fontId="7" fillId="0" borderId="0" xfId="0" applyNumberFormat="1" applyFont="1"/>
    <xf numFmtId="0" fontId="8" fillId="0" borderId="0" xfId="0" applyFont="1"/>
    <xf numFmtId="41" fontId="4" fillId="0" borderId="0" xfId="0" applyNumberFormat="1" applyFont="1" applyAlignment="1">
      <alignment horizontal="right"/>
    </xf>
    <xf numFmtId="164" fontId="4" fillId="0" borderId="0" xfId="0" applyNumberFormat="1" applyFont="1" applyAlignment="1">
      <alignment horizontal="right"/>
    </xf>
    <xf numFmtId="0" fontId="9" fillId="0" borderId="0" xfId="0" applyFont="1" applyAlignment="1">
      <alignment horizontal="left" indent="1"/>
    </xf>
    <xf numFmtId="0" fontId="2" fillId="0" borderId="0" xfId="0" applyFont="1" applyAlignment="1">
      <alignment horizontal="left" indent="1"/>
    </xf>
    <xf numFmtId="164" fontId="10" fillId="0" borderId="0" xfId="0" applyNumberFormat="1" applyFont="1" applyAlignment="1">
      <alignment horizontal="right"/>
    </xf>
    <xf numFmtId="41" fontId="10" fillId="0" borderId="0" xfId="0" applyNumberFormat="1" applyFont="1" applyAlignment="1">
      <alignment horizontal="right"/>
    </xf>
    <xf numFmtId="41" fontId="6" fillId="0" borderId="0" xfId="0" applyNumberFormat="1" applyFont="1" applyAlignment="1">
      <alignment horizontal="right"/>
    </xf>
    <xf numFmtId="0" fontId="11" fillId="0" borderId="0" xfId="0" applyFont="1"/>
    <xf numFmtId="41" fontId="8" fillId="0" borderId="0" xfId="0" applyNumberFormat="1" applyFont="1"/>
    <xf numFmtId="164" fontId="0" fillId="0" borderId="0" xfId="0" applyNumberFormat="1" applyAlignment="1">
      <alignment horizontal="right"/>
    </xf>
    <xf numFmtId="164" fontId="2" fillId="0" borderId="0" xfId="0" applyNumberFormat="1" applyFont="1" applyAlignment="1">
      <alignment horizontal="right"/>
    </xf>
    <xf numFmtId="165" fontId="2" fillId="0" borderId="0" xfId="0" applyNumberFormat="1" applyFont="1"/>
    <xf numFmtId="166" fontId="2" fillId="0" borderId="0" xfId="0" applyNumberFormat="1" applyFont="1"/>
    <xf numFmtId="0" fontId="2" fillId="0" borderId="0" xfId="0" applyFont="1" applyAlignment="1">
      <alignment horizontal="left" indent="2"/>
    </xf>
    <xf numFmtId="165" fontId="12" fillId="0" borderId="0" xfId="0" applyNumberFormat="1" applyFont="1"/>
    <xf numFmtId="166" fontId="12" fillId="0" borderId="0" xfId="0" applyNumberFormat="1" applyFont="1"/>
    <xf numFmtId="43" fontId="0" fillId="0" borderId="0" xfId="0" applyNumberFormat="1"/>
    <xf numFmtId="0" fontId="0" fillId="0" borderId="0" xfId="0" quotePrefix="1"/>
    <xf numFmtId="41" fontId="8" fillId="0" borderId="0" xfId="0" applyNumberFormat="1" applyFont="1" applyAlignment="1">
      <alignment horizontal="right"/>
    </xf>
    <xf numFmtId="41" fontId="7" fillId="0" borderId="0" xfId="0" applyNumberFormat="1" applyFont="1" applyAlignment="1">
      <alignment horizontal="right"/>
    </xf>
    <xf numFmtId="41" fontId="0" fillId="0" borderId="0" xfId="0" applyNumberFormat="1" applyAlignment="1">
      <alignment horizontal="right"/>
    </xf>
    <xf numFmtId="0" fontId="1" fillId="0" borderId="0" xfId="0" applyFont="1" applyAlignment="1">
      <alignment horizontal="left" indent="1"/>
    </xf>
    <xf numFmtId="41" fontId="13" fillId="0" borderId="0" xfId="0" applyNumberFormat="1" applyFont="1"/>
    <xf numFmtId="41" fontId="13" fillId="0" borderId="0" xfId="0" applyNumberFormat="1" applyFont="1" applyAlignment="1">
      <alignment horizontal="right"/>
    </xf>
    <xf numFmtId="41" fontId="1" fillId="0" borderId="0" xfId="0" applyNumberFormat="1" applyFont="1" applyAlignment="1">
      <alignment horizontal="right"/>
    </xf>
    <xf numFmtId="41" fontId="1" fillId="0" borderId="0" xfId="0" applyNumberFormat="1" applyFont="1"/>
    <xf numFmtId="0" fontId="1" fillId="0" borderId="0" xfId="0" applyFont="1" applyAlignment="1">
      <alignment horizontal="left" indent="2"/>
    </xf>
    <xf numFmtId="166" fontId="2" fillId="0" borderId="0" xfId="0" applyNumberFormat="1" applyFont="1" applyAlignment="1">
      <alignment horizontal="right"/>
    </xf>
    <xf numFmtId="166" fontId="12" fillId="0" borderId="0" xfId="0" applyNumberFormat="1" applyFont="1" applyAlignment="1">
      <alignment horizontal="right"/>
    </xf>
    <xf numFmtId="165" fontId="2" fillId="0" borderId="0" xfId="0" applyNumberFormat="1" applyFont="1" applyAlignment="1">
      <alignment horizontal="right"/>
    </xf>
    <xf numFmtId="165" fontId="12" fillId="0" borderId="0" xfId="0" applyNumberFormat="1" applyFont="1" applyAlignment="1">
      <alignment horizontal="right"/>
    </xf>
    <xf numFmtId="41" fontId="14" fillId="0" borderId="0" xfId="0" applyNumberFormat="1" applyFont="1"/>
    <xf numFmtId="41" fontId="14" fillId="0" borderId="0" xfId="0" applyNumberFormat="1" applyFont="1" applyAlignment="1">
      <alignment horizontal="right"/>
    </xf>
    <xf numFmtId="164" fontId="1" fillId="0" borderId="0" xfId="0" applyNumberFormat="1" applyFont="1" applyAlignment="1">
      <alignment horizontal="right"/>
    </xf>
    <xf numFmtId="0" fontId="3" fillId="0" borderId="0" xfId="0" applyFont="1"/>
    <xf numFmtId="41" fontId="3" fillId="0" borderId="0" xfId="0" applyNumberFormat="1" applyFont="1"/>
    <xf numFmtId="41" fontId="2" fillId="0" borderId="0" xfId="0" applyNumberFormat="1" applyFont="1"/>
    <xf numFmtId="41" fontId="21" fillId="0" borderId="0" xfId="0" applyNumberFormat="1" applyFont="1"/>
    <xf numFmtId="0" fontId="0" fillId="0" borderId="0" xfId="0" applyAlignment="1">
      <alignment horizontal="right"/>
    </xf>
    <xf numFmtId="0" fontId="8" fillId="0" borderId="0" xfId="0" applyFont="1" applyAlignment="1">
      <alignment horizontal="right"/>
    </xf>
    <xf numFmtId="41" fontId="21" fillId="0" borderId="0" xfId="0" applyNumberFormat="1" applyFont="1" applyAlignment="1">
      <alignment horizontal="right"/>
    </xf>
    <xf numFmtId="41" fontId="16" fillId="0" borderId="0" xfId="0" applyNumberFormat="1" applyFont="1"/>
    <xf numFmtId="167" fontId="2" fillId="0" borderId="0" xfId="0" applyNumberFormat="1" applyFont="1"/>
    <xf numFmtId="0" fontId="1" fillId="0" borderId="0" xfId="1" applyFont="1"/>
    <xf numFmtId="0" fontId="15" fillId="0" borderId="0" xfId="1" applyFont="1"/>
    <xf numFmtId="14" fontId="2" fillId="0" borderId="0" xfId="1" applyNumberFormat="1" applyFont="1"/>
    <xf numFmtId="14" fontId="2" fillId="0" borderId="0" xfId="1" applyNumberFormat="1" applyFont="1" applyAlignment="1">
      <alignment horizontal="right"/>
    </xf>
    <xf numFmtId="167" fontId="2" fillId="0" borderId="0" xfId="1" applyNumberFormat="1" applyFont="1" applyAlignment="1">
      <alignment horizontal="right"/>
    </xf>
    <xf numFmtId="0" fontId="1" fillId="0" borderId="1" xfId="1" applyFont="1" applyBorder="1"/>
    <xf numFmtId="0" fontId="15" fillId="0" borderId="1" xfId="1" applyFont="1" applyBorder="1"/>
    <xf numFmtId="0" fontId="1" fillId="0" borderId="1" xfId="1" applyFont="1" applyBorder="1" applyAlignment="1">
      <alignment horizontal="centerContinuous"/>
    </xf>
    <xf numFmtId="0" fontId="15" fillId="0" borderId="1" xfId="1" applyFont="1" applyBorder="1" applyAlignment="1">
      <alignment horizontal="centerContinuous"/>
    </xf>
    <xf numFmtId="0" fontId="3" fillId="0" borderId="0" xfId="1" applyFont="1" applyAlignment="1">
      <alignment horizontal="center"/>
    </xf>
    <xf numFmtId="14" fontId="17" fillId="0" borderId="0" xfId="2" applyNumberFormat="1" applyFont="1" applyAlignment="1">
      <alignment horizontal="center"/>
    </xf>
    <xf numFmtId="0" fontId="0" fillId="0" borderId="0" xfId="1" applyFont="1"/>
    <xf numFmtId="41" fontId="15" fillId="0" borderId="0" xfId="1" applyNumberFormat="1" applyFont="1"/>
    <xf numFmtId="41" fontId="24" fillId="0" borderId="0" xfId="1" applyNumberFormat="1" applyFont="1"/>
    <xf numFmtId="41" fontId="4" fillId="0" borderId="0" xfId="1" applyNumberFormat="1" applyFont="1"/>
    <xf numFmtId="43" fontId="15" fillId="0" borderId="0" xfId="1" applyNumberFormat="1" applyFont="1"/>
    <xf numFmtId="0" fontId="2" fillId="0" borderId="0" xfId="1" applyFont="1" applyAlignment="1">
      <alignment horizontal="left" indent="1"/>
    </xf>
    <xf numFmtId="165" fontId="10" fillId="0" borderId="0" xfId="1" applyNumberFormat="1" applyFont="1"/>
    <xf numFmtId="165" fontId="25" fillId="0" borderId="0" xfId="1" applyNumberFormat="1" applyFont="1"/>
    <xf numFmtId="41" fontId="2" fillId="0" borderId="0" xfId="1" applyNumberFormat="1" applyFont="1"/>
    <xf numFmtId="168" fontId="2" fillId="0" borderId="0" xfId="1" applyNumberFormat="1" applyFont="1"/>
    <xf numFmtId="0" fontId="2" fillId="0" borderId="0" xfId="1" applyFont="1"/>
    <xf numFmtId="0" fontId="2" fillId="0" borderId="0" xfId="3" applyFont="1" applyAlignment="1">
      <alignment horizontal="left" indent="1"/>
    </xf>
    <xf numFmtId="165" fontId="2" fillId="0" borderId="0" xfId="1" applyNumberFormat="1" applyFont="1"/>
    <xf numFmtId="166" fontId="2" fillId="0" borderId="0" xfId="1" applyNumberFormat="1" applyFont="1"/>
    <xf numFmtId="166" fontId="25" fillId="0" borderId="0" xfId="1" applyNumberFormat="1" applyFont="1"/>
    <xf numFmtId="9" fontId="15" fillId="0" borderId="0" xfId="4" applyFont="1"/>
    <xf numFmtId="169" fontId="15" fillId="0" borderId="0" xfId="5" applyNumberFormat="1" applyFont="1"/>
    <xf numFmtId="41" fontId="26" fillId="0" borderId="0" xfId="1" applyNumberFormat="1" applyFont="1"/>
    <xf numFmtId="41" fontId="21" fillId="0" borderId="0" xfId="1" applyNumberFormat="1" applyFont="1"/>
    <xf numFmtId="0" fontId="15" fillId="0" borderId="0" xfId="1" applyFont="1" applyAlignment="1">
      <alignment horizontal="left" indent="1"/>
    </xf>
    <xf numFmtId="0" fontId="2" fillId="0" borderId="0" xfId="3" applyFont="1" applyAlignment="1">
      <alignment horizontal="left" indent="2"/>
    </xf>
    <xf numFmtId="0" fontId="2" fillId="0" borderId="0" xfId="1" applyFont="1" applyAlignment="1">
      <alignment horizontal="left" indent="2"/>
    </xf>
    <xf numFmtId="169" fontId="15" fillId="0" borderId="0" xfId="6" applyNumberFormat="1"/>
    <xf numFmtId="0" fontId="11" fillId="0" borderId="0" xfId="1" applyFont="1"/>
    <xf numFmtId="10" fontId="15" fillId="0" borderId="0" xfId="6" applyNumberFormat="1"/>
    <xf numFmtId="166" fontId="2" fillId="0" borderId="0" xfId="1" applyNumberFormat="1" applyFont="1" applyAlignment="1">
      <alignment horizontal="right"/>
    </xf>
    <xf numFmtId="0" fontId="9" fillId="0" borderId="0" xfId="1" applyFont="1" applyAlignment="1">
      <alignment horizontal="left" indent="1"/>
    </xf>
    <xf numFmtId="41" fontId="27" fillId="0" borderId="0" xfId="1" applyNumberFormat="1" applyFont="1"/>
    <xf numFmtId="41" fontId="16" fillId="0" borderId="0" xfId="1" applyNumberFormat="1" applyFont="1"/>
    <xf numFmtId="41" fontId="8" fillId="0" borderId="0" xfId="1" applyNumberFormat="1" applyFont="1"/>
    <xf numFmtId="41" fontId="7" fillId="0" borderId="0" xfId="1" applyNumberFormat="1" applyFont="1"/>
    <xf numFmtId="41" fontId="17" fillId="0" borderId="0" xfId="1" applyNumberFormat="1" applyFont="1"/>
    <xf numFmtId="0" fontId="2" fillId="0" borderId="0" xfId="1" quotePrefix="1" applyFont="1" applyAlignment="1">
      <alignment horizontal="left" indent="2"/>
    </xf>
    <xf numFmtId="170" fontId="2" fillId="0" borderId="0" xfId="1" applyNumberFormat="1" applyFont="1"/>
    <xf numFmtId="170" fontId="25" fillId="0" borderId="0" xfId="1" applyNumberFormat="1" applyFont="1"/>
    <xf numFmtId="0" fontId="15" fillId="0" borderId="0" xfId="1" applyFont="1" applyAlignment="1">
      <alignment horizontal="left" indent="2"/>
    </xf>
    <xf numFmtId="171" fontId="2" fillId="0" borderId="0" xfId="1" applyNumberFormat="1" applyFont="1"/>
    <xf numFmtId="171" fontId="19" fillId="0" borderId="4" xfId="1" applyNumberFormat="1" applyFont="1" applyBorder="1"/>
    <xf numFmtId="0" fontId="15" fillId="0" borderId="0" xfId="1" applyFont="1" applyAlignment="1">
      <alignment horizontal="left"/>
    </xf>
    <xf numFmtId="170" fontId="15" fillId="0" borderId="0" xfId="1" applyNumberFormat="1" applyFont="1"/>
    <xf numFmtId="0" fontId="0" fillId="0" borderId="0" xfId="1" applyFont="1" applyAlignment="1">
      <alignment horizontal="left"/>
    </xf>
    <xf numFmtId="7" fontId="15" fillId="0" borderId="0" xfId="1" applyNumberFormat="1" applyFont="1"/>
    <xf numFmtId="170" fontId="21" fillId="0" borderId="0" xfId="1" applyNumberFormat="1" applyFont="1"/>
    <xf numFmtId="41" fontId="3" fillId="0" borderId="0" xfId="1" applyNumberFormat="1" applyFont="1" applyAlignment="1">
      <alignment horizontal="center"/>
    </xf>
    <xf numFmtId="41" fontId="15" fillId="0" borderId="0" xfId="1" applyNumberFormat="1" applyFont="1" applyAlignment="1">
      <alignment horizontal="right"/>
    </xf>
    <xf numFmtId="0" fontId="1" fillId="2" borderId="2" xfId="1" applyFont="1" applyFill="1" applyBorder="1"/>
    <xf numFmtId="41" fontId="1" fillId="2" borderId="5" xfId="1" applyNumberFormat="1" applyFont="1" applyFill="1" applyBorder="1"/>
    <xf numFmtId="171" fontId="1" fillId="2" borderId="3" xfId="1" applyNumberFormat="1" applyFont="1" applyFill="1" applyBorder="1"/>
    <xf numFmtId="10" fontId="15" fillId="0" borderId="0" xfId="6" applyNumberFormat="1" applyFont="1"/>
    <xf numFmtId="0" fontId="1" fillId="0" borderId="2" xfId="1" applyFont="1" applyBorder="1" applyAlignment="1">
      <alignment horizontal="centerContinuous"/>
    </xf>
    <xf numFmtId="0" fontId="1" fillId="0" borderId="5" xfId="1" applyFont="1" applyBorder="1" applyAlignment="1">
      <alignment horizontal="centerContinuous"/>
    </xf>
    <xf numFmtId="0" fontId="1" fillId="0" borderId="3" xfId="1" applyFont="1" applyBorder="1" applyAlignment="1">
      <alignment horizontal="centerContinuous"/>
    </xf>
    <xf numFmtId="43" fontId="5" fillId="0" borderId="0" xfId="1" applyNumberFormat="1" applyFont="1"/>
    <xf numFmtId="9" fontId="15" fillId="0" borderId="0" xfId="6" applyFont="1"/>
    <xf numFmtId="43" fontId="8" fillId="0" borderId="0" xfId="1" applyNumberFormat="1" applyFont="1"/>
    <xf numFmtId="41" fontId="10" fillId="0" borderId="0" xfId="1" applyNumberFormat="1" applyFont="1"/>
    <xf numFmtId="172" fontId="5" fillId="0" borderId="0" xfId="1" applyNumberFormat="1" applyFont="1"/>
    <xf numFmtId="172" fontId="4" fillId="0" borderId="0" xfId="1" applyNumberFormat="1" applyFont="1"/>
    <xf numFmtId="0" fontId="18" fillId="0" borderId="0" xfId="1" applyFont="1"/>
    <xf numFmtId="41" fontId="18" fillId="0" borderId="0" xfId="1" applyNumberFormat="1" applyFont="1"/>
    <xf numFmtId="164" fontId="10" fillId="0" borderId="0" xfId="0" applyNumberFormat="1" applyFont="1"/>
    <xf numFmtId="0" fontId="0" fillId="0" borderId="0" xfId="1" applyFont="1" applyAlignment="1">
      <alignment horizontal="left" indent="1"/>
    </xf>
    <xf numFmtId="43" fontId="4" fillId="0" borderId="0" xfId="1" applyNumberFormat="1" applyFont="1"/>
    <xf numFmtId="164" fontId="18" fillId="0" borderId="0" xfId="1" applyNumberFormat="1" applyFont="1" applyAlignment="1">
      <alignment horizontal="center"/>
    </xf>
    <xf numFmtId="0" fontId="15" fillId="0" borderId="0" xfId="3"/>
    <xf numFmtId="41" fontId="5" fillId="0" borderId="0" xfId="1" applyNumberFormat="1" applyFont="1"/>
    <xf numFmtId="41" fontId="4" fillId="0" borderId="0" xfId="2" applyNumberFormat="1" applyFont="1" applyAlignment="1">
      <alignment horizontal="center"/>
    </xf>
    <xf numFmtId="41" fontId="7" fillId="0" borderId="0" xfId="2" applyNumberFormat="1" applyFont="1" applyAlignment="1">
      <alignment horizontal="center"/>
    </xf>
    <xf numFmtId="166" fontId="7" fillId="0" borderId="0" xfId="1" applyNumberFormat="1" applyFont="1"/>
    <xf numFmtId="166" fontId="21" fillId="0" borderId="0" xfId="1" applyNumberFormat="1" applyFont="1"/>
    <xf numFmtId="165" fontId="28" fillId="0" borderId="0" xfId="1" applyNumberFormat="1" applyFont="1"/>
    <xf numFmtId="165" fontId="10" fillId="0" borderId="0" xfId="1" applyNumberFormat="1" applyFont="1" applyAlignment="1">
      <alignment horizontal="right"/>
    </xf>
    <xf numFmtId="9" fontId="15" fillId="0" borderId="0" xfId="7" applyFont="1"/>
    <xf numFmtId="169" fontId="2" fillId="0" borderId="0" xfId="7" applyNumberFormat="1" applyFont="1"/>
    <xf numFmtId="173" fontId="15" fillId="0" borderId="0" xfId="1" applyNumberFormat="1" applyFont="1"/>
    <xf numFmtId="41" fontId="25" fillId="0" borderId="0" xfId="0" applyNumberFormat="1" applyFont="1"/>
    <xf numFmtId="41" fontId="2" fillId="0" borderId="0" xfId="0" applyNumberFormat="1" applyFont="1" applyAlignment="1">
      <alignment horizontal="right"/>
    </xf>
    <xf numFmtId="165" fontId="29" fillId="0" borderId="0" xfId="1" applyNumberFormat="1" applyFont="1" applyAlignment="1">
      <alignment horizontal="right"/>
    </xf>
    <xf numFmtId="165" fontId="30" fillId="0" borderId="0" xfId="1" applyNumberFormat="1" applyFont="1"/>
    <xf numFmtId="166" fontId="10" fillId="0" borderId="0" xfId="1" applyNumberFormat="1" applyFont="1" applyAlignment="1">
      <alignment horizontal="right"/>
    </xf>
    <xf numFmtId="166" fontId="29" fillId="0" borderId="0" xfId="1" applyNumberFormat="1" applyFont="1" applyAlignment="1">
      <alignment horizontal="right"/>
    </xf>
    <xf numFmtId="166" fontId="30" fillId="0" borderId="0" xfId="1" applyNumberFormat="1" applyFont="1"/>
    <xf numFmtId="166" fontId="4" fillId="0" borderId="0" xfId="1" applyNumberFormat="1" applyFont="1"/>
    <xf numFmtId="166" fontId="10" fillId="0" borderId="0" xfId="1" applyNumberFormat="1" applyFont="1"/>
    <xf numFmtId="41" fontId="12" fillId="0" borderId="0" xfId="1" applyNumberFormat="1" applyFont="1"/>
    <xf numFmtId="0" fontId="2" fillId="0" borderId="0" xfId="1" applyFont="1" applyAlignment="1">
      <alignment horizontal="left" indent="3"/>
    </xf>
    <xf numFmtId="169" fontId="0" fillId="0" borderId="0" xfId="7" applyNumberFormat="1" applyFont="1"/>
    <xf numFmtId="166" fontId="31" fillId="0" borderId="0" xfId="1" applyNumberFormat="1" applyFont="1" applyAlignment="1">
      <alignment horizontal="right"/>
    </xf>
    <xf numFmtId="14" fontId="0" fillId="0" borderId="0" xfId="0" applyNumberFormat="1"/>
    <xf numFmtId="41" fontId="24" fillId="0" borderId="0" xfId="0" applyNumberFormat="1" applyFont="1"/>
    <xf numFmtId="41" fontId="26" fillId="0" borderId="0" xfId="0" applyNumberFormat="1" applyFont="1"/>
    <xf numFmtId="0" fontId="32" fillId="0" borderId="0" xfId="0" applyFont="1" applyAlignment="1">
      <alignment horizontal="center"/>
    </xf>
    <xf numFmtId="0" fontId="0" fillId="0" borderId="6" xfId="0" applyBorder="1"/>
    <xf numFmtId="0" fontId="1" fillId="0" borderId="6" xfId="0" applyFont="1" applyBorder="1" applyAlignment="1">
      <alignment horizontal="centerContinuous"/>
    </xf>
    <xf numFmtId="165" fontId="2" fillId="3" borderId="0" xfId="0" applyNumberFormat="1" applyFont="1" applyFill="1" applyAlignment="1">
      <alignment horizontal="right"/>
    </xf>
    <xf numFmtId="165" fontId="12" fillId="3" borderId="0" xfId="0" applyNumberFormat="1" applyFont="1" applyFill="1" applyAlignment="1">
      <alignment horizontal="right"/>
    </xf>
    <xf numFmtId="0" fontId="0" fillId="3" borderId="0" xfId="0" applyFill="1"/>
    <xf numFmtId="165" fontId="25" fillId="0" borderId="0" xfId="0" applyNumberFormat="1" applyFont="1" applyAlignment="1">
      <alignment horizontal="right"/>
    </xf>
    <xf numFmtId="165" fontId="30" fillId="0" borderId="0" xfId="0" applyNumberFormat="1" applyFont="1" applyAlignment="1">
      <alignment horizontal="right"/>
    </xf>
    <xf numFmtId="165" fontId="25" fillId="0" borderId="0" xfId="0" applyNumberFormat="1" applyFont="1"/>
    <xf numFmtId="0" fontId="1" fillId="0" borderId="0" xfId="0" applyFont="1" applyAlignment="1">
      <alignment horizontal="centerContinuous"/>
    </xf>
    <xf numFmtId="0" fontId="0" fillId="0" borderId="0" xfId="0" applyAlignment="1">
      <alignment horizontal="centerContinuous"/>
    </xf>
    <xf numFmtId="165" fontId="10" fillId="0" borderId="0" xfId="0" applyNumberFormat="1" applyFont="1" applyAlignment="1">
      <alignment horizontal="right"/>
    </xf>
    <xf numFmtId="41" fontId="28" fillId="0" borderId="0" xfId="0" applyNumberFormat="1" applyFont="1"/>
    <xf numFmtId="167" fontId="5" fillId="0" borderId="0" xfId="0" applyNumberFormat="1" applyFont="1" applyAlignment="1">
      <alignment horizontal="center"/>
    </xf>
    <xf numFmtId="167" fontId="4" fillId="0" borderId="0" xfId="0" applyNumberFormat="1" applyFont="1" applyAlignment="1">
      <alignment horizontal="center"/>
    </xf>
    <xf numFmtId="164" fontId="35" fillId="0" borderId="0" xfId="0" applyNumberFormat="1" applyFont="1"/>
    <xf numFmtId="164" fontId="0" fillId="0" borderId="0" xfId="0" applyNumberFormat="1"/>
    <xf numFmtId="41" fontId="10" fillId="0" borderId="0" xfId="0" applyNumberFormat="1" applyFont="1"/>
    <xf numFmtId="165" fontId="29" fillId="0" borderId="0" xfId="0" applyNumberFormat="1" applyFont="1" applyAlignment="1">
      <alignment horizontal="right"/>
    </xf>
    <xf numFmtId="0" fontId="0" fillId="0" borderId="0" xfId="0" applyAlignment="1">
      <alignment horizontal="left" indent="2"/>
    </xf>
    <xf numFmtId="166" fontId="16" fillId="0" borderId="0" xfId="0" applyNumberFormat="1" applyFont="1"/>
    <xf numFmtId="166" fontId="36" fillId="0" borderId="0" xfId="0" applyNumberFormat="1" applyFont="1"/>
    <xf numFmtId="0" fontId="0" fillId="0" borderId="0" xfId="0" applyAlignment="1">
      <alignment horizontal="left"/>
    </xf>
    <xf numFmtId="166" fontId="14" fillId="0" borderId="0" xfId="0" applyNumberFormat="1" applyFont="1" applyAlignment="1">
      <alignment horizontal="right"/>
    </xf>
    <xf numFmtId="166" fontId="4" fillId="0" borderId="0" xfId="0" applyNumberFormat="1" applyFont="1" applyAlignment="1">
      <alignment horizontal="right"/>
    </xf>
    <xf numFmtId="166" fontId="7" fillId="0" borderId="0" xfId="0" applyNumberFormat="1" applyFont="1" applyAlignment="1">
      <alignment horizontal="right"/>
    </xf>
    <xf numFmtId="166" fontId="37" fillId="0" borderId="0" xfId="0" applyNumberFormat="1" applyFont="1"/>
    <xf numFmtId="41" fontId="25" fillId="0" borderId="0" xfId="1" applyNumberFormat="1" applyFont="1"/>
    <xf numFmtId="0" fontId="0" fillId="0" borderId="1" xfId="0" applyBorder="1"/>
    <xf numFmtId="0" fontId="1" fillId="0" borderId="1" xfId="0" applyFont="1" applyBorder="1" applyAlignment="1">
      <alignment horizontal="center"/>
    </xf>
    <xf numFmtId="41" fontId="27" fillId="0" borderId="0" xfId="0" applyNumberFormat="1" applyFont="1"/>
    <xf numFmtId="0" fontId="38" fillId="0" borderId="0" xfId="0" applyFont="1"/>
    <xf numFmtId="41" fontId="20" fillId="0" borderId="0" xfId="0" applyNumberFormat="1" applyFont="1" applyAlignment="1">
      <alignment horizontal="right"/>
    </xf>
    <xf numFmtId="41" fontId="12" fillId="0" borderId="0" xfId="0" applyNumberFormat="1" applyFont="1"/>
    <xf numFmtId="166" fontId="10" fillId="0" borderId="0" xfId="0" applyNumberFormat="1" applyFont="1" applyAlignment="1">
      <alignment horizontal="right"/>
    </xf>
    <xf numFmtId="166" fontId="25" fillId="0" borderId="0" xfId="0" applyNumberFormat="1" applyFont="1" applyAlignment="1">
      <alignment horizontal="right"/>
    </xf>
    <xf numFmtId="166" fontId="29" fillId="0" borderId="0" xfId="0" applyNumberFormat="1" applyFont="1" applyAlignment="1">
      <alignment horizontal="right"/>
    </xf>
    <xf numFmtId="0" fontId="1" fillId="0" borderId="1" xfId="0" applyFont="1" applyBorder="1" applyAlignment="1">
      <alignment horizontal="left"/>
    </xf>
    <xf numFmtId="0" fontId="1" fillId="0" borderId="1" xfId="0" applyFont="1" applyBorder="1" applyAlignment="1">
      <alignment horizontal="center" wrapText="1"/>
    </xf>
    <xf numFmtId="0" fontId="0" fillId="0" borderId="4" xfId="0" applyBorder="1" applyAlignment="1">
      <alignment vertical="center"/>
    </xf>
    <xf numFmtId="167" fontId="0" fillId="0" borderId="4" xfId="0" applyNumberFormat="1" applyBorder="1" applyAlignment="1">
      <alignment horizontal="left" vertical="center"/>
    </xf>
    <xf numFmtId="41" fontId="24" fillId="0" borderId="4" xfId="0" applyNumberFormat="1" applyFont="1" applyBorder="1" applyAlignment="1">
      <alignment vertical="center"/>
    </xf>
    <xf numFmtId="166" fontId="24" fillId="0" borderId="4" xfId="0" applyNumberFormat="1" applyFont="1" applyBorder="1" applyAlignment="1">
      <alignment vertical="center"/>
    </xf>
    <xf numFmtId="166" fontId="30" fillId="0" borderId="0" xfId="0" applyNumberFormat="1" applyFont="1" applyAlignment="1">
      <alignment horizontal="right"/>
    </xf>
    <xf numFmtId="9" fontId="0" fillId="0" borderId="0" xfId="7" applyFont="1"/>
    <xf numFmtId="43" fontId="1" fillId="0" borderId="0" xfId="0" applyNumberFormat="1" applyFont="1"/>
    <xf numFmtId="164" fontId="15" fillId="0" borderId="0" xfId="1" applyNumberFormat="1" applyFont="1"/>
    <xf numFmtId="168" fontId="15" fillId="0" borderId="0" xfId="1" applyNumberFormat="1" applyFont="1"/>
    <xf numFmtId="0" fontId="19" fillId="0" borderId="1" xfId="0" applyFont="1" applyBorder="1" applyAlignment="1">
      <alignment horizontal="centerContinuous"/>
    </xf>
    <xf numFmtId="174" fontId="0" fillId="0" borderId="0" xfId="0" applyNumberFormat="1"/>
    <xf numFmtId="41" fontId="35" fillId="0" borderId="0" xfId="0" applyNumberFormat="1" applyFont="1"/>
    <xf numFmtId="172" fontId="0" fillId="0" borderId="0" xfId="0" applyNumberFormat="1"/>
    <xf numFmtId="172" fontId="2" fillId="0" borderId="0" xfId="0" applyNumberFormat="1" applyFont="1" applyAlignment="1">
      <alignment horizontal="right"/>
    </xf>
    <xf numFmtId="0" fontId="4" fillId="0" borderId="0" xfId="0" applyFont="1"/>
    <xf numFmtId="165" fontId="10" fillId="0" borderId="0" xfId="0" applyNumberFormat="1" applyFont="1"/>
    <xf numFmtId="165" fontId="29" fillId="0" borderId="0" xfId="0" applyNumberFormat="1" applyFont="1"/>
    <xf numFmtId="0" fontId="2" fillId="0" borderId="0" xfId="1" applyFont="1" applyAlignment="1">
      <alignment horizontal="left"/>
    </xf>
    <xf numFmtId="0" fontId="0" fillId="0" borderId="4" xfId="0" applyBorder="1" applyAlignment="1">
      <alignment vertical="top" wrapText="1"/>
    </xf>
    <xf numFmtId="9" fontId="1" fillId="0" borderId="0" xfId="7" applyFont="1"/>
    <xf numFmtId="165" fontId="0" fillId="0" borderId="0" xfId="0" applyNumberFormat="1"/>
    <xf numFmtId="165" fontId="28" fillId="0" borderId="0" xfId="0" applyNumberFormat="1" applyFont="1"/>
    <xf numFmtId="166" fontId="0" fillId="0" borderId="0" xfId="0" applyNumberFormat="1"/>
    <xf numFmtId="41" fontId="25" fillId="0" borderId="0" xfId="0" applyNumberFormat="1" applyFont="1" applyAlignment="1">
      <alignment horizontal="right"/>
    </xf>
    <xf numFmtId="41" fontId="42" fillId="0" borderId="0" xfId="0" applyNumberFormat="1" applyFont="1" applyAlignment="1">
      <alignment horizontal="right"/>
    </xf>
    <xf numFmtId="10" fontId="1" fillId="0" borderId="0" xfId="7" applyNumberFormat="1" applyFont="1"/>
    <xf numFmtId="10" fontId="0" fillId="0" borderId="0" xfId="7" applyNumberFormat="1" applyFont="1"/>
    <xf numFmtId="41" fontId="31" fillId="0" borderId="0" xfId="0" applyNumberFormat="1" applyFont="1"/>
    <xf numFmtId="41" fontId="29" fillId="0" borderId="0" xfId="0" applyNumberFormat="1" applyFont="1"/>
    <xf numFmtId="41" fontId="28" fillId="0" borderId="0" xfId="0" applyNumberFormat="1" applyFont="1" applyAlignment="1">
      <alignment horizontal="right"/>
    </xf>
    <xf numFmtId="41" fontId="31" fillId="0" borderId="0" xfId="0" applyNumberFormat="1" applyFont="1" applyAlignment="1">
      <alignment horizontal="right"/>
    </xf>
    <xf numFmtId="41" fontId="29" fillId="0" borderId="0" xfId="0" applyNumberFormat="1" applyFont="1" applyAlignment="1">
      <alignment horizontal="right"/>
    </xf>
    <xf numFmtId="41" fontId="27" fillId="0" borderId="0" xfId="0" applyNumberFormat="1" applyFont="1" applyAlignment="1">
      <alignment horizontal="right"/>
    </xf>
    <xf numFmtId="41" fontId="30" fillId="0" borderId="0" xfId="0" applyNumberFormat="1" applyFont="1" applyAlignment="1">
      <alignment horizontal="right"/>
    </xf>
    <xf numFmtId="167" fontId="0" fillId="0" borderId="0" xfId="0" applyNumberFormat="1" applyAlignment="1">
      <alignment horizontal="center"/>
    </xf>
    <xf numFmtId="175" fontId="0" fillId="0" borderId="0" xfId="0" applyNumberFormat="1"/>
    <xf numFmtId="175" fontId="1" fillId="0" borderId="0" xfId="0" applyNumberFormat="1" applyFont="1"/>
    <xf numFmtId="176" fontId="2" fillId="0" borderId="0" xfId="0" applyNumberFormat="1" applyFont="1" applyAlignment="1">
      <alignment horizontal="right"/>
    </xf>
    <xf numFmtId="176" fontId="25" fillId="0" borderId="0" xfId="0" applyNumberFormat="1" applyFont="1"/>
    <xf numFmtId="176" fontId="30" fillId="0" borderId="0" xfId="0" applyNumberFormat="1" applyFont="1"/>
    <xf numFmtId="176" fontId="10" fillId="0" borderId="0" xfId="0" applyNumberFormat="1" applyFont="1"/>
    <xf numFmtId="177" fontId="10" fillId="0" borderId="0" xfId="0" applyNumberFormat="1" applyFont="1"/>
    <xf numFmtId="177" fontId="29" fillId="0" borderId="0" xfId="0" applyNumberFormat="1" applyFont="1"/>
    <xf numFmtId="177" fontId="4" fillId="0" borderId="0" xfId="0" applyNumberFormat="1" applyFont="1"/>
    <xf numFmtId="175" fontId="8" fillId="0" borderId="0" xfId="0" applyNumberFormat="1" applyFont="1"/>
    <xf numFmtId="177" fontId="29" fillId="2" borderId="0" xfId="0" applyNumberFormat="1" applyFont="1" applyFill="1"/>
    <xf numFmtId="175" fontId="5" fillId="0" borderId="0" xfId="0" applyNumberFormat="1" applyFont="1"/>
    <xf numFmtId="175" fontId="6" fillId="0" borderId="0" xfId="0" applyNumberFormat="1" applyFont="1"/>
    <xf numFmtId="175" fontId="4" fillId="0" borderId="0" xfId="0" applyNumberFormat="1" applyFont="1"/>
    <xf numFmtId="175" fontId="21" fillId="0" borderId="0" xfId="0" applyNumberFormat="1" applyFont="1"/>
    <xf numFmtId="41" fontId="12" fillId="0" borderId="0" xfId="0" applyNumberFormat="1" applyFont="1" applyAlignment="1">
      <alignment horizontal="right"/>
    </xf>
    <xf numFmtId="0" fontId="2" fillId="0" borderId="0" xfId="0" applyFont="1" applyAlignment="1">
      <alignment horizontal="left" indent="5"/>
    </xf>
    <xf numFmtId="0" fontId="11" fillId="0" borderId="0" xfId="0" applyFont="1" applyAlignment="1">
      <alignment horizontal="left"/>
    </xf>
    <xf numFmtId="178" fontId="0" fillId="0" borderId="0" xfId="0" applyNumberFormat="1"/>
    <xf numFmtId="0" fontId="3" fillId="0" borderId="0" xfId="0" applyFont="1" applyAlignment="1">
      <alignment horizontal="center" wrapText="1"/>
    </xf>
    <xf numFmtId="0" fontId="3" fillId="0" borderId="0" xfId="0" quotePrefix="1" applyFont="1" applyAlignment="1">
      <alignment horizontal="center" wrapText="1"/>
    </xf>
    <xf numFmtId="0" fontId="2" fillId="0" borderId="0" xfId="0" applyFont="1" applyAlignment="1">
      <alignment horizontal="center"/>
    </xf>
    <xf numFmtId="41" fontId="21" fillId="2" borderId="0" xfId="0" applyNumberFormat="1" applyFont="1" applyFill="1"/>
    <xf numFmtId="41" fontId="3" fillId="4" borderId="7" xfId="0" applyNumberFormat="1" applyFont="1" applyFill="1" applyBorder="1"/>
    <xf numFmtId="165" fontId="4" fillId="0" borderId="0" xfId="0" applyNumberFormat="1" applyFont="1"/>
    <xf numFmtId="165" fontId="6" fillId="0" borderId="0" xfId="0" applyNumberFormat="1" applyFont="1"/>
    <xf numFmtId="0" fontId="0" fillId="0" borderId="0" xfId="0" applyAlignment="1">
      <alignment horizontal="left" wrapText="1"/>
    </xf>
    <xf numFmtId="0" fontId="0" fillId="0" borderId="0" xfId="0" applyAlignment="1">
      <alignment horizontal="center" wrapText="1"/>
    </xf>
    <xf numFmtId="177" fontId="0" fillId="0" borderId="0" xfId="0" applyNumberFormat="1"/>
    <xf numFmtId="164" fontId="27" fillId="0" borderId="0" xfId="0" applyNumberFormat="1" applyFont="1"/>
    <xf numFmtId="0" fontId="9" fillId="0" borderId="0" xfId="0" applyFont="1" applyAlignment="1">
      <alignment horizontal="left" wrapText="1" indent="1"/>
    </xf>
    <xf numFmtId="0" fontId="2" fillId="0" borderId="0" xfId="0" applyFont="1" applyAlignment="1">
      <alignment horizontal="left" wrapText="1" indent="1"/>
    </xf>
    <xf numFmtId="41" fontId="21" fillId="2" borderId="4" xfId="0" applyNumberFormat="1" applyFont="1" applyFill="1" applyBorder="1"/>
    <xf numFmtId="165" fontId="30" fillId="0" borderId="0" xfId="0" applyNumberFormat="1" applyFont="1"/>
    <xf numFmtId="0" fontId="2" fillId="0" borderId="0" xfId="0" applyFont="1" applyAlignment="1">
      <alignment horizontal="left" wrapText="1" indent="2"/>
    </xf>
    <xf numFmtId="41" fontId="44" fillId="0" borderId="0" xfId="0" applyNumberFormat="1" applyFont="1"/>
    <xf numFmtId="9" fontId="5" fillId="0" borderId="0" xfId="7" applyFont="1"/>
    <xf numFmtId="0" fontId="2" fillId="0" borderId="0" xfId="0" applyFont="1" applyAlignment="1">
      <alignment horizontal="left" indent="3"/>
    </xf>
    <xf numFmtId="177" fontId="5" fillId="0" borderId="0" xfId="0" applyNumberFormat="1" applyFont="1"/>
    <xf numFmtId="177" fontId="21" fillId="0" borderId="0" xfId="0" applyNumberFormat="1" applyFont="1"/>
    <xf numFmtId="177" fontId="7" fillId="0" borderId="0" xfId="0" applyNumberFormat="1" applyFont="1"/>
    <xf numFmtId="0" fontId="9" fillId="0" borderId="0" xfId="0" applyFont="1"/>
    <xf numFmtId="164" fontId="24" fillId="0" borderId="0" xfId="0" applyNumberFormat="1" applyFont="1"/>
    <xf numFmtId="41" fontId="24" fillId="2" borderId="0" xfId="0" applyNumberFormat="1" applyFont="1" applyFill="1"/>
    <xf numFmtId="41" fontId="2" fillId="2" borderId="0" xfId="0" applyNumberFormat="1" applyFont="1" applyFill="1"/>
    <xf numFmtId="0" fontId="1" fillId="4" borderId="2" xfId="0" applyFont="1" applyFill="1" applyBorder="1" applyAlignment="1">
      <alignment horizontal="left" indent="1"/>
    </xf>
    <xf numFmtId="0" fontId="0" fillId="4" borderId="5" xfId="0" applyFill="1" applyBorder="1"/>
    <xf numFmtId="41" fontId="14" fillId="4" borderId="5" xfId="0" applyNumberFormat="1" applyFont="1" applyFill="1" applyBorder="1"/>
    <xf numFmtId="41" fontId="14" fillId="4" borderId="3" xfId="0" applyNumberFormat="1" applyFont="1" applyFill="1" applyBorder="1"/>
    <xf numFmtId="0" fontId="1" fillId="0" borderId="2" xfId="0" applyFont="1" applyBorder="1" applyAlignment="1">
      <alignment horizontal="left" indent="1"/>
    </xf>
    <xf numFmtId="0" fontId="0" fillId="0" borderId="5" xfId="0" applyBorder="1"/>
    <xf numFmtId="41" fontId="14" fillId="0" borderId="5" xfId="0" applyNumberFormat="1" applyFont="1" applyBorder="1"/>
    <xf numFmtId="41" fontId="14" fillId="0" borderId="3" xfId="0" applyNumberFormat="1" applyFont="1" applyBorder="1"/>
    <xf numFmtId="176" fontId="5" fillId="0" borderId="0" xfId="0" applyNumberFormat="1" applyFont="1"/>
    <xf numFmtId="0" fontId="0" fillId="0" borderId="0" xfId="0" applyAlignment="1">
      <alignment vertical="center" wrapText="1"/>
    </xf>
    <xf numFmtId="41" fontId="5" fillId="0" borderId="0" xfId="0" applyNumberFormat="1" applyFont="1"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43" fontId="20" fillId="0" borderId="0" xfId="1" applyNumberFormat="1" applyFont="1"/>
  </cellXfs>
  <cellStyles count="8">
    <cellStyle name="Normal" xfId="0" builtinId="0"/>
    <cellStyle name="Normal 2 2" xfId="1" xr:uid="{0B6691CF-8104-4F09-84D9-3096555C985B}"/>
    <cellStyle name="Normal 3" xfId="3" xr:uid="{B8D5E0CF-030D-4556-B722-0B55FEB6A28C}"/>
    <cellStyle name="Percent" xfId="7" builtinId="5"/>
    <cellStyle name="Percent 2" xfId="2" xr:uid="{D7A2626D-447E-4EA8-A36D-0F6A6E7E2CD5}"/>
    <cellStyle name="Percent 2 2 2" xfId="5" xr:uid="{876D5385-7956-4D50-920F-67172BF950C2}"/>
    <cellStyle name="Percent 3" xfId="4" xr:uid="{196DD5B0-2AFF-4507-B643-42EDD054ADD2}"/>
    <cellStyle name="Percent 3 2" xfId="6" xr:uid="{45294EAF-3AEF-4CCF-8E5B-20E0B2A9FE96}"/>
  </cellStyles>
  <dxfs count="0"/>
  <tableStyles count="0" defaultTableStyle="TableStyleMedium2" defaultPivotStyle="PivotStyleLight16"/>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 Profile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Revenue</c:v>
          </c:tx>
          <c:spPr>
            <a:solidFill>
              <a:schemeClr val="accent1"/>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Financials'!$AO$16:$AW$16</c:f>
              <c:numCache>
                <c:formatCode>_(* #,##0_);_(* \(#,##0\);_(* "-"_);_(@_)</c:formatCode>
                <c:ptCount val="9"/>
                <c:pt idx="0">
                  <c:v>504.86400000000003</c:v>
                </c:pt>
                <c:pt idx="1">
                  <c:v>1744.0760000000002</c:v>
                </c:pt>
                <c:pt idx="2">
                  <c:v>13119.990000000002</c:v>
                </c:pt>
                <c:pt idx="3">
                  <c:v>30141.885999999999</c:v>
                </c:pt>
                <c:pt idx="4">
                  <c:v>59491.865000000005</c:v>
                </c:pt>
                <c:pt idx="5">
                  <c:v>93949.938999999998</c:v>
                </c:pt>
                <c:pt idx="6">
                  <c:v>130557.58900000001</c:v>
                </c:pt>
                <c:pt idx="7">
                  <c:v>247639.20499999999</c:v>
                </c:pt>
                <c:pt idx="8">
                  <c:v>391856.44613573665</c:v>
                </c:pt>
              </c:numCache>
            </c:numRef>
          </c:val>
          <c:extLst>
            <c:ext xmlns:c16="http://schemas.microsoft.com/office/drawing/2014/chart" uri="{C3380CC4-5D6E-409C-BE32-E72D297353CC}">
              <c16:uniqueId val="{00000000-D595-4A6D-B493-2E1004C8FEE4}"/>
            </c:ext>
          </c:extLst>
        </c:ser>
        <c:ser>
          <c:idx val="1"/>
          <c:order val="1"/>
          <c:tx>
            <c:v>EBITDA - Capex</c:v>
          </c:tx>
          <c:spPr>
            <a:solidFill>
              <a:schemeClr val="accent2"/>
            </a:solidFill>
            <a:ln>
              <a:noFill/>
            </a:ln>
            <a:effectLst/>
          </c:spPr>
          <c:invertIfNegative val="0"/>
          <c:cat>
            <c:strRef>
              <c:f>'Historical Financials'!$AO$6:$AW$6</c:f>
              <c:strCache>
                <c:ptCount val="9"/>
                <c:pt idx="0">
                  <c:v>FY16</c:v>
                </c:pt>
                <c:pt idx="1">
                  <c:v>FY17</c:v>
                </c:pt>
                <c:pt idx="2">
                  <c:v>FY18</c:v>
                </c:pt>
                <c:pt idx="3">
                  <c:v>FY19</c:v>
                </c:pt>
                <c:pt idx="4">
                  <c:v>FY20</c:v>
                </c:pt>
                <c:pt idx="5">
                  <c:v>FY21</c:v>
                </c:pt>
                <c:pt idx="6">
                  <c:v>FY22</c:v>
                </c:pt>
                <c:pt idx="7">
                  <c:v>FY23</c:v>
                </c:pt>
                <c:pt idx="8">
                  <c:v>FY24e</c:v>
                </c:pt>
              </c:strCache>
            </c:strRef>
          </c:cat>
          <c:val>
            <c:numRef>
              <c:f>'Historical Financials'!$AO$92:$AW$92</c:f>
              <c:numCache>
                <c:formatCode>_(* #,##0_);_(* \(#,##0\);_(* "-"_);_(@_)</c:formatCode>
                <c:ptCount val="9"/>
                <c:pt idx="0">
                  <c:v>-287.75400000000008</c:v>
                </c:pt>
                <c:pt idx="1">
                  <c:v>-592.38</c:v>
                </c:pt>
                <c:pt idx="2">
                  <c:v>-10330.068999999998</c:v>
                </c:pt>
                <c:pt idx="3">
                  <c:v>-7927.8160000000007</c:v>
                </c:pt>
                <c:pt idx="4">
                  <c:v>-8771.848</c:v>
                </c:pt>
                <c:pt idx="5">
                  <c:v>5104.91</c:v>
                </c:pt>
                <c:pt idx="6">
                  <c:v>31990.374000000018</c:v>
                </c:pt>
                <c:pt idx="7">
                  <c:v>58901.117999999995</c:v>
                </c:pt>
                <c:pt idx="8">
                  <c:v>109847.920513775</c:v>
                </c:pt>
              </c:numCache>
            </c:numRef>
          </c:val>
          <c:extLst>
            <c:ext xmlns:c16="http://schemas.microsoft.com/office/drawing/2014/chart" uri="{C3380CC4-5D6E-409C-BE32-E72D297353CC}">
              <c16:uniqueId val="{00000001-D595-4A6D-B493-2E1004C8FEE4}"/>
            </c:ext>
          </c:extLst>
        </c:ser>
        <c:dLbls>
          <c:showLegendKey val="0"/>
          <c:showVal val="0"/>
          <c:showCatName val="0"/>
          <c:showSerName val="0"/>
          <c:showPercent val="0"/>
          <c:showBubbleSize val="0"/>
        </c:dLbls>
        <c:gapWidth val="219"/>
        <c:overlap val="-27"/>
        <c:axId val="1380435439"/>
        <c:axId val="1380436879"/>
      </c:barChart>
      <c:catAx>
        <c:axId val="13804354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36879"/>
        <c:crosses val="autoZero"/>
        <c:auto val="1"/>
        <c:lblAlgn val="ctr"/>
        <c:lblOffset val="100"/>
        <c:noMultiLvlLbl val="0"/>
      </c:catAx>
      <c:valAx>
        <c:axId val="1380436879"/>
        <c:scaling>
          <c:orientation val="minMax"/>
        </c:scaling>
        <c:delete val="0"/>
        <c:axPos val="l"/>
        <c:majorGridlines>
          <c:spPr>
            <a:ln w="9525" cap="flat" cmpd="sng" algn="ctr">
              <a:solidFill>
                <a:schemeClr val="tx1">
                  <a:lumMod val="15000"/>
                  <a:lumOff val="85000"/>
                </a:schemeClr>
              </a:solidFill>
              <a:round/>
            </a:ln>
            <a:effectLst/>
          </c:spPr>
        </c:majorGridlines>
        <c:numFmt formatCode="_ [$¥-804]* #,##0_ ;_ [$¥-804]* \-#,##0_ ;_ [$¥-804]* &quot;-&quot;_ ;_ @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435439"/>
        <c:crosses val="autoZero"/>
        <c:crossBetween val="between"/>
        <c:dispUnits>
          <c:builtInUnit val="thousands"/>
        </c:dispUnits>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China Profitability vs. Income</a:t>
            </a:r>
            <a:r>
              <a:rPr lang="en-US" b="1" baseline="0"/>
              <a:t> Taxes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0"/>
          <c:spPr>
            <a:solidFill>
              <a:schemeClr val="accent1"/>
            </a:solidFill>
            <a:ln>
              <a:noFill/>
            </a:ln>
            <a:effectLst/>
          </c:spPr>
          <c:invertIfNegative val="0"/>
          <c:cat>
            <c:strRef>
              <c:f>Sheet1!$F$7:$Q$7</c:f>
              <c:strCache>
                <c:ptCount val="12"/>
                <c:pt idx="0">
                  <c:v>3Q21</c:v>
                </c:pt>
                <c:pt idx="1">
                  <c:v>4Q21</c:v>
                </c:pt>
                <c:pt idx="2">
                  <c:v>1Q22</c:v>
                </c:pt>
                <c:pt idx="3">
                  <c:v>2Q22</c:v>
                </c:pt>
                <c:pt idx="4">
                  <c:v>3Q22</c:v>
                </c:pt>
                <c:pt idx="5">
                  <c:v>4Q22</c:v>
                </c:pt>
                <c:pt idx="6">
                  <c:v>1Q23</c:v>
                </c:pt>
                <c:pt idx="7">
                  <c:v>2Q23</c:v>
                </c:pt>
                <c:pt idx="8">
                  <c:v>3Q23</c:v>
                </c:pt>
                <c:pt idx="9">
                  <c:v>4Q23</c:v>
                </c:pt>
                <c:pt idx="10">
                  <c:v>1Q24</c:v>
                </c:pt>
                <c:pt idx="11">
                  <c:v>2Q24</c:v>
                </c:pt>
              </c:strCache>
            </c:strRef>
          </c:cat>
          <c:val>
            <c:numRef>
              <c:f>Sheet1!$F$21:$Q$21</c:f>
              <c:numCache>
                <c:formatCode>_(* #,##0_);_(* \(#,##0\);_(* "-"_);_(@_)</c:formatCode>
                <c:ptCount val="12"/>
                <c:pt idx="0">
                  <c:v>-133.9230000000025</c:v>
                </c:pt>
                <c:pt idx="1">
                  <c:v>4478.5050000000047</c:v>
                </c:pt>
                <c:pt idx="2">
                  <c:v>-4266.5760000000046</c:v>
                </c:pt>
                <c:pt idx="3">
                  <c:v>7014.2260000000024</c:v>
                </c:pt>
                <c:pt idx="4">
                  <c:v>3252.9939999999988</c:v>
                </c:pt>
                <c:pt idx="5">
                  <c:v>2539.5579999999936</c:v>
                </c:pt>
                <c:pt idx="6">
                  <c:v>-3720.7769999999946</c:v>
                </c:pt>
                <c:pt idx="7">
                  <c:v>10688.404999999999</c:v>
                </c:pt>
                <c:pt idx="8">
                  <c:v>1754.8470000000016</c:v>
                </c:pt>
                <c:pt idx="9">
                  <c:v>8987.9400000000023</c:v>
                </c:pt>
                <c:pt idx="10">
                  <c:v>-6219.375</c:v>
                </c:pt>
                <c:pt idx="11">
                  <c:v>6659.6229999999996</c:v>
                </c:pt>
              </c:numCache>
            </c:numRef>
          </c:val>
          <c:extLst>
            <c:ext xmlns:c16="http://schemas.microsoft.com/office/drawing/2014/chart" uri="{C3380CC4-5D6E-409C-BE32-E72D297353CC}">
              <c16:uniqueId val="{00000002-F18F-4A44-8D0A-89E7A81A8DC3}"/>
            </c:ext>
          </c:extLst>
        </c:ser>
        <c:ser>
          <c:idx val="0"/>
          <c:order val="1"/>
          <c:spPr>
            <a:solidFill>
              <a:schemeClr val="accent2"/>
            </a:solidFill>
            <a:ln>
              <a:noFill/>
            </a:ln>
            <a:effectLst/>
          </c:spPr>
          <c:invertIfNegative val="0"/>
          <c:cat>
            <c:strRef>
              <c:f>Sheet1!$F$7:$Q$7</c:f>
              <c:strCache>
                <c:ptCount val="12"/>
                <c:pt idx="0">
                  <c:v>3Q21</c:v>
                </c:pt>
                <c:pt idx="1">
                  <c:v>4Q21</c:v>
                </c:pt>
                <c:pt idx="2">
                  <c:v>1Q22</c:v>
                </c:pt>
                <c:pt idx="3">
                  <c:v>2Q22</c:v>
                </c:pt>
                <c:pt idx="4">
                  <c:v>3Q22</c:v>
                </c:pt>
                <c:pt idx="5">
                  <c:v>4Q22</c:v>
                </c:pt>
                <c:pt idx="6">
                  <c:v>1Q23</c:v>
                </c:pt>
                <c:pt idx="7">
                  <c:v>2Q23</c:v>
                </c:pt>
                <c:pt idx="8">
                  <c:v>3Q23</c:v>
                </c:pt>
                <c:pt idx="9">
                  <c:v>4Q23</c:v>
                </c:pt>
                <c:pt idx="10">
                  <c:v>1Q24</c:v>
                </c:pt>
                <c:pt idx="11">
                  <c:v>2Q24</c:v>
                </c:pt>
              </c:strCache>
            </c:strRef>
          </c:cat>
          <c:val>
            <c:numRef>
              <c:f>Sheet1!$F$14:$Q$14</c:f>
              <c:numCache>
                <c:formatCode>_(* #,##0_);_(* \(#,##0\);_(* "-"_);_(@_)</c:formatCode>
                <c:ptCount val="12"/>
                <c:pt idx="0">
                  <c:v>75.482999999998356</c:v>
                </c:pt>
                <c:pt idx="1">
                  <c:v>5138.9470000000147</c:v>
                </c:pt>
                <c:pt idx="2">
                  <c:v>-4722.516000000016</c:v>
                </c:pt>
                <c:pt idx="3">
                  <c:v>6864.3590000000004</c:v>
                </c:pt>
                <c:pt idx="4">
                  <c:v>2914.9077665765199</c:v>
                </c:pt>
                <c:pt idx="5">
                  <c:v>804.06251897011134</c:v>
                </c:pt>
                <c:pt idx="6">
                  <c:v>-1292.708023125515</c:v>
                </c:pt>
                <c:pt idx="7">
                  <c:v>9477.7023936702099</c:v>
                </c:pt>
                <c:pt idx="8">
                  <c:v>95.699792137900658</c:v>
                </c:pt>
                <c:pt idx="9">
                  <c:v>7368.6467519340076</c:v>
                </c:pt>
                <c:pt idx="10">
                  <c:v>-4352.3653426235433</c:v>
                </c:pt>
                <c:pt idx="11">
                  <c:v>4411.5729209743913</c:v>
                </c:pt>
              </c:numCache>
            </c:numRef>
          </c:val>
          <c:extLst>
            <c:ext xmlns:c16="http://schemas.microsoft.com/office/drawing/2014/chart" uri="{C3380CC4-5D6E-409C-BE32-E72D297353CC}">
              <c16:uniqueId val="{00000000-F18F-4A44-8D0A-89E7A81A8DC3}"/>
            </c:ext>
          </c:extLst>
        </c:ser>
        <c:ser>
          <c:idx val="1"/>
          <c:order val="2"/>
          <c:spPr>
            <a:solidFill>
              <a:schemeClr val="accent3"/>
            </a:solidFill>
            <a:ln>
              <a:noFill/>
            </a:ln>
            <a:effectLst/>
          </c:spPr>
          <c:invertIfNegative val="0"/>
          <c:cat>
            <c:strRef>
              <c:f>Sheet1!$F$7:$Q$7</c:f>
              <c:strCache>
                <c:ptCount val="12"/>
                <c:pt idx="0">
                  <c:v>3Q21</c:v>
                </c:pt>
                <c:pt idx="1">
                  <c:v>4Q21</c:v>
                </c:pt>
                <c:pt idx="2">
                  <c:v>1Q22</c:v>
                </c:pt>
                <c:pt idx="3">
                  <c:v>2Q22</c:v>
                </c:pt>
                <c:pt idx="4">
                  <c:v>3Q22</c:v>
                </c:pt>
                <c:pt idx="5">
                  <c:v>4Q22</c:v>
                </c:pt>
                <c:pt idx="6">
                  <c:v>1Q23</c:v>
                </c:pt>
                <c:pt idx="7">
                  <c:v>2Q23</c:v>
                </c:pt>
                <c:pt idx="8">
                  <c:v>3Q23</c:v>
                </c:pt>
                <c:pt idx="9">
                  <c:v>4Q23</c:v>
                </c:pt>
                <c:pt idx="10">
                  <c:v>1Q24</c:v>
                </c:pt>
                <c:pt idx="11">
                  <c:v>2Q24</c:v>
                </c:pt>
              </c:strCache>
            </c:strRef>
          </c:cat>
          <c:val>
            <c:numRef>
              <c:f>Sheet1!$F$24:$Q$24</c:f>
              <c:numCache>
                <c:formatCode>_(* #,##0_);_(* \(#,##0\);_(* "-"_);_(@_)</c:formatCode>
                <c:ptCount val="12"/>
                <c:pt idx="0">
                  <c:v>854.76599999999996</c:v>
                </c:pt>
                <c:pt idx="1">
                  <c:v>224.053</c:v>
                </c:pt>
                <c:pt idx="2">
                  <c:v>-514.005</c:v>
                </c:pt>
                <c:pt idx="3">
                  <c:v>993.24900000000014</c:v>
                </c:pt>
                <c:pt idx="4">
                  <c:v>-20.886000000000195</c:v>
                </c:pt>
                <c:pt idx="5">
                  <c:v>-471.56399999999962</c:v>
                </c:pt>
                <c:pt idx="6">
                  <c:v>532.16199999999981</c:v>
                </c:pt>
                <c:pt idx="7">
                  <c:v>1560.6669999999999</c:v>
                </c:pt>
                <c:pt idx="8">
                  <c:v>355.03800000000001</c:v>
                </c:pt>
                <c:pt idx="9">
                  <c:v>66.726999999999862</c:v>
                </c:pt>
                <c:pt idx="10">
                  <c:v>1487.5450000000005</c:v>
                </c:pt>
                <c:pt idx="11">
                  <c:v>846.86099999999988</c:v>
                </c:pt>
              </c:numCache>
            </c:numRef>
          </c:val>
          <c:extLst>
            <c:ext xmlns:c16="http://schemas.microsoft.com/office/drawing/2014/chart" uri="{C3380CC4-5D6E-409C-BE32-E72D297353CC}">
              <c16:uniqueId val="{00000001-F18F-4A44-8D0A-89E7A81A8DC3}"/>
            </c:ext>
          </c:extLst>
        </c:ser>
        <c:dLbls>
          <c:showLegendKey val="0"/>
          <c:showVal val="0"/>
          <c:showCatName val="0"/>
          <c:showSerName val="0"/>
          <c:showPercent val="0"/>
          <c:showBubbleSize val="0"/>
        </c:dLbls>
        <c:gapWidth val="219"/>
        <c:axId val="22213088"/>
        <c:axId val="22210688"/>
      </c:barChart>
      <c:catAx>
        <c:axId val="2221308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0688"/>
        <c:crosses val="autoZero"/>
        <c:auto val="1"/>
        <c:lblAlgn val="ctr"/>
        <c:lblOffset val="100"/>
        <c:noMultiLvlLbl val="0"/>
      </c:catAx>
      <c:valAx>
        <c:axId val="22210688"/>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13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OTR Backtest - GMV Growth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OTR!$B$10</c:f>
              <c:strCache>
                <c:ptCount val="1"/>
                <c:pt idx="0">
                  <c:v>Sales Growth per OTR</c:v>
                </c:pt>
              </c:strCache>
            </c:strRef>
          </c:tx>
          <c:spPr>
            <a:ln w="28575" cap="rnd">
              <a:solidFill>
                <a:schemeClr val="accent1"/>
              </a:solidFill>
              <a:round/>
            </a:ln>
            <a:effectLst/>
          </c:spPr>
          <c:marker>
            <c:symbol val="none"/>
          </c:marker>
          <c:cat>
            <c:strRef>
              <c:f>OTR!$C$6:$P$6</c:f>
              <c:strCache>
                <c:ptCount val="14"/>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strCache>
            </c:strRef>
          </c:cat>
          <c:val>
            <c:numRef>
              <c:f>OTR!$C$10:$P$10</c:f>
              <c:numCache>
                <c:formatCode>_(* #,##0.0%_);_(* \(#,##0.0%\);_(* "-"_);_(@_)</c:formatCode>
                <c:ptCount val="14"/>
                <c:pt idx="0">
                  <c:v>0.59499999999999997</c:v>
                </c:pt>
                <c:pt idx="1">
                  <c:v>0.48499999999999999</c:v>
                </c:pt>
                <c:pt idx="2">
                  <c:v>0.375</c:v>
                </c:pt>
                <c:pt idx="3">
                  <c:v>0.29500000000000004</c:v>
                </c:pt>
                <c:pt idx="4">
                  <c:v>-0.10500000000000001</c:v>
                </c:pt>
                <c:pt idx="5">
                  <c:v>3.4999999999999996E-2</c:v>
                </c:pt>
                <c:pt idx="6">
                  <c:v>0.14500000000000002</c:v>
                </c:pt>
                <c:pt idx="7">
                  <c:v>-0.02</c:v>
                </c:pt>
                <c:pt idx="8">
                  <c:v>0.26500000000000001</c:v>
                </c:pt>
                <c:pt idx="9">
                  <c:v>0.30500000000000005</c:v>
                </c:pt>
                <c:pt idx="10">
                  <c:v>0.35499999999999998</c:v>
                </c:pt>
                <c:pt idx="11">
                  <c:v>0.36499999999999999</c:v>
                </c:pt>
                <c:pt idx="12">
                  <c:v>0.255</c:v>
                </c:pt>
                <c:pt idx="13">
                  <c:v>0.26500000000000001</c:v>
                </c:pt>
              </c:numCache>
            </c:numRef>
          </c:val>
          <c:smooth val="0"/>
          <c:extLst>
            <c:ext xmlns:c16="http://schemas.microsoft.com/office/drawing/2014/chart" uri="{C3380CC4-5D6E-409C-BE32-E72D297353CC}">
              <c16:uniqueId val="{00000000-CC78-444D-B578-3654F04FC483}"/>
            </c:ext>
          </c:extLst>
        </c:ser>
        <c:ser>
          <c:idx val="1"/>
          <c:order val="1"/>
          <c:tx>
            <c:strRef>
              <c:f>OTR!$B$20</c:f>
              <c:strCache>
                <c:ptCount val="1"/>
                <c:pt idx="0">
                  <c:v>Net GMV Growth per CRC</c:v>
                </c:pt>
              </c:strCache>
            </c:strRef>
          </c:tx>
          <c:spPr>
            <a:ln w="28575" cap="rnd">
              <a:solidFill>
                <a:schemeClr val="accent2"/>
              </a:solidFill>
              <a:round/>
            </a:ln>
            <a:effectLst/>
          </c:spPr>
          <c:marker>
            <c:symbol val="none"/>
          </c:marker>
          <c:cat>
            <c:strRef>
              <c:f>OTR!$C$6:$P$6</c:f>
              <c:strCache>
                <c:ptCount val="14"/>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strCache>
            </c:strRef>
          </c:cat>
          <c:val>
            <c:numRef>
              <c:f>OTR!$C$20:$P$20</c:f>
              <c:numCache>
                <c:formatCode>_(* #,##0%_);_(* \(#,##0%\);_(* "-"_);_(@_)</c:formatCode>
                <c:ptCount val="14"/>
                <c:pt idx="0">
                  <c:v>1.1000000000000001</c:v>
                </c:pt>
                <c:pt idx="1">
                  <c:v>0.38938048231495559</c:v>
                </c:pt>
                <c:pt idx="2">
                  <c:v>0.35738057803149448</c:v>
                </c:pt>
                <c:pt idx="3">
                  <c:v>0.20750633737572843</c:v>
                </c:pt>
                <c:pt idx="4">
                  <c:v>0.19099018776633803</c:v>
                </c:pt>
                <c:pt idx="5">
                  <c:v>0.14705323370581125</c:v>
                </c:pt>
                <c:pt idx="6">
                  <c:v>0.23999999999999977</c:v>
                </c:pt>
                <c:pt idx="7">
                  <c:v>0.17999999999999994</c:v>
                </c:pt>
                <c:pt idx="8">
                  <c:v>0.25000000000000022</c:v>
                </c:pt>
                <c:pt idx="9">
                  <c:v>0.30000000000000004</c:v>
                </c:pt>
                <c:pt idx="10">
                  <c:v>0.20999999999999996</c:v>
                </c:pt>
                <c:pt idx="11">
                  <c:v>0.25</c:v>
                </c:pt>
                <c:pt idx="12">
                  <c:v>0.21000042012060072</c:v>
                </c:pt>
                <c:pt idx="13">
                  <c:v>0.20000004331199706</c:v>
                </c:pt>
              </c:numCache>
            </c:numRef>
          </c:val>
          <c:smooth val="0"/>
          <c:extLst>
            <c:ext xmlns:c16="http://schemas.microsoft.com/office/drawing/2014/chart" uri="{C3380CC4-5D6E-409C-BE32-E72D297353CC}">
              <c16:uniqueId val="{00000001-CC78-444D-B578-3654F04FC483}"/>
            </c:ext>
          </c:extLst>
        </c:ser>
        <c:dLbls>
          <c:showLegendKey val="0"/>
          <c:showVal val="0"/>
          <c:showCatName val="0"/>
          <c:showSerName val="0"/>
          <c:showPercent val="0"/>
          <c:showBubbleSize val="0"/>
        </c:dLbls>
        <c:smooth val="0"/>
        <c:axId val="1213296992"/>
        <c:axId val="1213292672"/>
      </c:lineChart>
      <c:catAx>
        <c:axId val="121329699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92672"/>
        <c:crosses val="autoZero"/>
        <c:auto val="1"/>
        <c:lblAlgn val="ctr"/>
        <c:lblOffset val="100"/>
        <c:noMultiLvlLbl val="0"/>
      </c:catAx>
      <c:valAx>
        <c:axId val="1213292672"/>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9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OTR Backtest - Take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OTR!$B$14</c:f>
              <c:strCache>
                <c:ptCount val="1"/>
                <c:pt idx="0">
                  <c:v>Ad Spending (% of Sales) per OTR</c:v>
                </c:pt>
              </c:strCache>
            </c:strRef>
          </c:tx>
          <c:spPr>
            <a:ln w="28575" cap="rnd">
              <a:solidFill>
                <a:schemeClr val="accent1"/>
              </a:solidFill>
              <a:round/>
            </a:ln>
            <a:effectLst/>
          </c:spPr>
          <c:marker>
            <c:symbol val="none"/>
          </c:marker>
          <c:cat>
            <c:strRef>
              <c:f>OTR!$C$6:$P$6</c:f>
              <c:strCache>
                <c:ptCount val="14"/>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strCache>
            </c:strRef>
          </c:cat>
          <c:val>
            <c:numRef>
              <c:f>OTR!$C$14:$P$14</c:f>
              <c:numCache>
                <c:formatCode>_(* #,##0.0%_);_(* \(#,##0.0%\);_(* "-"_);_(@_)</c:formatCode>
                <c:ptCount val="14"/>
                <c:pt idx="0">
                  <c:v>8.4999999999999992E-2</c:v>
                </c:pt>
                <c:pt idx="1">
                  <c:v>6.5000000000000002E-2</c:v>
                </c:pt>
                <c:pt idx="2">
                  <c:v>7.5000000000000011E-2</c:v>
                </c:pt>
                <c:pt idx="3">
                  <c:v>6.5000000000000002E-2</c:v>
                </c:pt>
                <c:pt idx="4">
                  <c:v>6.5000000000000002E-2</c:v>
                </c:pt>
                <c:pt idx="5">
                  <c:v>6.5000000000000002E-2</c:v>
                </c:pt>
                <c:pt idx="6">
                  <c:v>7.5000000000000011E-2</c:v>
                </c:pt>
                <c:pt idx="7">
                  <c:v>7.5000000000000011E-2</c:v>
                </c:pt>
                <c:pt idx="8">
                  <c:v>8.4999999999999992E-2</c:v>
                </c:pt>
                <c:pt idx="9">
                  <c:v>0.115</c:v>
                </c:pt>
                <c:pt idx="10">
                  <c:v>0.10500000000000001</c:v>
                </c:pt>
                <c:pt idx="11">
                  <c:v>0.13500000000000001</c:v>
                </c:pt>
                <c:pt idx="12">
                  <c:v>0.13500000000000001</c:v>
                </c:pt>
                <c:pt idx="13">
                  <c:v>0.115</c:v>
                </c:pt>
              </c:numCache>
            </c:numRef>
          </c:val>
          <c:smooth val="0"/>
          <c:extLst>
            <c:ext xmlns:c16="http://schemas.microsoft.com/office/drawing/2014/chart" uri="{C3380CC4-5D6E-409C-BE32-E72D297353CC}">
              <c16:uniqueId val="{00000000-E3F8-412A-92D5-F3338D148003}"/>
            </c:ext>
          </c:extLst>
        </c:ser>
        <c:ser>
          <c:idx val="1"/>
          <c:order val="1"/>
          <c:tx>
            <c:strRef>
              <c:f>OTR!$B$21</c:f>
              <c:strCache>
                <c:ptCount val="1"/>
                <c:pt idx="0">
                  <c:v>Net Take Rate % per CRC</c:v>
                </c:pt>
              </c:strCache>
            </c:strRef>
          </c:tx>
          <c:spPr>
            <a:ln w="28575" cap="rnd">
              <a:solidFill>
                <a:schemeClr val="accent2"/>
              </a:solidFill>
              <a:round/>
            </a:ln>
            <a:effectLst/>
          </c:spPr>
          <c:marker>
            <c:symbol val="none"/>
          </c:marker>
          <c:cat>
            <c:strRef>
              <c:f>OTR!$C$6:$P$6</c:f>
              <c:strCache>
                <c:ptCount val="14"/>
                <c:pt idx="0">
                  <c:v>1Q21</c:v>
                </c:pt>
                <c:pt idx="1">
                  <c:v>2Q21</c:v>
                </c:pt>
                <c:pt idx="2">
                  <c:v>3Q21</c:v>
                </c:pt>
                <c:pt idx="3">
                  <c:v>4Q21</c:v>
                </c:pt>
                <c:pt idx="4">
                  <c:v>1Q22</c:v>
                </c:pt>
                <c:pt idx="5">
                  <c:v>2Q22</c:v>
                </c:pt>
                <c:pt idx="6">
                  <c:v>3Q22</c:v>
                </c:pt>
                <c:pt idx="7">
                  <c:v>4Q22</c:v>
                </c:pt>
                <c:pt idx="8">
                  <c:v>1Q23</c:v>
                </c:pt>
                <c:pt idx="9">
                  <c:v>2Q23</c:v>
                </c:pt>
                <c:pt idx="10">
                  <c:v>3Q23</c:v>
                </c:pt>
                <c:pt idx="11">
                  <c:v>4Q23</c:v>
                </c:pt>
                <c:pt idx="12">
                  <c:v>1Q24</c:v>
                </c:pt>
                <c:pt idx="13">
                  <c:v>2Q24</c:v>
                </c:pt>
              </c:strCache>
            </c:strRef>
          </c:cat>
          <c:val>
            <c:numRef>
              <c:f>OTR!$C$21:$P$21</c:f>
              <c:numCache>
                <c:formatCode>_(* #,##0.0%_);_(* \(#,##0.0%\);_(* "-"_);_(@_)</c:formatCode>
                <c:ptCount val="14"/>
                <c:pt idx="0">
                  <c:v>5.2521737500299398E-2</c:v>
                </c:pt>
                <c:pt idx="1">
                  <c:v>5.5727829417572303E-2</c:v>
                </c:pt>
                <c:pt idx="2">
                  <c:v>5.1547105853767893E-2</c:v>
                </c:pt>
                <c:pt idx="3">
                  <c:v>5.6142787571689723E-2</c:v>
                </c:pt>
                <c:pt idx="4">
                  <c:v>5.6452902027095096E-2</c:v>
                </c:pt>
                <c:pt idx="5">
                  <c:v>6.9843199642327797E-2</c:v>
                </c:pt>
                <c:pt idx="6">
                  <c:v>7.0069408545119991E-2</c:v>
                </c:pt>
                <c:pt idx="7">
                  <c:v>6.9491065866950377E-2</c:v>
                </c:pt>
                <c:pt idx="8">
                  <c:v>6.8995528452332797E-2</c:v>
                </c:pt>
                <c:pt idx="9">
                  <c:v>8.2418700624894259E-2</c:v>
                </c:pt>
                <c:pt idx="10">
                  <c:v>8.1323167103180688E-2</c:v>
                </c:pt>
                <c:pt idx="11">
                  <c:v>9.0023195166857514E-2</c:v>
                </c:pt>
                <c:pt idx="12">
                  <c:v>8.9292294287253507E-2</c:v>
                </c:pt>
                <c:pt idx="13">
                  <c:v>9.0015934388028851E-2</c:v>
                </c:pt>
              </c:numCache>
            </c:numRef>
          </c:val>
          <c:smooth val="0"/>
          <c:extLst>
            <c:ext xmlns:c16="http://schemas.microsoft.com/office/drawing/2014/chart" uri="{C3380CC4-5D6E-409C-BE32-E72D297353CC}">
              <c16:uniqueId val="{00000001-E3F8-412A-92D5-F3338D148003}"/>
            </c:ext>
          </c:extLst>
        </c:ser>
        <c:dLbls>
          <c:showLegendKey val="0"/>
          <c:showVal val="0"/>
          <c:showCatName val="0"/>
          <c:showSerName val="0"/>
          <c:showPercent val="0"/>
          <c:showBubbleSize val="0"/>
        </c:dLbls>
        <c:smooth val="0"/>
        <c:axId val="1213296992"/>
        <c:axId val="1213292672"/>
      </c:lineChart>
      <c:catAx>
        <c:axId val="121329699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92672"/>
        <c:crosses val="autoZero"/>
        <c:auto val="1"/>
        <c:lblAlgn val="ctr"/>
        <c:lblOffset val="100"/>
        <c:noMultiLvlLbl val="0"/>
      </c:catAx>
      <c:valAx>
        <c:axId val="1213292672"/>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3296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116</xdr:row>
      <xdr:rowOff>224</xdr:rowOff>
    </xdr:to>
    <xdr:cxnSp macro="">
      <xdr:nvCxnSpPr>
        <xdr:cNvPr id="3" name="Straight Connector 2">
          <a:extLst>
            <a:ext uri="{FF2B5EF4-FFF2-40B4-BE49-F238E27FC236}">
              <a16:creationId xmlns:a16="http://schemas.microsoft.com/office/drawing/2014/main" id="{17378468-3D5A-4D10-9B1E-83FAE2552752}"/>
            </a:ext>
          </a:extLst>
        </xdr:cNvPr>
        <xdr:cNvCxnSpPr/>
      </xdr:nvCxnSpPr>
      <xdr:spPr>
        <a:xfrm>
          <a:off x="6006353" y="627529"/>
          <a:ext cx="0" cy="12425307"/>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116</xdr:row>
      <xdr:rowOff>224</xdr:rowOff>
    </xdr:to>
    <xdr:cxnSp macro="">
      <xdr:nvCxnSpPr>
        <xdr:cNvPr id="2" name="Straight Connector 1">
          <a:extLst>
            <a:ext uri="{FF2B5EF4-FFF2-40B4-BE49-F238E27FC236}">
              <a16:creationId xmlns:a16="http://schemas.microsoft.com/office/drawing/2014/main" id="{C77F7220-CBDD-4434-AB71-17B1D413B8DE}"/>
            </a:ext>
          </a:extLst>
        </xdr:cNvPr>
        <xdr:cNvCxnSpPr/>
      </xdr:nvCxnSpPr>
      <xdr:spPr>
        <a:xfrm>
          <a:off x="5681382" y="616324"/>
          <a:ext cx="0" cy="12965429"/>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5</xdr:row>
      <xdr:rowOff>0</xdr:rowOff>
    </xdr:from>
    <xdr:to>
      <xdr:col>10</xdr:col>
      <xdr:colOff>0</xdr:colOff>
      <xdr:row>53</xdr:row>
      <xdr:rowOff>9525</xdr:rowOff>
    </xdr:to>
    <xdr:cxnSp macro="">
      <xdr:nvCxnSpPr>
        <xdr:cNvPr id="3" name="Straight Connector 2">
          <a:extLst>
            <a:ext uri="{FF2B5EF4-FFF2-40B4-BE49-F238E27FC236}">
              <a16:creationId xmlns:a16="http://schemas.microsoft.com/office/drawing/2014/main" id="{4A1A2B7E-A020-4142-A63B-E6568679E9CB}"/>
            </a:ext>
          </a:extLst>
        </xdr:cNvPr>
        <xdr:cNvCxnSpPr/>
      </xdr:nvCxnSpPr>
      <xdr:spPr>
        <a:xfrm>
          <a:off x="6006353" y="627529"/>
          <a:ext cx="0" cy="627585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515471</xdr:colOff>
      <xdr:row>5</xdr:row>
      <xdr:rowOff>472</xdr:rowOff>
    </xdr:from>
    <xdr:to>
      <xdr:col>10</xdr:col>
      <xdr:colOff>515471</xdr:colOff>
      <xdr:row>858</xdr:row>
      <xdr:rowOff>69052</xdr:rowOff>
    </xdr:to>
    <xdr:cxnSp macro="">
      <xdr:nvCxnSpPr>
        <xdr:cNvPr id="3" name="Straight Connector 2">
          <a:extLst>
            <a:ext uri="{FF2B5EF4-FFF2-40B4-BE49-F238E27FC236}">
              <a16:creationId xmlns:a16="http://schemas.microsoft.com/office/drawing/2014/main" id="{3D318C76-22E4-7D2F-CB93-8A46B308F1B4}"/>
            </a:ext>
          </a:extLst>
        </xdr:cNvPr>
        <xdr:cNvCxnSpPr/>
      </xdr:nvCxnSpPr>
      <xdr:spPr>
        <a:xfrm>
          <a:off x="3910853" y="661619"/>
          <a:ext cx="0" cy="6426708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xdr:row>
      <xdr:rowOff>0</xdr:rowOff>
    </xdr:from>
    <xdr:to>
      <xdr:col>15</xdr:col>
      <xdr:colOff>0</xdr:colOff>
      <xdr:row>858</xdr:row>
      <xdr:rowOff>68580</xdr:rowOff>
    </xdr:to>
    <xdr:cxnSp macro="">
      <xdr:nvCxnSpPr>
        <xdr:cNvPr id="5" name="Straight Connector 4">
          <a:extLst>
            <a:ext uri="{FF2B5EF4-FFF2-40B4-BE49-F238E27FC236}">
              <a16:creationId xmlns:a16="http://schemas.microsoft.com/office/drawing/2014/main" id="{6E02F916-DC0D-4C81-980A-D6FB6203F0AB}"/>
            </a:ext>
          </a:extLst>
        </xdr:cNvPr>
        <xdr:cNvCxnSpPr/>
      </xdr:nvCxnSpPr>
      <xdr:spPr>
        <a:xfrm>
          <a:off x="556260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xdr:row>
      <xdr:rowOff>0</xdr:rowOff>
    </xdr:from>
    <xdr:to>
      <xdr:col>19</xdr:col>
      <xdr:colOff>0</xdr:colOff>
      <xdr:row>858</xdr:row>
      <xdr:rowOff>68580</xdr:rowOff>
    </xdr:to>
    <xdr:cxnSp macro="">
      <xdr:nvCxnSpPr>
        <xdr:cNvPr id="6" name="Straight Connector 5">
          <a:extLst>
            <a:ext uri="{FF2B5EF4-FFF2-40B4-BE49-F238E27FC236}">
              <a16:creationId xmlns:a16="http://schemas.microsoft.com/office/drawing/2014/main" id="{EC497A4A-CFD3-4754-BD62-69031902256A}"/>
            </a:ext>
          </a:extLst>
        </xdr:cNvPr>
        <xdr:cNvCxnSpPr/>
      </xdr:nvCxnSpPr>
      <xdr:spPr>
        <a:xfrm>
          <a:off x="751332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0</xdr:rowOff>
    </xdr:from>
    <xdr:to>
      <xdr:col>23</xdr:col>
      <xdr:colOff>0</xdr:colOff>
      <xdr:row>858</xdr:row>
      <xdr:rowOff>68580</xdr:rowOff>
    </xdr:to>
    <xdr:cxnSp macro="">
      <xdr:nvCxnSpPr>
        <xdr:cNvPr id="7" name="Straight Connector 6">
          <a:extLst>
            <a:ext uri="{FF2B5EF4-FFF2-40B4-BE49-F238E27FC236}">
              <a16:creationId xmlns:a16="http://schemas.microsoft.com/office/drawing/2014/main" id="{0EE1E98C-612E-4952-B82A-97D4D6E39931}"/>
            </a:ext>
          </a:extLst>
        </xdr:cNvPr>
        <xdr:cNvCxnSpPr/>
      </xdr:nvCxnSpPr>
      <xdr:spPr>
        <a:xfrm>
          <a:off x="946404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5</xdr:row>
      <xdr:rowOff>0</xdr:rowOff>
    </xdr:from>
    <xdr:to>
      <xdr:col>27</xdr:col>
      <xdr:colOff>0</xdr:colOff>
      <xdr:row>858</xdr:row>
      <xdr:rowOff>68580</xdr:rowOff>
    </xdr:to>
    <xdr:cxnSp macro="">
      <xdr:nvCxnSpPr>
        <xdr:cNvPr id="8" name="Straight Connector 7">
          <a:extLst>
            <a:ext uri="{FF2B5EF4-FFF2-40B4-BE49-F238E27FC236}">
              <a16:creationId xmlns:a16="http://schemas.microsoft.com/office/drawing/2014/main" id="{762D1894-B147-4BAF-A0A6-955936E4F384}"/>
            </a:ext>
          </a:extLst>
        </xdr:cNvPr>
        <xdr:cNvCxnSpPr/>
      </xdr:nvCxnSpPr>
      <xdr:spPr>
        <a:xfrm>
          <a:off x="1141476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5</xdr:row>
      <xdr:rowOff>0</xdr:rowOff>
    </xdr:from>
    <xdr:to>
      <xdr:col>31</xdr:col>
      <xdr:colOff>0</xdr:colOff>
      <xdr:row>858</xdr:row>
      <xdr:rowOff>68580</xdr:rowOff>
    </xdr:to>
    <xdr:cxnSp macro="">
      <xdr:nvCxnSpPr>
        <xdr:cNvPr id="9" name="Straight Connector 8">
          <a:extLst>
            <a:ext uri="{FF2B5EF4-FFF2-40B4-BE49-F238E27FC236}">
              <a16:creationId xmlns:a16="http://schemas.microsoft.com/office/drawing/2014/main" id="{A55C2307-5ED7-470E-9692-76DD07E4378B}"/>
            </a:ext>
          </a:extLst>
        </xdr:cNvPr>
        <xdr:cNvCxnSpPr/>
      </xdr:nvCxnSpPr>
      <xdr:spPr>
        <a:xfrm>
          <a:off x="13365480" y="647700"/>
          <a:ext cx="0" cy="502920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0</xdr:colOff>
      <xdr:row>5</xdr:row>
      <xdr:rowOff>0</xdr:rowOff>
    </xdr:from>
    <xdr:to>
      <xdr:col>48</xdr:col>
      <xdr:colOff>0</xdr:colOff>
      <xdr:row>858</xdr:row>
      <xdr:rowOff>68580</xdr:rowOff>
    </xdr:to>
    <xdr:cxnSp macro="">
      <xdr:nvCxnSpPr>
        <xdr:cNvPr id="2" name="Straight Connector 1">
          <a:extLst>
            <a:ext uri="{FF2B5EF4-FFF2-40B4-BE49-F238E27FC236}">
              <a16:creationId xmlns:a16="http://schemas.microsoft.com/office/drawing/2014/main" id="{DA3800F9-2DC8-4C0D-BCF5-81F97C0874A5}"/>
            </a:ext>
          </a:extLst>
        </xdr:cNvPr>
        <xdr:cNvCxnSpPr/>
      </xdr:nvCxnSpPr>
      <xdr:spPr>
        <a:xfrm>
          <a:off x="17632680" y="647700"/>
          <a:ext cx="0" cy="6398514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438148</xdr:colOff>
      <xdr:row>81</xdr:row>
      <xdr:rowOff>19049</xdr:rowOff>
    </xdr:from>
    <xdr:to>
      <xdr:col>63</xdr:col>
      <xdr:colOff>347661</xdr:colOff>
      <xdr:row>107</xdr:row>
      <xdr:rowOff>0</xdr:rowOff>
    </xdr:to>
    <xdr:graphicFrame macro="">
      <xdr:nvGraphicFramePr>
        <xdr:cNvPr id="10" name="Chart 9">
          <a:extLst>
            <a:ext uri="{FF2B5EF4-FFF2-40B4-BE49-F238E27FC236}">
              <a16:creationId xmlns:a16="http://schemas.microsoft.com/office/drawing/2014/main" id="{F07C6A15-0B6F-2991-08BB-5BA5C80DF2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33</xdr:col>
      <xdr:colOff>0</xdr:colOff>
      <xdr:row>5</xdr:row>
      <xdr:rowOff>0</xdr:rowOff>
    </xdr:from>
    <xdr:to>
      <xdr:col>33</xdr:col>
      <xdr:colOff>0</xdr:colOff>
      <xdr:row>858</xdr:row>
      <xdr:rowOff>68580</xdr:rowOff>
    </xdr:to>
    <xdr:cxnSp macro="">
      <xdr:nvCxnSpPr>
        <xdr:cNvPr id="11" name="Straight Connector 10">
          <a:extLst>
            <a:ext uri="{FF2B5EF4-FFF2-40B4-BE49-F238E27FC236}">
              <a16:creationId xmlns:a16="http://schemas.microsoft.com/office/drawing/2014/main" id="{B1076164-D334-4337-AC1D-27EB5790A2CF}"/>
            </a:ext>
          </a:extLst>
        </xdr:cNvPr>
        <xdr:cNvCxnSpPr/>
      </xdr:nvCxnSpPr>
      <xdr:spPr>
        <a:xfrm>
          <a:off x="13068300" y="647700"/>
          <a:ext cx="0" cy="112631220"/>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0</xdr:colOff>
      <xdr:row>5</xdr:row>
      <xdr:rowOff>0</xdr:rowOff>
    </xdr:from>
    <xdr:to>
      <xdr:col>35</xdr:col>
      <xdr:colOff>0</xdr:colOff>
      <xdr:row>858</xdr:row>
      <xdr:rowOff>68580</xdr:rowOff>
    </xdr:to>
    <xdr:cxnSp macro="">
      <xdr:nvCxnSpPr>
        <xdr:cNvPr id="4" name="Straight Connector 3">
          <a:extLst>
            <a:ext uri="{FF2B5EF4-FFF2-40B4-BE49-F238E27FC236}">
              <a16:creationId xmlns:a16="http://schemas.microsoft.com/office/drawing/2014/main" id="{DB01C47B-E2F6-4591-BC64-F8B901262186}"/>
            </a:ext>
          </a:extLst>
        </xdr:cNvPr>
        <xdr:cNvCxnSpPr/>
      </xdr:nvCxnSpPr>
      <xdr:spPr>
        <a:xfrm>
          <a:off x="14971059" y="728382"/>
          <a:ext cx="0" cy="12236958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5</xdr:row>
      <xdr:rowOff>0</xdr:rowOff>
    </xdr:from>
    <xdr:to>
      <xdr:col>5</xdr:col>
      <xdr:colOff>0</xdr:colOff>
      <xdr:row>36</xdr:row>
      <xdr:rowOff>14654</xdr:rowOff>
    </xdr:to>
    <xdr:cxnSp macro="">
      <xdr:nvCxnSpPr>
        <xdr:cNvPr id="3" name="Straight Connector 2">
          <a:extLst>
            <a:ext uri="{FF2B5EF4-FFF2-40B4-BE49-F238E27FC236}">
              <a16:creationId xmlns:a16="http://schemas.microsoft.com/office/drawing/2014/main" id="{5C2C2D72-E2E1-DDCB-5DDB-A667FF892D4C}"/>
            </a:ext>
          </a:extLst>
        </xdr:cNvPr>
        <xdr:cNvCxnSpPr/>
      </xdr:nvCxnSpPr>
      <xdr:spPr>
        <a:xfrm>
          <a:off x="3429000" y="644769"/>
          <a:ext cx="0" cy="454269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xdr:row>
      <xdr:rowOff>0</xdr:rowOff>
    </xdr:from>
    <xdr:to>
      <xdr:col>9</xdr:col>
      <xdr:colOff>0</xdr:colOff>
      <xdr:row>36</xdr:row>
      <xdr:rowOff>14654</xdr:rowOff>
    </xdr:to>
    <xdr:cxnSp macro="">
      <xdr:nvCxnSpPr>
        <xdr:cNvPr id="5" name="Straight Connector 4">
          <a:extLst>
            <a:ext uri="{FF2B5EF4-FFF2-40B4-BE49-F238E27FC236}">
              <a16:creationId xmlns:a16="http://schemas.microsoft.com/office/drawing/2014/main" id="{5EFB3D62-A6C1-4663-A422-7372F97580EF}"/>
            </a:ext>
          </a:extLst>
        </xdr:cNvPr>
        <xdr:cNvCxnSpPr/>
      </xdr:nvCxnSpPr>
      <xdr:spPr>
        <a:xfrm>
          <a:off x="5568462" y="644769"/>
          <a:ext cx="0" cy="4542693"/>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448235</xdr:colOff>
      <xdr:row>6</xdr:row>
      <xdr:rowOff>0</xdr:rowOff>
    </xdr:from>
    <xdr:to>
      <xdr:col>12</xdr:col>
      <xdr:colOff>448235</xdr:colOff>
      <xdr:row>63</xdr:row>
      <xdr:rowOff>98612</xdr:rowOff>
    </xdr:to>
    <xdr:cxnSp macro="">
      <xdr:nvCxnSpPr>
        <xdr:cNvPr id="4" name="Straight Connector 3">
          <a:extLst>
            <a:ext uri="{FF2B5EF4-FFF2-40B4-BE49-F238E27FC236}">
              <a16:creationId xmlns:a16="http://schemas.microsoft.com/office/drawing/2014/main" id="{A6F08FE8-F4B3-ABA4-75AB-08D92262E9CE}"/>
            </a:ext>
          </a:extLst>
        </xdr:cNvPr>
        <xdr:cNvCxnSpPr/>
      </xdr:nvCxnSpPr>
      <xdr:spPr>
        <a:xfrm>
          <a:off x="3845859" y="753035"/>
          <a:ext cx="0" cy="717176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xdr:row>
      <xdr:rowOff>0</xdr:rowOff>
    </xdr:from>
    <xdr:to>
      <xdr:col>9</xdr:col>
      <xdr:colOff>0</xdr:colOff>
      <xdr:row>63</xdr:row>
      <xdr:rowOff>98612</xdr:rowOff>
    </xdr:to>
    <xdr:cxnSp macro="">
      <xdr:nvCxnSpPr>
        <xdr:cNvPr id="5" name="Straight Connector 4">
          <a:extLst>
            <a:ext uri="{FF2B5EF4-FFF2-40B4-BE49-F238E27FC236}">
              <a16:creationId xmlns:a16="http://schemas.microsoft.com/office/drawing/2014/main" id="{CC483374-5EDE-4741-B87C-63AA6116BDA6}"/>
            </a:ext>
          </a:extLst>
        </xdr:cNvPr>
        <xdr:cNvCxnSpPr/>
      </xdr:nvCxnSpPr>
      <xdr:spPr>
        <a:xfrm>
          <a:off x="2321859" y="753035"/>
          <a:ext cx="0" cy="7171765"/>
        </a:xfrm>
        <a:prstGeom prst="line">
          <a:avLst/>
        </a:prstGeom>
        <a:ln>
          <a:solidFill>
            <a:sysClr val="windowText" lastClr="00000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0</xdr:colOff>
      <xdr:row>5</xdr:row>
      <xdr:rowOff>0</xdr:rowOff>
    </xdr:from>
    <xdr:to>
      <xdr:col>7</xdr:col>
      <xdr:colOff>0</xdr:colOff>
      <xdr:row>36</xdr:row>
      <xdr:rowOff>114301</xdr:rowOff>
    </xdr:to>
    <xdr:cxnSp macro="">
      <xdr:nvCxnSpPr>
        <xdr:cNvPr id="2" name="Straight Connector 1">
          <a:extLst>
            <a:ext uri="{FF2B5EF4-FFF2-40B4-BE49-F238E27FC236}">
              <a16:creationId xmlns:a16="http://schemas.microsoft.com/office/drawing/2014/main" id="{7DC2DC00-A807-48E9-BD72-778056A53EEC}"/>
            </a:ext>
          </a:extLst>
        </xdr:cNvPr>
        <xdr:cNvCxnSpPr/>
      </xdr:nvCxnSpPr>
      <xdr:spPr>
        <a:xfrm>
          <a:off x="3677478" y="662609"/>
          <a:ext cx="0" cy="4321866"/>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4</xdr:row>
      <xdr:rowOff>0</xdr:rowOff>
    </xdr:from>
    <xdr:to>
      <xdr:col>6</xdr:col>
      <xdr:colOff>0</xdr:colOff>
      <xdr:row>45</xdr:row>
      <xdr:rowOff>0</xdr:rowOff>
    </xdr:to>
    <xdr:cxnSp macro="">
      <xdr:nvCxnSpPr>
        <xdr:cNvPr id="2" name="Straight Connector 1">
          <a:extLst>
            <a:ext uri="{FF2B5EF4-FFF2-40B4-BE49-F238E27FC236}">
              <a16:creationId xmlns:a16="http://schemas.microsoft.com/office/drawing/2014/main" id="{D6137252-953B-4C08-A6A8-A9362BBF6048}"/>
            </a:ext>
          </a:extLst>
        </xdr:cNvPr>
        <xdr:cNvCxnSpPr/>
      </xdr:nvCxnSpPr>
      <xdr:spPr>
        <a:xfrm>
          <a:off x="6248400" y="541020"/>
          <a:ext cx="0" cy="6019800"/>
        </a:xfrm>
        <a:prstGeom prst="line">
          <a:avLst/>
        </a:prstGeom>
        <a:ln w="12700">
          <a:solidFill>
            <a:sysClr val="windowText" lastClr="000000"/>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5</xdr:row>
      <xdr:rowOff>0</xdr:rowOff>
    </xdr:from>
    <xdr:to>
      <xdr:col>5</xdr:col>
      <xdr:colOff>0</xdr:colOff>
      <xdr:row>44</xdr:row>
      <xdr:rowOff>134471</xdr:rowOff>
    </xdr:to>
    <xdr:cxnSp macro="">
      <xdr:nvCxnSpPr>
        <xdr:cNvPr id="3" name="Straight Connector 2">
          <a:extLst>
            <a:ext uri="{FF2B5EF4-FFF2-40B4-BE49-F238E27FC236}">
              <a16:creationId xmlns:a16="http://schemas.microsoft.com/office/drawing/2014/main" id="{5416CA2B-B936-403B-A978-13DC52B86F0C}"/>
            </a:ext>
          </a:extLst>
        </xdr:cNvPr>
        <xdr:cNvCxnSpPr/>
      </xdr:nvCxnSpPr>
      <xdr:spPr>
        <a:xfrm>
          <a:off x="5402580" y="678180"/>
          <a:ext cx="0" cy="5879951"/>
        </a:xfrm>
        <a:prstGeom prst="line">
          <a:avLst/>
        </a:prstGeom>
        <a:ln w="12700">
          <a:solidFill>
            <a:sysClr val="windowText" lastClr="000000"/>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5</xdr:row>
      <xdr:rowOff>0</xdr:rowOff>
    </xdr:from>
    <xdr:to>
      <xdr:col>7</xdr:col>
      <xdr:colOff>0</xdr:colOff>
      <xdr:row>44</xdr:row>
      <xdr:rowOff>134471</xdr:rowOff>
    </xdr:to>
    <xdr:cxnSp macro="">
      <xdr:nvCxnSpPr>
        <xdr:cNvPr id="4" name="Straight Connector 3">
          <a:extLst>
            <a:ext uri="{FF2B5EF4-FFF2-40B4-BE49-F238E27FC236}">
              <a16:creationId xmlns:a16="http://schemas.microsoft.com/office/drawing/2014/main" id="{2B228210-696D-4556-99FC-5BA7F2F7B7EA}"/>
            </a:ext>
          </a:extLst>
        </xdr:cNvPr>
        <xdr:cNvCxnSpPr/>
      </xdr:nvCxnSpPr>
      <xdr:spPr>
        <a:xfrm>
          <a:off x="7094220" y="678180"/>
          <a:ext cx="0" cy="5879951"/>
        </a:xfrm>
        <a:prstGeom prst="line">
          <a:avLst/>
        </a:prstGeom>
        <a:ln w="12700">
          <a:solidFill>
            <a:sysClr val="windowText" lastClr="000000"/>
          </a:solidFill>
          <a:prstDash val="sysDot"/>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5</xdr:row>
      <xdr:rowOff>0</xdr:rowOff>
    </xdr:from>
    <xdr:to>
      <xdr:col>8</xdr:col>
      <xdr:colOff>0</xdr:colOff>
      <xdr:row>122</xdr:row>
      <xdr:rowOff>19050</xdr:rowOff>
    </xdr:to>
    <xdr:cxnSp macro="">
      <xdr:nvCxnSpPr>
        <xdr:cNvPr id="4" name="Straight Connector 3">
          <a:extLst>
            <a:ext uri="{FF2B5EF4-FFF2-40B4-BE49-F238E27FC236}">
              <a16:creationId xmlns:a16="http://schemas.microsoft.com/office/drawing/2014/main" id="{AACA771F-D38A-1FCA-8694-57DAAA9C9E79}"/>
            </a:ext>
          </a:extLst>
        </xdr:cNvPr>
        <xdr:cNvCxnSpPr/>
      </xdr:nvCxnSpPr>
      <xdr:spPr>
        <a:xfrm>
          <a:off x="42195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xdr:row>
      <xdr:rowOff>0</xdr:rowOff>
    </xdr:from>
    <xdr:to>
      <xdr:col>12</xdr:col>
      <xdr:colOff>0</xdr:colOff>
      <xdr:row>122</xdr:row>
      <xdr:rowOff>19050</xdr:rowOff>
    </xdr:to>
    <xdr:cxnSp macro="">
      <xdr:nvCxnSpPr>
        <xdr:cNvPr id="5" name="Straight Connector 4">
          <a:extLst>
            <a:ext uri="{FF2B5EF4-FFF2-40B4-BE49-F238E27FC236}">
              <a16:creationId xmlns:a16="http://schemas.microsoft.com/office/drawing/2014/main" id="{EA79C1F0-A828-463A-AFA9-A6BD0C1FABE7}"/>
            </a:ext>
          </a:extLst>
        </xdr:cNvPr>
        <xdr:cNvCxnSpPr/>
      </xdr:nvCxnSpPr>
      <xdr:spPr>
        <a:xfrm>
          <a:off x="63531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xdr:row>
      <xdr:rowOff>0</xdr:rowOff>
    </xdr:from>
    <xdr:to>
      <xdr:col>16</xdr:col>
      <xdr:colOff>0</xdr:colOff>
      <xdr:row>122</xdr:row>
      <xdr:rowOff>19050</xdr:rowOff>
    </xdr:to>
    <xdr:cxnSp macro="">
      <xdr:nvCxnSpPr>
        <xdr:cNvPr id="6" name="Straight Connector 5">
          <a:extLst>
            <a:ext uri="{FF2B5EF4-FFF2-40B4-BE49-F238E27FC236}">
              <a16:creationId xmlns:a16="http://schemas.microsoft.com/office/drawing/2014/main" id="{73895C02-0E47-4923-B55F-EA1D44CD3253}"/>
            </a:ext>
          </a:extLst>
        </xdr:cNvPr>
        <xdr:cNvCxnSpPr/>
      </xdr:nvCxnSpPr>
      <xdr:spPr>
        <a:xfrm>
          <a:off x="84867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5</xdr:row>
      <xdr:rowOff>0</xdr:rowOff>
    </xdr:from>
    <xdr:to>
      <xdr:col>20</xdr:col>
      <xdr:colOff>0</xdr:colOff>
      <xdr:row>122</xdr:row>
      <xdr:rowOff>19050</xdr:rowOff>
    </xdr:to>
    <xdr:cxnSp macro="">
      <xdr:nvCxnSpPr>
        <xdr:cNvPr id="7" name="Straight Connector 6">
          <a:extLst>
            <a:ext uri="{FF2B5EF4-FFF2-40B4-BE49-F238E27FC236}">
              <a16:creationId xmlns:a16="http://schemas.microsoft.com/office/drawing/2014/main" id="{D5875293-4987-42EA-B732-27C38140ADD5}"/>
            </a:ext>
          </a:extLst>
        </xdr:cNvPr>
        <xdr:cNvCxnSpPr/>
      </xdr:nvCxnSpPr>
      <xdr:spPr>
        <a:xfrm>
          <a:off x="106203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5</xdr:row>
      <xdr:rowOff>0</xdr:rowOff>
    </xdr:from>
    <xdr:to>
      <xdr:col>24</xdr:col>
      <xdr:colOff>0</xdr:colOff>
      <xdr:row>122</xdr:row>
      <xdr:rowOff>19050</xdr:rowOff>
    </xdr:to>
    <xdr:cxnSp macro="">
      <xdr:nvCxnSpPr>
        <xdr:cNvPr id="8" name="Straight Connector 7">
          <a:extLst>
            <a:ext uri="{FF2B5EF4-FFF2-40B4-BE49-F238E27FC236}">
              <a16:creationId xmlns:a16="http://schemas.microsoft.com/office/drawing/2014/main" id="{BB6D11EC-723D-4C8D-A2A8-71AA458C867D}"/>
            </a:ext>
          </a:extLst>
        </xdr:cNvPr>
        <xdr:cNvCxnSpPr/>
      </xdr:nvCxnSpPr>
      <xdr:spPr>
        <a:xfrm>
          <a:off x="12753975" y="714375"/>
          <a:ext cx="0" cy="135636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106680</xdr:colOff>
      <xdr:row>25</xdr:row>
      <xdr:rowOff>57150</xdr:rowOff>
    </xdr:from>
    <xdr:to>
      <xdr:col>13</xdr:col>
      <xdr:colOff>198120</xdr:colOff>
      <xdr:row>55</xdr:row>
      <xdr:rowOff>7620</xdr:rowOff>
    </xdr:to>
    <xdr:graphicFrame macro="">
      <xdr:nvGraphicFramePr>
        <xdr:cNvPr id="2" name="Chart 1">
          <a:extLst>
            <a:ext uri="{FF2B5EF4-FFF2-40B4-BE49-F238E27FC236}">
              <a16:creationId xmlns:a16="http://schemas.microsoft.com/office/drawing/2014/main" id="{C05E40DA-731C-C021-101F-857D7FBF0C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982980</xdr:colOff>
      <xdr:row>28</xdr:row>
      <xdr:rowOff>60960</xdr:rowOff>
    </xdr:from>
    <xdr:to>
      <xdr:col>5</xdr:col>
      <xdr:colOff>274320</xdr:colOff>
      <xdr:row>30</xdr:row>
      <xdr:rowOff>60960</xdr:rowOff>
    </xdr:to>
    <xdr:sp macro="" textlink="">
      <xdr:nvSpPr>
        <xdr:cNvPr id="3" name="TextBox 2">
          <a:extLst>
            <a:ext uri="{FF2B5EF4-FFF2-40B4-BE49-F238E27FC236}">
              <a16:creationId xmlns:a16="http://schemas.microsoft.com/office/drawing/2014/main" id="{13ED8EDC-AA65-7B96-23B4-F05B83D16CD1}"/>
            </a:ext>
          </a:extLst>
        </xdr:cNvPr>
        <xdr:cNvSpPr txBox="1"/>
      </xdr:nvSpPr>
      <xdr:spPr>
        <a:xfrm>
          <a:off x="1127760" y="3756660"/>
          <a:ext cx="1516380" cy="2590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i="1"/>
            <a:t>Pre-Temu</a:t>
          </a:r>
          <a:r>
            <a:rPr lang="en-US" sz="1100" b="1" i="1" baseline="0"/>
            <a:t> Period</a:t>
          </a:r>
          <a:endParaRPr lang="en-US" sz="1100" b="1" i="1"/>
        </a:p>
      </xdr:txBody>
    </xdr:sp>
    <xdr:clientData/>
  </xdr:twoCellAnchor>
</xdr:wsDr>
</file>

<file path=xl/drawings/drawing10.xml><?xml version="1.0" encoding="utf-8"?>
<c:userShapes xmlns:c="http://schemas.openxmlformats.org/drawingml/2006/chart">
  <cdr:relSizeAnchor xmlns:cdr="http://schemas.openxmlformats.org/drawingml/2006/chartDrawing">
    <cdr:from>
      <cdr:x>0.44118</cdr:x>
      <cdr:y>0.12016</cdr:y>
    </cdr:from>
    <cdr:to>
      <cdr:x>0.44118</cdr:x>
      <cdr:y>0.88878</cdr:y>
    </cdr:to>
    <cdr:cxnSp macro="">
      <cdr:nvCxnSpPr>
        <cdr:cNvPr id="3" name="Straight Connector 2">
          <a:extLst xmlns:a="http://schemas.openxmlformats.org/drawingml/2006/main">
            <a:ext uri="{FF2B5EF4-FFF2-40B4-BE49-F238E27FC236}">
              <a16:creationId xmlns:a16="http://schemas.microsoft.com/office/drawing/2014/main" id="{E55DFB5B-6412-A531-3405-9E51F1A16150}"/>
            </a:ext>
          </a:extLst>
        </cdr:cNvPr>
        <cdr:cNvCxnSpPr/>
      </cdr:nvCxnSpPr>
      <cdr:spPr>
        <a:xfrm xmlns:a="http://schemas.openxmlformats.org/drawingml/2006/main">
          <a:off x="2743200" y="461010"/>
          <a:ext cx="0" cy="2948940"/>
        </a:xfrm>
        <a:prstGeom xmlns:a="http://schemas.openxmlformats.org/drawingml/2006/main" prst="line">
          <a:avLst/>
        </a:prstGeom>
        <a:ln xmlns:a="http://schemas.openxmlformats.org/drawingml/2006/main">
          <a:solidFill>
            <a:sysClr val="windowText" lastClr="000000"/>
          </a:solidFill>
          <a:prstDash val="sysDot"/>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1.xml><?xml version="1.0" encoding="utf-8"?>
<xdr:wsDr xmlns:xdr="http://schemas.openxmlformats.org/drawingml/2006/spreadsheetDrawing" xmlns:a="http://schemas.openxmlformats.org/drawingml/2006/main">
  <xdr:twoCellAnchor>
    <xdr:from>
      <xdr:col>1</xdr:col>
      <xdr:colOff>154370</xdr:colOff>
      <xdr:row>22</xdr:row>
      <xdr:rowOff>67004</xdr:rowOff>
    </xdr:from>
    <xdr:to>
      <xdr:col>7</xdr:col>
      <xdr:colOff>292318</xdr:colOff>
      <xdr:row>41</xdr:row>
      <xdr:rowOff>64376</xdr:rowOff>
    </xdr:to>
    <xdr:graphicFrame macro="">
      <xdr:nvGraphicFramePr>
        <xdr:cNvPr id="2" name="Chart 1">
          <a:extLst>
            <a:ext uri="{FF2B5EF4-FFF2-40B4-BE49-F238E27FC236}">
              <a16:creationId xmlns:a16="http://schemas.microsoft.com/office/drawing/2014/main" id="{5A0732B6-FC66-0D18-201B-7DB4C51C3C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518948</xdr:colOff>
      <xdr:row>22</xdr:row>
      <xdr:rowOff>65689</xdr:rowOff>
    </xdr:from>
    <xdr:to>
      <xdr:col>16</xdr:col>
      <xdr:colOff>302172</xdr:colOff>
      <xdr:row>41</xdr:row>
      <xdr:rowOff>63061</xdr:rowOff>
    </xdr:to>
    <xdr:graphicFrame macro="">
      <xdr:nvGraphicFramePr>
        <xdr:cNvPr id="3" name="Chart 2">
          <a:extLst>
            <a:ext uri="{FF2B5EF4-FFF2-40B4-BE49-F238E27FC236}">
              <a16:creationId xmlns:a16="http://schemas.microsoft.com/office/drawing/2014/main" id="{B84215AB-363D-4948-9186-930CCB016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FABB0-BFF9-4DD0-A012-AD1C7FAFF91C}">
  <dimension ref="A1:L1"/>
  <sheetViews>
    <sheetView workbookViewId="0"/>
  </sheetViews>
  <sheetFormatPr defaultRowHeight="11.25" x14ac:dyDescent="0.2"/>
  <sheetData>
    <row r="1" spans="1:12" x14ac:dyDescent="0.2">
      <c r="A1">
        <v>12</v>
      </c>
      <c r="B1" t="s">
        <v>639</v>
      </c>
      <c r="C1" t="s">
        <v>640</v>
      </c>
      <c r="D1" t="s">
        <v>631</v>
      </c>
      <c r="E1" t="s">
        <v>632</v>
      </c>
      <c r="F1" t="s">
        <v>633</v>
      </c>
      <c r="G1" t="s">
        <v>634</v>
      </c>
      <c r="H1" t="s">
        <v>635</v>
      </c>
      <c r="I1" t="s">
        <v>636</v>
      </c>
      <c r="J1" t="s">
        <v>637</v>
      </c>
      <c r="K1" t="s">
        <v>638</v>
      </c>
      <c r="L1" t="s">
        <v>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50550-3646-4A7A-81A5-AA4D3764A477}">
  <sheetPr>
    <pageSetUpPr fitToPage="1"/>
  </sheetPr>
  <dimension ref="B1:AF134"/>
  <sheetViews>
    <sheetView tabSelected="1" view="pageBreakPreview" topLeftCell="A14" zoomScaleNormal="100" zoomScaleSheetLayoutView="100" workbookViewId="0">
      <selection activeCell="G36" sqref="G36"/>
    </sheetView>
  </sheetViews>
  <sheetFormatPr defaultColWidth="10.6640625" defaultRowHeight="11.25" outlineLevelRow="1" outlineLevelCol="1" x14ac:dyDescent="0.2"/>
  <cols>
    <col min="1" max="1" width="2.83203125" style="61" customWidth="1"/>
    <col min="2" max="2" width="30" style="61" customWidth="1"/>
    <col min="3" max="3" width="3" style="61" customWidth="1"/>
    <col min="4" max="4" width="12.83203125" style="61" hidden="1" customWidth="1" outlineLevel="1"/>
    <col min="5" max="5" width="12.6640625" style="61" customWidth="1" collapsed="1"/>
    <col min="6" max="21" width="12.6640625" style="61" customWidth="1"/>
    <col min="22" max="16384" width="10.6640625" style="61"/>
  </cols>
  <sheetData>
    <row r="1" spans="2:23" ht="10.15" x14ac:dyDescent="0.2">
      <c r="E1" s="75"/>
      <c r="F1" s="75"/>
      <c r="G1" s="75"/>
      <c r="I1" s="75"/>
      <c r="J1" s="71" t="s">
        <v>458</v>
      </c>
      <c r="K1" s="71" t="s">
        <v>459</v>
      </c>
      <c r="L1" s="71" t="s">
        <v>460</v>
      </c>
      <c r="T1" s="75"/>
      <c r="U1" s="75"/>
    </row>
    <row r="2" spans="2:23" ht="10.15" x14ac:dyDescent="0.2">
      <c r="B2" s="60" t="s">
        <v>0</v>
      </c>
      <c r="M2" s="62"/>
      <c r="N2" s="63"/>
      <c r="O2" s="63"/>
      <c r="P2" s="63"/>
      <c r="U2" s="64">
        <v>45565</v>
      </c>
    </row>
    <row r="3" spans="2:23" s="66" customFormat="1" ht="10.15" x14ac:dyDescent="0.2">
      <c r="B3" s="65" t="s">
        <v>312</v>
      </c>
    </row>
    <row r="4" spans="2:23" ht="10.15" x14ac:dyDescent="0.2">
      <c r="B4" s="3" t="s">
        <v>109</v>
      </c>
    </row>
    <row r="5" spans="2:23" ht="10.15" x14ac:dyDescent="0.2">
      <c r="E5" s="67" t="s">
        <v>59</v>
      </c>
      <c r="F5" s="68"/>
      <c r="G5" s="68"/>
      <c r="H5" s="68"/>
      <c r="I5" s="68"/>
      <c r="J5" s="68"/>
      <c r="K5" s="68"/>
      <c r="L5" s="68"/>
      <c r="M5" s="68"/>
      <c r="N5" s="68"/>
      <c r="O5" s="68"/>
      <c r="P5" s="68"/>
      <c r="Q5" s="68"/>
      <c r="R5" s="68"/>
      <c r="S5" s="68"/>
      <c r="T5" s="68"/>
      <c r="U5" s="68"/>
    </row>
    <row r="6" spans="2:23" ht="12" x14ac:dyDescent="0.35">
      <c r="D6" s="69" t="s">
        <v>53</v>
      </c>
      <c r="E6" s="69" t="s">
        <v>54</v>
      </c>
      <c r="F6" s="69" t="s">
        <v>55</v>
      </c>
      <c r="G6" s="69" t="s">
        <v>56</v>
      </c>
      <c r="H6" s="69" t="s">
        <v>57</v>
      </c>
      <c r="I6" s="69" t="s">
        <v>260</v>
      </c>
      <c r="J6" s="69" t="s">
        <v>58</v>
      </c>
      <c r="K6" s="69" t="s">
        <v>268</v>
      </c>
      <c r="L6" s="69" t="s">
        <v>269</v>
      </c>
      <c r="M6" s="69" t="s">
        <v>270</v>
      </c>
      <c r="N6" s="69" t="s">
        <v>271</v>
      </c>
      <c r="O6" s="69" t="s">
        <v>272</v>
      </c>
      <c r="P6" s="69" t="s">
        <v>273</v>
      </c>
      <c r="Q6" s="69" t="s">
        <v>274</v>
      </c>
      <c r="R6" s="69" t="s">
        <v>275</v>
      </c>
      <c r="S6" s="69" t="s">
        <v>276</v>
      </c>
      <c r="T6" s="69" t="s">
        <v>277</v>
      </c>
      <c r="U6" s="69" t="s">
        <v>362</v>
      </c>
    </row>
    <row r="7" spans="2:23" ht="10.15" x14ac:dyDescent="0.2">
      <c r="E7" s="70"/>
      <c r="F7" s="70"/>
      <c r="G7" s="70"/>
      <c r="H7" s="70"/>
      <c r="I7" s="70"/>
      <c r="J7" s="70">
        <v>45565</v>
      </c>
      <c r="K7" s="70">
        <v>46022</v>
      </c>
      <c r="L7" s="70">
        <v>46387</v>
      </c>
      <c r="M7" s="70">
        <v>46752</v>
      </c>
      <c r="N7" s="70">
        <v>47118</v>
      </c>
      <c r="O7" s="70">
        <v>47483</v>
      </c>
      <c r="P7" s="70">
        <v>47848</v>
      </c>
      <c r="Q7" s="70">
        <v>48213</v>
      </c>
      <c r="R7" s="70">
        <v>48579</v>
      </c>
      <c r="S7" s="70">
        <v>48944</v>
      </c>
      <c r="T7" s="70">
        <v>49309</v>
      </c>
      <c r="U7" s="70">
        <v>49674</v>
      </c>
    </row>
    <row r="8" spans="2:23" ht="10.15" x14ac:dyDescent="0.2">
      <c r="B8" s="71" t="s">
        <v>358</v>
      </c>
      <c r="D8" s="73">
        <f>+'TAM_Penetration - Case 1'!D19</f>
        <v>282960.00000000006</v>
      </c>
      <c r="E8" s="73">
        <f>+'TAM_Penetration - Case 1'!E19</f>
        <v>603960</v>
      </c>
      <c r="F8" s="73">
        <f>+'TAM_Penetration - Case 1'!F19</f>
        <v>1004632.4999999998</v>
      </c>
      <c r="G8" s="73">
        <f>+'TAM_Penetration - Case 1'!G19</f>
        <v>1492323.0885635172</v>
      </c>
      <c r="H8" s="73">
        <f>+'TAM_Penetration - Case 1'!H19</f>
        <v>1815609.2337434539</v>
      </c>
      <c r="I8" s="73">
        <f>+'TAM_Penetration - Case 1'!I19</f>
        <v>2265792.1406162223</v>
      </c>
      <c r="J8" s="73">
        <f>+'TAM_Penetration - Case 1'!J19</f>
        <v>2683292.0333148995</v>
      </c>
      <c r="K8" s="73">
        <f>+'TAM_Penetration - Case 1'!K19</f>
        <v>3077454.5878463895</v>
      </c>
      <c r="L8" s="73">
        <f>+'TAM_Penetration - Case 1'!L19</f>
        <v>3529188.8927420164</v>
      </c>
      <c r="M8" s="73">
        <f>+'TAM_Penetration - Case 1'!M19</f>
        <v>4019569.1473185467</v>
      </c>
      <c r="N8" s="73">
        <f>+'TAM_Penetration - Case 1'!N19</f>
        <v>4548087.6319249952</v>
      </c>
      <c r="O8" s="73">
        <f>+'TAM_Penetration - Case 1'!O19</f>
        <v>5113787.2394059785</v>
      </c>
      <c r="P8" s="73">
        <f>+'TAM_Penetration - Case 1'!P19</f>
        <v>5715275.2319031814</v>
      </c>
      <c r="Q8" s="73">
        <f>+'TAM_Penetration - Case 1'!Q19</f>
        <v>6350746.6176767312</v>
      </c>
      <c r="R8" s="73">
        <f>+'TAM_Penetration - Case 1'!R19</f>
        <v>7018015.9936141334</v>
      </c>
      <c r="S8" s="73">
        <f>+'TAM_Penetration - Case 1'!S19</f>
        <v>7714556.4842632404</v>
      </c>
      <c r="T8" s="73">
        <f>+'TAM_Penetration - Case 1'!T19</f>
        <v>8437544.2725339159</v>
      </c>
      <c r="U8" s="73">
        <f>+'TAM_Penetration - Case 1'!U19</f>
        <v>9183907.1576689463</v>
      </c>
    </row>
    <row r="9" spans="2:23" ht="10.15" x14ac:dyDescent="0.2">
      <c r="B9" s="76" t="s">
        <v>86</v>
      </c>
      <c r="E9" s="142">
        <f>+IFERROR(E8/D8-1,"n/a")</f>
        <v>1.1344359626802372</v>
      </c>
      <c r="F9" s="142">
        <f t="shared" ref="F9:U9" si="0">+IFERROR(F8/E8-1,"n/a")</f>
        <v>0.66340900059606556</v>
      </c>
      <c r="G9" s="142">
        <f t="shared" si="0"/>
        <v>0.48544177951989176</v>
      </c>
      <c r="H9" s="142">
        <f t="shared" si="0"/>
        <v>0.21663281072138729</v>
      </c>
      <c r="I9" s="142">
        <f t="shared" si="0"/>
        <v>0.24795143057549551</v>
      </c>
      <c r="J9" s="142">
        <f t="shared" si="0"/>
        <v>0.18426222124026381</v>
      </c>
      <c r="K9" s="142">
        <f t="shared" si="0"/>
        <v>0.14689513837394252</v>
      </c>
      <c r="L9" s="142">
        <f t="shared" si="0"/>
        <v>0.14678829272725413</v>
      </c>
      <c r="M9" s="142">
        <f t="shared" si="0"/>
        <v>0.13894984640380859</v>
      </c>
      <c r="N9" s="142">
        <f t="shared" si="0"/>
        <v>0.13148635220245519</v>
      </c>
      <c r="O9" s="142">
        <f t="shared" si="0"/>
        <v>0.12438186184234734</v>
      </c>
      <c r="P9" s="142">
        <f t="shared" si="0"/>
        <v>0.11762084817730356</v>
      </c>
      <c r="Q9" s="142">
        <f t="shared" si="0"/>
        <v>0.11118823853421644</v>
      </c>
      <c r="R9" s="142">
        <f t="shared" si="0"/>
        <v>0.10506943767526766</v>
      </c>
      <c r="S9" s="142">
        <f t="shared" si="0"/>
        <v>9.9250342444774375E-2</v>
      </c>
      <c r="T9" s="142">
        <f t="shared" si="0"/>
        <v>9.3717349758924318E-2</v>
      </c>
      <c r="U9" s="142">
        <f t="shared" si="0"/>
        <v>8.8457359277462677E-2</v>
      </c>
    </row>
    <row r="10" spans="2:23" ht="10.15" x14ac:dyDescent="0.2">
      <c r="E10" s="70"/>
      <c r="F10" s="70"/>
      <c r="G10" s="70"/>
      <c r="H10" s="70"/>
      <c r="I10" s="70"/>
      <c r="J10" s="70"/>
      <c r="K10" s="70"/>
      <c r="L10" s="70"/>
      <c r="M10" s="70"/>
      <c r="N10" s="70"/>
      <c r="O10" s="70"/>
      <c r="P10" s="70"/>
      <c r="Q10" s="70"/>
      <c r="R10" s="70"/>
      <c r="S10" s="70"/>
      <c r="T10" s="70"/>
      <c r="U10" s="70"/>
    </row>
    <row r="11" spans="2:23" ht="10.15" x14ac:dyDescent="0.2">
      <c r="B11" s="71" t="s">
        <v>342</v>
      </c>
      <c r="C11" s="72"/>
      <c r="D11" s="74">
        <f>+D13-D12</f>
        <v>13119.990000000002</v>
      </c>
      <c r="E11" s="74">
        <f t="shared" ref="E11:I11" si="1">+E13-E12</f>
        <v>30141.885999999999</v>
      </c>
      <c r="F11" s="74">
        <f t="shared" si="1"/>
        <v>53741.194000000003</v>
      </c>
      <c r="G11" s="74">
        <f t="shared" si="1"/>
        <v>86703.850999999995</v>
      </c>
      <c r="H11" s="74">
        <f t="shared" si="1"/>
        <v>129913.15793149809</v>
      </c>
      <c r="I11" s="74">
        <f t="shared" si="1"/>
        <v>196165.52928097005</v>
      </c>
      <c r="J11" s="74">
        <f t="shared" ref="J11:K11" si="2">+J13-J12</f>
        <v>244391.54123328999</v>
      </c>
      <c r="K11" s="74">
        <f t="shared" si="2"/>
        <v>272861.63328127441</v>
      </c>
      <c r="L11" s="74">
        <f t="shared" ref="L11" si="3">+L13-L12</f>
        <v>312914.52658140275</v>
      </c>
      <c r="M11" s="74">
        <f t="shared" ref="M11" si="4">+M13-M12</f>
        <v>356393.95198740915</v>
      </c>
      <c r="N11" s="74">
        <f t="shared" ref="N11" si="5">+N13-N12</f>
        <v>403254.89268125052</v>
      </c>
      <c r="O11" s="74">
        <f t="shared" ref="O11" si="6">+O13-O12</f>
        <v>453412.4870299804</v>
      </c>
      <c r="P11" s="74">
        <f t="shared" ref="P11" si="7">+P13-P12</f>
        <v>506743.24832862732</v>
      </c>
      <c r="Q11" s="74">
        <f t="shared" ref="Q11" si="8">+Q13-Q12</f>
        <v>563087.13749939436</v>
      </c>
      <c r="R11" s="74">
        <f t="shared" ref="R11" si="9">+R13-R12</f>
        <v>622250.38639863196</v>
      </c>
      <c r="S11" s="74">
        <f t="shared" ref="S11" si="10">+S13-S12</f>
        <v>684008.95033508935</v>
      </c>
      <c r="T11" s="74">
        <f t="shared" ref="T11:U11" si="11">+T13-T12</f>
        <v>748112.45637187758</v>
      </c>
      <c r="U11" s="74">
        <f t="shared" si="11"/>
        <v>814288.50870510982</v>
      </c>
      <c r="V11" s="75"/>
      <c r="W11" s="72"/>
    </row>
    <row r="12" spans="2:23" ht="13.5" x14ac:dyDescent="0.35">
      <c r="B12" s="71" t="s">
        <v>343</v>
      </c>
      <c r="C12" s="72"/>
      <c r="D12" s="88">
        <f>+'Historical Financials'!AQ15</f>
        <v>0</v>
      </c>
      <c r="E12" s="88">
        <f>+'Historical Financials'!AR15</f>
        <v>0</v>
      </c>
      <c r="F12" s="88">
        <f>+'Historical Financials'!AS15</f>
        <v>5750.6710000000003</v>
      </c>
      <c r="G12" s="88">
        <f>+'Historical Financials'!AT15</f>
        <v>7246.0879999999997</v>
      </c>
      <c r="H12" s="88">
        <f>+'Historical Financials'!AU15</f>
        <v>209.17099999999999</v>
      </c>
      <c r="I12" s="88">
        <f>+'Historical Financials'!AV15</f>
        <v>0</v>
      </c>
      <c r="J12" s="88">
        <f>+'Historical Financials'!AW15</f>
        <v>0</v>
      </c>
      <c r="K12" s="88">
        <f>+'Historical Financials'!AX15</f>
        <v>0</v>
      </c>
      <c r="L12" s="138">
        <f t="shared" ref="L12:U12" si="12">+K12*(1+L22)</f>
        <v>0</v>
      </c>
      <c r="M12" s="138">
        <f t="shared" si="12"/>
        <v>0</v>
      </c>
      <c r="N12" s="138">
        <f t="shared" si="12"/>
        <v>0</v>
      </c>
      <c r="O12" s="138">
        <f t="shared" si="12"/>
        <v>0</v>
      </c>
      <c r="P12" s="138">
        <f t="shared" si="12"/>
        <v>0</v>
      </c>
      <c r="Q12" s="138">
        <f t="shared" si="12"/>
        <v>0</v>
      </c>
      <c r="R12" s="138">
        <f t="shared" si="12"/>
        <v>0</v>
      </c>
      <c r="S12" s="138">
        <f t="shared" si="12"/>
        <v>0</v>
      </c>
      <c r="T12" s="138">
        <f t="shared" si="12"/>
        <v>0</v>
      </c>
      <c r="U12" s="138">
        <f t="shared" si="12"/>
        <v>0</v>
      </c>
      <c r="V12" s="75"/>
      <c r="W12" s="72"/>
    </row>
    <row r="13" spans="2:23" ht="10.15" x14ac:dyDescent="0.2">
      <c r="B13" s="90" t="s">
        <v>340</v>
      </c>
      <c r="C13" s="72"/>
      <c r="D13" s="137">
        <f>+D15-D14</f>
        <v>13119.990000000002</v>
      </c>
      <c r="E13" s="137">
        <f t="shared" ref="E13:I13" si="13">+E15-E14</f>
        <v>30141.885999999999</v>
      </c>
      <c r="F13" s="137">
        <f t="shared" si="13"/>
        <v>59491.865000000005</v>
      </c>
      <c r="G13" s="137">
        <f t="shared" si="13"/>
        <v>93949.938999999998</v>
      </c>
      <c r="H13" s="137">
        <f t="shared" si="13"/>
        <v>130122.32893149809</v>
      </c>
      <c r="I13" s="137">
        <f t="shared" si="13"/>
        <v>196165.52928097005</v>
      </c>
      <c r="J13" s="137">
        <f t="shared" ref="J13:K13" si="14">+J15-J14</f>
        <v>244391.54123328999</v>
      </c>
      <c r="K13" s="137">
        <f t="shared" si="14"/>
        <v>272861.63328127441</v>
      </c>
      <c r="L13" s="137">
        <f t="shared" ref="L13:U13" si="15">+K13*(1+L23)</f>
        <v>312914.52658140275</v>
      </c>
      <c r="M13" s="137">
        <f t="shared" si="15"/>
        <v>356393.95198740915</v>
      </c>
      <c r="N13" s="137">
        <f t="shared" si="15"/>
        <v>403254.89268125052</v>
      </c>
      <c r="O13" s="137">
        <f t="shared" si="15"/>
        <v>453412.4870299804</v>
      </c>
      <c r="P13" s="137">
        <f t="shared" si="15"/>
        <v>506743.24832862732</v>
      </c>
      <c r="Q13" s="137">
        <f t="shared" si="15"/>
        <v>563087.13749939436</v>
      </c>
      <c r="R13" s="137">
        <f t="shared" si="15"/>
        <v>622250.38639863196</v>
      </c>
      <c r="S13" s="137">
        <f t="shared" si="15"/>
        <v>684008.95033508935</v>
      </c>
      <c r="T13" s="137">
        <f t="shared" si="15"/>
        <v>748112.45637187758</v>
      </c>
      <c r="U13" s="137">
        <f t="shared" si="15"/>
        <v>814288.50870510982</v>
      </c>
      <c r="V13" s="75"/>
      <c r="W13" s="72"/>
    </row>
    <row r="14" spans="2:23" ht="13.5" x14ac:dyDescent="0.35">
      <c r="B14" s="71" t="s">
        <v>341</v>
      </c>
      <c r="C14" s="72"/>
      <c r="D14" s="88">
        <f>+'Historical Financials'!AQ179</f>
        <v>0</v>
      </c>
      <c r="E14" s="88">
        <f>+'Historical Financials'!AR179</f>
        <v>0</v>
      </c>
      <c r="F14" s="88">
        <f>+'Historical Financials'!AS179</f>
        <v>0</v>
      </c>
      <c r="G14" s="88">
        <f>+'Historical Financials'!AT179</f>
        <v>0</v>
      </c>
      <c r="H14" s="88">
        <f>+'Historical Financials'!AU179</f>
        <v>435.26006850191163</v>
      </c>
      <c r="I14" s="88">
        <f>+'Historical Financials'!AV179</f>
        <v>51473.675719029954</v>
      </c>
      <c r="J14" s="88">
        <f>+'Historical Financials'!AW179</f>
        <v>147464.90490244667</v>
      </c>
      <c r="K14" s="88">
        <f>+'Historical Financials'!AX179</f>
        <v>187457.56443467212</v>
      </c>
      <c r="L14" s="138">
        <f t="shared" ref="L14:U14" si="16">+K14*(1+L24)</f>
        <v>187457.56443467212</v>
      </c>
      <c r="M14" s="138">
        <f t="shared" si="16"/>
        <v>187457.56443467212</v>
      </c>
      <c r="N14" s="138">
        <f t="shared" si="16"/>
        <v>187457.56443467212</v>
      </c>
      <c r="O14" s="138">
        <f t="shared" si="16"/>
        <v>187457.56443467212</v>
      </c>
      <c r="P14" s="138">
        <f t="shared" si="16"/>
        <v>187457.56443467212</v>
      </c>
      <c r="Q14" s="138">
        <f t="shared" si="16"/>
        <v>187457.56443467212</v>
      </c>
      <c r="R14" s="138">
        <f t="shared" si="16"/>
        <v>187457.56443467212</v>
      </c>
      <c r="S14" s="138">
        <f t="shared" si="16"/>
        <v>187457.56443467212</v>
      </c>
      <c r="T14" s="138">
        <f t="shared" si="16"/>
        <v>187457.56443467212</v>
      </c>
      <c r="U14" s="138">
        <f t="shared" si="16"/>
        <v>187457.56443467212</v>
      </c>
      <c r="V14" s="75"/>
      <c r="W14" s="72"/>
    </row>
    <row r="15" spans="2:23" x14ac:dyDescent="0.2">
      <c r="B15" s="90" t="s">
        <v>225</v>
      </c>
      <c r="C15" s="72"/>
      <c r="D15" s="73">
        <f>+'Historical Financials'!AQ16</f>
        <v>13119.990000000002</v>
      </c>
      <c r="E15" s="73">
        <f>+'Historical Financials'!AR16</f>
        <v>30141.885999999999</v>
      </c>
      <c r="F15" s="73">
        <f>+'Historical Financials'!AS16</f>
        <v>59491.865000000005</v>
      </c>
      <c r="G15" s="73">
        <f>+'Historical Financials'!AT16</f>
        <v>93949.938999999998</v>
      </c>
      <c r="H15" s="73">
        <f>+'Historical Financials'!AU16</f>
        <v>130557.58900000001</v>
      </c>
      <c r="I15" s="73">
        <f>+'Historical Financials'!AV16</f>
        <v>247639.20499999999</v>
      </c>
      <c r="J15" s="73">
        <f>+'Historical Financials'!AW16</f>
        <v>391856.44613573665</v>
      </c>
      <c r="K15" s="73">
        <f>+'Historical Financials'!AX16</f>
        <v>460319.19771594653</v>
      </c>
      <c r="L15" s="137">
        <f t="shared" ref="L15:T15" si="17">+IFERROR(L13+L14,"n/a")</f>
        <v>500372.09101607488</v>
      </c>
      <c r="M15" s="137">
        <f t="shared" si="17"/>
        <v>543851.51642208127</v>
      </c>
      <c r="N15" s="137">
        <f t="shared" si="17"/>
        <v>590712.45711592259</v>
      </c>
      <c r="O15" s="137">
        <f t="shared" si="17"/>
        <v>640870.05146465253</v>
      </c>
      <c r="P15" s="137">
        <f t="shared" si="17"/>
        <v>694200.81276329944</v>
      </c>
      <c r="Q15" s="137">
        <f t="shared" si="17"/>
        <v>750544.70193406648</v>
      </c>
      <c r="R15" s="137">
        <f t="shared" si="17"/>
        <v>809707.95083330409</v>
      </c>
      <c r="S15" s="137">
        <f t="shared" si="17"/>
        <v>871466.51476976147</v>
      </c>
      <c r="T15" s="137">
        <f t="shared" si="17"/>
        <v>935570.0208065497</v>
      </c>
      <c r="U15" s="137">
        <f t="shared" ref="U15" si="18">+IFERROR(U13+U14,"n/a")</f>
        <v>1001746.0731397819</v>
      </c>
      <c r="V15" s="75"/>
      <c r="W15" s="72"/>
    </row>
    <row r="16" spans="2:23" x14ac:dyDescent="0.2">
      <c r="B16" s="92" t="s">
        <v>86</v>
      </c>
      <c r="C16" s="72"/>
      <c r="D16" s="72"/>
      <c r="E16" s="142">
        <f>+E25</f>
        <v>1.2974015986292669</v>
      </c>
      <c r="F16" s="142">
        <f t="shared" ref="F16:U16" si="19">+F25</f>
        <v>0.97372735733921911</v>
      </c>
      <c r="G16" s="142">
        <f t="shared" si="19"/>
        <v>0.57920648478577674</v>
      </c>
      <c r="H16" s="142">
        <f t="shared" si="19"/>
        <v>0.38965059892162368</v>
      </c>
      <c r="I16" s="142">
        <f t="shared" si="19"/>
        <v>0.89678138893940496</v>
      </c>
      <c r="J16" s="142">
        <f t="shared" si="19"/>
        <v>0.58236837392422047</v>
      </c>
      <c r="K16" s="142">
        <f t="shared" si="19"/>
        <v>0.17471385823903174</v>
      </c>
      <c r="L16" s="142">
        <f t="shared" si="19"/>
        <v>8.7011129448579139E-2</v>
      </c>
      <c r="M16" s="142">
        <f t="shared" si="19"/>
        <v>8.6894185720301387E-2</v>
      </c>
      <c r="N16" s="142">
        <f t="shared" si="19"/>
        <v>8.6164953629499053E-2</v>
      </c>
      <c r="O16" s="142">
        <f t="shared" si="19"/>
        <v>8.4910337922477375E-2</v>
      </c>
      <c r="P16" s="142">
        <f t="shared" si="19"/>
        <v>8.3216185834810164E-2</v>
      </c>
      <c r="Q16" s="142">
        <f t="shared" si="19"/>
        <v>8.1163675027241089E-2</v>
      </c>
      <c r="R16" s="142">
        <f t="shared" si="19"/>
        <v>7.8827082180156438E-2</v>
      </c>
      <c r="S16" s="142">
        <f t="shared" si="19"/>
        <v>7.6272641108314554E-2</v>
      </c>
      <c r="T16" s="142">
        <f t="shared" si="19"/>
        <v>7.3558197532953118E-2</v>
      </c>
      <c r="U16" s="142">
        <f t="shared" si="19"/>
        <v>7.07334040868286E-2</v>
      </c>
      <c r="V16" s="75"/>
      <c r="W16" s="72"/>
    </row>
    <row r="17" spans="2:28" x14ac:dyDescent="0.2">
      <c r="B17" s="92" t="s">
        <v>630</v>
      </c>
      <c r="C17" s="72"/>
      <c r="D17" s="72"/>
      <c r="E17" s="142">
        <f>+E16</f>
        <v>1.2974015986292669</v>
      </c>
      <c r="F17" s="142">
        <f t="shared" ref="F17:U17" si="20">+F16</f>
        <v>0.97372735733921911</v>
      </c>
      <c r="G17" s="142">
        <f t="shared" si="20"/>
        <v>0.57920648478577674</v>
      </c>
      <c r="H17" s="142">
        <f t="shared" si="20"/>
        <v>0.38965059892162368</v>
      </c>
      <c r="I17" s="142">
        <f t="shared" si="20"/>
        <v>0.89678138893940496</v>
      </c>
      <c r="J17" s="142">
        <f t="shared" si="20"/>
        <v>0.58236837392422047</v>
      </c>
      <c r="K17" s="142">
        <f t="shared" si="20"/>
        <v>0.17471385823903174</v>
      </c>
      <c r="L17" s="142">
        <f t="shared" si="20"/>
        <v>8.7011129448579139E-2</v>
      </c>
      <c r="M17" s="142">
        <f t="shared" si="20"/>
        <v>8.6894185720301387E-2</v>
      </c>
      <c r="N17" s="142">
        <f t="shared" si="20"/>
        <v>8.6164953629499053E-2</v>
      </c>
      <c r="O17" s="142">
        <f t="shared" si="20"/>
        <v>8.4910337922477375E-2</v>
      </c>
      <c r="P17" s="142">
        <f t="shared" si="20"/>
        <v>8.3216185834810164E-2</v>
      </c>
      <c r="Q17" s="142">
        <f t="shared" si="20"/>
        <v>8.1163675027241089E-2</v>
      </c>
      <c r="R17" s="142">
        <f t="shared" si="20"/>
        <v>7.8827082180156438E-2</v>
      </c>
      <c r="S17" s="142">
        <f t="shared" si="20"/>
        <v>7.6272641108314554E-2</v>
      </c>
      <c r="T17" s="142">
        <f t="shared" si="20"/>
        <v>7.3558197532953118E-2</v>
      </c>
      <c r="U17" s="142">
        <f t="shared" si="20"/>
        <v>7.07334040868286E-2</v>
      </c>
      <c r="V17" s="75"/>
      <c r="W17" s="72"/>
    </row>
    <row r="18" spans="2:28" ht="10.15" x14ac:dyDescent="0.2">
      <c r="B18" s="92" t="s">
        <v>357</v>
      </c>
      <c r="C18" s="72"/>
      <c r="D18" s="73"/>
      <c r="E18" s="150">
        <f>+IFERROR(E11/(E8-E12),"n/a")</f>
        <v>4.9907089873501558E-2</v>
      </c>
      <c r="F18" s="150">
        <f t="shared" ref="F18:T18" si="21">+IFERROR(F11/(F8-F12),"n/a")</f>
        <v>5.380135311281152E-2</v>
      </c>
      <c r="G18" s="150">
        <f t="shared" si="21"/>
        <v>5.8383404340044284E-2</v>
      </c>
      <c r="H18" s="150">
        <f t="shared" si="21"/>
        <v>7.1561723830267918E-2</v>
      </c>
      <c r="I18" s="150">
        <f t="shared" si="21"/>
        <v>8.6577019032125058E-2</v>
      </c>
      <c r="J18" s="150">
        <f t="shared" si="21"/>
        <v>9.107899483134986E-2</v>
      </c>
      <c r="K18" s="150">
        <f t="shared" ref="K18" si="22">+IFERROR(K11/(K8-K12),"n/a")</f>
        <v>8.8664714780478257E-2</v>
      </c>
      <c r="L18" s="150">
        <f t="shared" si="21"/>
        <v>8.8664714780478257E-2</v>
      </c>
      <c r="M18" s="150">
        <f t="shared" si="21"/>
        <v>8.8664714780478257E-2</v>
      </c>
      <c r="N18" s="150">
        <f t="shared" si="21"/>
        <v>8.8664714780478271E-2</v>
      </c>
      <c r="O18" s="150">
        <f t="shared" si="21"/>
        <v>8.8664714780478271E-2</v>
      </c>
      <c r="P18" s="150">
        <f t="shared" si="21"/>
        <v>8.8664714780478257E-2</v>
      </c>
      <c r="Q18" s="150">
        <f t="shared" si="21"/>
        <v>8.8664714780478257E-2</v>
      </c>
      <c r="R18" s="150">
        <f t="shared" si="21"/>
        <v>8.8664714780478271E-2</v>
      </c>
      <c r="S18" s="150">
        <f t="shared" si="21"/>
        <v>8.8664714780478257E-2</v>
      </c>
      <c r="T18" s="150">
        <f t="shared" si="21"/>
        <v>8.8664714780478257E-2</v>
      </c>
      <c r="U18" s="150">
        <f t="shared" ref="U18" si="23">+IFERROR(U11/(U8-U12),"n/a")</f>
        <v>8.8664714780478257E-2</v>
      </c>
      <c r="V18" s="75"/>
      <c r="W18" s="72"/>
    </row>
    <row r="19" spans="2:28" ht="10.15" x14ac:dyDescent="0.2">
      <c r="B19" s="90"/>
      <c r="C19" s="72"/>
      <c r="D19" s="72"/>
      <c r="E19" s="142"/>
      <c r="F19" s="142"/>
      <c r="G19" s="142"/>
      <c r="H19" s="142"/>
      <c r="I19" s="142"/>
      <c r="J19" s="142"/>
      <c r="K19" s="142"/>
      <c r="L19" s="142"/>
      <c r="M19" s="142"/>
      <c r="N19" s="142"/>
      <c r="O19" s="142"/>
      <c r="P19" s="142"/>
      <c r="Q19" s="142"/>
      <c r="R19" s="142"/>
      <c r="S19" s="142"/>
      <c r="T19" s="142"/>
      <c r="U19" s="142"/>
      <c r="V19" s="75"/>
      <c r="W19" s="72"/>
    </row>
    <row r="20" spans="2:28" ht="10.15" x14ac:dyDescent="0.2">
      <c r="B20" s="97" t="s">
        <v>86</v>
      </c>
      <c r="C20" s="72"/>
      <c r="D20" s="72"/>
      <c r="E20" s="142"/>
      <c r="F20" s="142"/>
      <c r="G20" s="142"/>
      <c r="H20" s="142"/>
      <c r="I20" s="142"/>
      <c r="J20" s="142"/>
      <c r="K20" s="142"/>
      <c r="L20" s="142"/>
      <c r="M20" s="142"/>
      <c r="N20" s="142"/>
      <c r="O20" s="142"/>
      <c r="P20" s="142"/>
      <c r="Q20" s="142"/>
      <c r="R20" s="142"/>
      <c r="S20" s="142"/>
      <c r="T20" s="142"/>
      <c r="U20" s="142"/>
      <c r="V20" s="75"/>
      <c r="W20" s="72"/>
    </row>
    <row r="21" spans="2:28" ht="10.15" x14ac:dyDescent="0.2">
      <c r="B21" s="76" t="s">
        <v>342</v>
      </c>
      <c r="C21" s="72"/>
      <c r="D21" s="72"/>
      <c r="E21" s="142">
        <f>+IFERROR(E11/D11-1,"n/a")</f>
        <v>1.2974015986292669</v>
      </c>
      <c r="F21" s="142">
        <f t="shared" ref="F21:U21" si="24">+IFERROR(F11/E11-1,"n/a")</f>
        <v>0.78294065606909946</v>
      </c>
      <c r="G21" s="142">
        <f t="shared" si="24"/>
        <v>0.6133592230942988</v>
      </c>
      <c r="H21" s="142">
        <f t="shared" si="24"/>
        <v>0.49835510687406614</v>
      </c>
      <c r="I21" s="142">
        <f t="shared" si="24"/>
        <v>0.50997429670985417</v>
      </c>
      <c r="J21" s="142">
        <f t="shared" si="24"/>
        <v>0.24584345745701985</v>
      </c>
      <c r="K21" s="142">
        <f t="shared" si="24"/>
        <v>0.11649377021935292</v>
      </c>
      <c r="L21" s="142">
        <f t="shared" si="24"/>
        <v>0.14678829272725391</v>
      </c>
      <c r="M21" s="142">
        <f t="shared" si="24"/>
        <v>0.13894984640380859</v>
      </c>
      <c r="N21" s="142">
        <f t="shared" si="24"/>
        <v>0.13148635220245519</v>
      </c>
      <c r="O21" s="142">
        <f t="shared" si="24"/>
        <v>0.12438186184234734</v>
      </c>
      <c r="P21" s="142">
        <f t="shared" si="24"/>
        <v>0.11762084817730356</v>
      </c>
      <c r="Q21" s="142">
        <f t="shared" si="24"/>
        <v>0.11118823853421644</v>
      </c>
      <c r="R21" s="142">
        <f t="shared" si="24"/>
        <v>0.10506943767526788</v>
      </c>
      <c r="S21" s="142">
        <f t="shared" si="24"/>
        <v>9.9250342444774375E-2</v>
      </c>
      <c r="T21" s="142">
        <f t="shared" si="24"/>
        <v>9.3717349758924318E-2</v>
      </c>
      <c r="U21" s="142">
        <f t="shared" si="24"/>
        <v>8.8457359277462677E-2</v>
      </c>
      <c r="V21" s="75"/>
      <c r="W21" s="72"/>
    </row>
    <row r="22" spans="2:28" ht="13.5" x14ac:dyDescent="0.35">
      <c r="B22" s="76" t="s">
        <v>343</v>
      </c>
      <c r="C22" s="72"/>
      <c r="D22" s="72"/>
      <c r="E22" s="148" t="str">
        <f>+IFERROR(E12/D12-1,"n/a")</f>
        <v>n/a</v>
      </c>
      <c r="F22" s="148" t="str">
        <f>+IFERROR(F12/E12-1,"n/a")</f>
        <v>n/a</v>
      </c>
      <c r="G22" s="148">
        <f>+IFERROR(G12/F12-1,"n/a")</f>
        <v>0.26004217594781531</v>
      </c>
      <c r="H22" s="148">
        <f>+IFERROR(H12/G12-1,"n/a")</f>
        <v>-0.97113325148687124</v>
      </c>
      <c r="I22" s="148">
        <f>+IFERROR(I12/H12-1,"n/a")</f>
        <v>-1</v>
      </c>
      <c r="J22" s="148" t="str">
        <f>+IFERROR(J12/I12-1,"n/a")</f>
        <v>n/a</v>
      </c>
      <c r="K22" s="148" t="str">
        <f>+IFERROR(K12/J12-1,"n/a")</f>
        <v>n/a</v>
      </c>
      <c r="L22" s="149">
        <v>0</v>
      </c>
      <c r="M22" s="149">
        <v>0</v>
      </c>
      <c r="N22" s="149">
        <v>0</v>
      </c>
      <c r="O22" s="149">
        <v>0</v>
      </c>
      <c r="P22" s="149">
        <v>0</v>
      </c>
      <c r="Q22" s="149">
        <v>0</v>
      </c>
      <c r="R22" s="149">
        <v>0</v>
      </c>
      <c r="S22" s="149">
        <v>0</v>
      </c>
      <c r="T22" s="149">
        <v>0</v>
      </c>
      <c r="U22" s="149">
        <v>0</v>
      </c>
      <c r="V22" s="75"/>
      <c r="W22" s="72"/>
    </row>
    <row r="23" spans="2:28" x14ac:dyDescent="0.2">
      <c r="B23" s="92" t="s">
        <v>340</v>
      </c>
      <c r="C23" s="72"/>
      <c r="D23" s="72"/>
      <c r="E23" s="142">
        <f>+IFERROR(E13/D13-1,"n/a")</f>
        <v>1.2974015986292669</v>
      </c>
      <c r="F23" s="142">
        <f>+IFERROR(F13/E13-1,"n/a")</f>
        <v>0.97372735733921911</v>
      </c>
      <c r="G23" s="142">
        <f>+IFERROR(G13/F13-1,"n/a")</f>
        <v>0.57920648478577674</v>
      </c>
      <c r="H23" s="142">
        <f>+IFERROR(H13/G13-1,"n/a")</f>
        <v>0.38501770534942126</v>
      </c>
      <c r="I23" s="142">
        <f>+IFERROR(I13/H13-1,"n/a")</f>
        <v>0.50754702049822598</v>
      </c>
      <c r="J23" s="142">
        <f>+IFERROR(J13/I13-1,"n/a")</f>
        <v>0.24584345745701985</v>
      </c>
      <c r="K23" s="142">
        <f>+IFERROR(K13/J13-1,"n/a")</f>
        <v>0.11649377021935292</v>
      </c>
      <c r="L23" s="78">
        <v>0.14678829272725391</v>
      </c>
      <c r="M23" s="78">
        <v>0.13894984640380859</v>
      </c>
      <c r="N23" s="78">
        <v>0.13148635220245519</v>
      </c>
      <c r="O23" s="78">
        <v>0.12438186184234734</v>
      </c>
      <c r="P23" s="78">
        <v>0.11762084817730356</v>
      </c>
      <c r="Q23" s="78">
        <v>0.11118823853421644</v>
      </c>
      <c r="R23" s="78">
        <v>0.10506943767526788</v>
      </c>
      <c r="S23" s="78">
        <v>9.9250342444774375E-2</v>
      </c>
      <c r="T23" s="78">
        <v>9.3717349758924318E-2</v>
      </c>
      <c r="U23" s="78">
        <v>8.8457359277462677E-2</v>
      </c>
      <c r="V23" s="75"/>
      <c r="W23" s="72"/>
    </row>
    <row r="24" spans="2:28" ht="13.5" x14ac:dyDescent="0.35">
      <c r="B24" s="76" t="s">
        <v>341</v>
      </c>
      <c r="C24" s="72"/>
      <c r="D24" s="72"/>
      <c r="E24" s="148" t="str">
        <f>+IFERROR(E14/D14-1,"n/a")</f>
        <v>n/a</v>
      </c>
      <c r="F24" s="148" t="str">
        <f>+IFERROR(F14/E14-1,"n/a")</f>
        <v>n/a</v>
      </c>
      <c r="G24" s="148" t="str">
        <f>+IFERROR(G14/F14-1,"n/a")</f>
        <v>n/a</v>
      </c>
      <c r="H24" s="148" t="str">
        <f>+IFERROR(H14/G14-1,"n/a")</f>
        <v>n/a</v>
      </c>
      <c r="I24" s="148">
        <f>+IFERROR(I14/H14-1,"n/a")</f>
        <v>117.25958649547904</v>
      </c>
      <c r="J24" s="148">
        <f>+IFERROR(J14/I14-1,"n/a")</f>
        <v>1.8648605883012257</v>
      </c>
      <c r="K24" s="148">
        <f>+IFERROR(K14/J14-1,"n/a")</f>
        <v>0.27120120247378199</v>
      </c>
      <c r="L24" s="149">
        <v>0</v>
      </c>
      <c r="M24" s="149">
        <v>0</v>
      </c>
      <c r="N24" s="149">
        <v>0</v>
      </c>
      <c r="O24" s="149">
        <v>0</v>
      </c>
      <c r="P24" s="149">
        <v>0</v>
      </c>
      <c r="Q24" s="149">
        <v>0</v>
      </c>
      <c r="R24" s="149">
        <v>0</v>
      </c>
      <c r="S24" s="149">
        <v>0</v>
      </c>
      <c r="T24" s="149">
        <v>0</v>
      </c>
      <c r="U24" s="149">
        <v>0</v>
      </c>
      <c r="V24" s="75"/>
      <c r="W24" s="72"/>
    </row>
    <row r="25" spans="2:28" ht="10.15" x14ac:dyDescent="0.2">
      <c r="B25" s="92" t="s">
        <v>225</v>
      </c>
      <c r="C25" s="72"/>
      <c r="D25" s="72"/>
      <c r="E25" s="142">
        <f>+IFERROR(E15/D15-1,"n/a")</f>
        <v>1.2974015986292669</v>
      </c>
      <c r="F25" s="142">
        <f>+IFERROR(F15/E15-1,"n/a")</f>
        <v>0.97372735733921911</v>
      </c>
      <c r="G25" s="142">
        <f>+IFERROR(G15/F15-1,"n/a")</f>
        <v>0.57920648478577674</v>
      </c>
      <c r="H25" s="142">
        <f>+IFERROR(H15/G15-1,"n/a")</f>
        <v>0.38965059892162368</v>
      </c>
      <c r="I25" s="142">
        <f>+IFERROR(I15/H15-1,"n/a")</f>
        <v>0.89678138893940496</v>
      </c>
      <c r="J25" s="142">
        <f>+IFERROR(J15/I15-1,"n/a")</f>
        <v>0.58236837392422047</v>
      </c>
      <c r="K25" s="142">
        <f>+IFERROR(K15/J15-1,"n/a")</f>
        <v>0.17471385823903174</v>
      </c>
      <c r="L25" s="142">
        <f t="shared" ref="L25:U25" si="25">+IFERROR(L15/K15-1,"n/a")</f>
        <v>8.7011129448579139E-2</v>
      </c>
      <c r="M25" s="142">
        <f t="shared" si="25"/>
        <v>8.6894185720301387E-2</v>
      </c>
      <c r="N25" s="142">
        <f t="shared" si="25"/>
        <v>8.6164953629499053E-2</v>
      </c>
      <c r="O25" s="142">
        <f t="shared" si="25"/>
        <v>8.4910337922477375E-2</v>
      </c>
      <c r="P25" s="142">
        <f t="shared" si="25"/>
        <v>8.3216185834810164E-2</v>
      </c>
      <c r="Q25" s="142">
        <f t="shared" si="25"/>
        <v>8.1163675027241089E-2</v>
      </c>
      <c r="R25" s="142">
        <f t="shared" si="25"/>
        <v>7.8827082180156438E-2</v>
      </c>
      <c r="S25" s="142">
        <f t="shared" si="25"/>
        <v>7.6272641108314554E-2</v>
      </c>
      <c r="T25" s="142">
        <f t="shared" si="25"/>
        <v>7.3558197532953118E-2</v>
      </c>
      <c r="U25" s="142">
        <f t="shared" si="25"/>
        <v>7.07334040868286E-2</v>
      </c>
      <c r="V25" s="75"/>
      <c r="W25" s="72"/>
    </row>
    <row r="26" spans="2:28" s="81" customFormat="1" ht="10.15" x14ac:dyDescent="0.2">
      <c r="B26" s="76"/>
      <c r="C26" s="79"/>
      <c r="D26" s="79"/>
      <c r="E26" s="80"/>
      <c r="F26" s="80"/>
      <c r="G26" s="80"/>
      <c r="H26" s="80"/>
      <c r="I26" s="80"/>
      <c r="J26" s="80"/>
      <c r="K26" s="80"/>
      <c r="L26" s="80"/>
      <c r="M26" s="80"/>
      <c r="N26" s="80"/>
      <c r="O26" s="80"/>
      <c r="P26" s="80"/>
      <c r="Q26" s="80"/>
      <c r="R26" s="80"/>
      <c r="S26" s="80"/>
      <c r="T26" s="80"/>
      <c r="U26" s="80"/>
    </row>
    <row r="27" spans="2:28" s="81" customFormat="1" ht="10.15" x14ac:dyDescent="0.2">
      <c r="B27" s="61" t="s">
        <v>278</v>
      </c>
      <c r="C27" s="79"/>
      <c r="D27" s="79"/>
      <c r="E27" s="74">
        <f>+E15-E33</f>
        <v>35484.559999999998</v>
      </c>
      <c r="F27" s="74">
        <f t="shared" ref="F27:T27" si="26">+F15-F33</f>
        <v>64607.624000000003</v>
      </c>
      <c r="G27" s="74">
        <f t="shared" si="26"/>
        <v>80783.066999999995</v>
      </c>
      <c r="H27" s="74">
        <f t="shared" si="26"/>
        <v>90213.133999999991</v>
      </c>
      <c r="I27" s="74">
        <f t="shared" si="26"/>
        <v>181075.41399999999</v>
      </c>
      <c r="J27" s="74">
        <f t="shared" ref="J27:K27" si="27">+J15-J33</f>
        <v>268733.63794100011</v>
      </c>
      <c r="K27" s="74">
        <f t="shared" si="27"/>
        <v>336928.20945839456</v>
      </c>
      <c r="L27" s="74">
        <f t="shared" si="26"/>
        <v>358868.75025426818</v>
      </c>
      <c r="M27" s="74">
        <f t="shared" si="26"/>
        <v>382686.30819579575</v>
      </c>
      <c r="N27" s="74">
        <f t="shared" si="26"/>
        <v>408356.22355801368</v>
      </c>
      <c r="O27" s="74">
        <f t="shared" si="26"/>
        <v>435832.01005825296</v>
      </c>
      <c r="P27" s="74">
        <f t="shared" si="26"/>
        <v>465046.02301806607</v>
      </c>
      <c r="Q27" s="74">
        <f t="shared" si="26"/>
        <v>495910.59476538189</v>
      </c>
      <c r="R27" s="74">
        <f t="shared" si="26"/>
        <v>528319.58121146192</v>
      </c>
      <c r="S27" s="74">
        <f t="shared" si="26"/>
        <v>562150.25310297473</v>
      </c>
      <c r="T27" s="74">
        <f t="shared" si="26"/>
        <v>597265.45885901374</v>
      </c>
      <c r="U27" s="74">
        <f t="shared" ref="U27" si="28">+U15-U33</f>
        <v>633515.98301084817</v>
      </c>
    </row>
    <row r="28" spans="2:28" s="81" customFormat="1" ht="10.15" x14ac:dyDescent="0.2">
      <c r="B28" s="82" t="s">
        <v>86</v>
      </c>
      <c r="C28" s="79"/>
      <c r="D28" s="79"/>
      <c r="E28" s="83"/>
      <c r="F28" s="83">
        <f t="shared" ref="F28:U28" si="29">F27/E27-1</f>
        <v>0.8207249575590061</v>
      </c>
      <c r="G28" s="83">
        <f t="shared" si="29"/>
        <v>0.25036430685022548</v>
      </c>
      <c r="H28" s="83">
        <f t="shared" si="29"/>
        <v>0.11673321340968634</v>
      </c>
      <c r="I28" s="83">
        <f t="shared" si="29"/>
        <v>1.0071956928134211</v>
      </c>
      <c r="J28" s="83">
        <f t="shared" si="29"/>
        <v>0.48409787946695038</v>
      </c>
      <c r="K28" s="83">
        <f t="shared" si="29"/>
        <v>0.25376269245596417</v>
      </c>
      <c r="L28" s="83">
        <f t="shared" si="29"/>
        <v>6.511933456430552E-2</v>
      </c>
      <c r="M28" s="83">
        <f t="shared" si="29"/>
        <v>6.6368436718583501E-2</v>
      </c>
      <c r="N28" s="83">
        <f t="shared" si="29"/>
        <v>6.7078217360952097E-2</v>
      </c>
      <c r="O28" s="83">
        <f t="shared" si="29"/>
        <v>6.7283868630291455E-2</v>
      </c>
      <c r="P28" s="83">
        <f t="shared" si="29"/>
        <v>6.7030443578268706E-2</v>
      </c>
      <c r="Q28" s="83">
        <f t="shared" si="29"/>
        <v>6.6368854306096958E-2</v>
      </c>
      <c r="R28" s="83">
        <f t="shared" si="29"/>
        <v>6.5352478426908611E-2</v>
      </c>
      <c r="S28" s="83">
        <f t="shared" si="29"/>
        <v>6.4034484230051536E-2</v>
      </c>
      <c r="T28" s="83">
        <f t="shared" si="29"/>
        <v>6.2465872001673972E-2</v>
      </c>
      <c r="U28" s="83">
        <f t="shared" si="29"/>
        <v>6.0694158040020652E-2</v>
      </c>
      <c r="AB28" s="144"/>
    </row>
    <row r="29" spans="2:28" s="81" customFormat="1" ht="10.15" x14ac:dyDescent="0.2">
      <c r="B29" s="82" t="s">
        <v>95</v>
      </c>
      <c r="C29" s="79"/>
      <c r="D29" s="79"/>
      <c r="E29" s="80">
        <f>+IFERROR(E27/E15,"n/a")</f>
        <v>1.1772508196733276</v>
      </c>
      <c r="F29" s="80">
        <f t="shared" ref="F29:T29" si="30">+IFERROR(F27/F15,"n/a")</f>
        <v>1.0859908997641947</v>
      </c>
      <c r="G29" s="80">
        <f t="shared" si="30"/>
        <v>0.8598522559977394</v>
      </c>
      <c r="H29" s="80">
        <f t="shared" si="30"/>
        <v>0.69098345558449292</v>
      </c>
      <c r="I29" s="80">
        <f t="shared" si="30"/>
        <v>0.73120657126968247</v>
      </c>
      <c r="J29" s="80">
        <f t="shared" ref="J29:K29" si="31">+IFERROR(J27/J15,"n/a")</f>
        <v>0.68579613935434003</v>
      </c>
      <c r="K29" s="80">
        <f t="shared" si="31"/>
        <v>0.73194472689862911</v>
      </c>
      <c r="L29" s="80">
        <f t="shared" si="30"/>
        <v>0.71720377034925242</v>
      </c>
      <c r="M29" s="80">
        <f t="shared" si="30"/>
        <v>0.70365954059194757</v>
      </c>
      <c r="N29" s="80">
        <f t="shared" si="30"/>
        <v>0.69129441683312431</v>
      </c>
      <c r="O29" s="80">
        <f t="shared" si="30"/>
        <v>0.68006300038860756</v>
      </c>
      <c r="P29" s="80">
        <f t="shared" si="30"/>
        <v>0.66990129436312273</v>
      </c>
      <c r="Q29" s="80">
        <f t="shared" si="30"/>
        <v>0.66073425538475983</v>
      </c>
      <c r="R29" s="80">
        <f t="shared" si="30"/>
        <v>0.65248165177055051</v>
      </c>
      <c r="S29" s="80">
        <f t="shared" si="30"/>
        <v>0.64506236737219091</v>
      </c>
      <c r="T29" s="80">
        <f t="shared" si="30"/>
        <v>0.63839738937350143</v>
      </c>
      <c r="U29" s="80">
        <f t="shared" ref="U29" si="32">+IFERROR(U27/U15,"n/a")</f>
        <v>0.63241174584814008</v>
      </c>
      <c r="AB29" s="144"/>
    </row>
    <row r="30" spans="2:28" s="81" customFormat="1" ht="10.15" x14ac:dyDescent="0.2">
      <c r="B30" s="82"/>
      <c r="C30" s="79"/>
      <c r="D30" s="79"/>
      <c r="E30" s="80"/>
      <c r="F30" s="80"/>
      <c r="G30" s="80"/>
      <c r="H30" s="80"/>
      <c r="I30" s="80"/>
      <c r="J30" s="80"/>
      <c r="K30" s="80"/>
      <c r="L30" s="80"/>
      <c r="M30" s="80"/>
      <c r="N30" s="80"/>
      <c r="O30" s="80"/>
      <c r="P30" s="80"/>
      <c r="Q30" s="80"/>
      <c r="R30" s="80"/>
      <c r="S30" s="80"/>
      <c r="T30" s="80"/>
      <c r="U30" s="80"/>
    </row>
    <row r="31" spans="2:28" s="81" customFormat="1" ht="10.15" x14ac:dyDescent="0.2">
      <c r="B31" s="135" t="s">
        <v>344</v>
      </c>
      <c r="C31" s="79"/>
      <c r="D31" s="79"/>
      <c r="E31" s="74">
        <f>+IFERROR(E33-E32,"n/a")</f>
        <v>-5342.6740000000009</v>
      </c>
      <c r="F31" s="74">
        <f t="shared" ref="F31:I31" si="33">+IFERROR(F33-F32,"n/a")</f>
        <v>-5115.7589999999991</v>
      </c>
      <c r="G31" s="74">
        <f t="shared" si="33"/>
        <v>13166.871999999999</v>
      </c>
      <c r="H31" s="74">
        <f t="shared" si="33"/>
        <v>44159.74805212317</v>
      </c>
      <c r="I31" s="74">
        <f t="shared" si="33"/>
        <v>88650.497566904902</v>
      </c>
      <c r="J31" s="74">
        <f t="shared" ref="J31:K31" si="34">+IFERROR(J33-J32,"n/a")</f>
        <v>115109.8098307903</v>
      </c>
      <c r="K31" s="74">
        <f t="shared" si="34"/>
        <v>123390.988257552</v>
      </c>
      <c r="L31" s="74">
        <f t="shared" ref="L31:T31" si="35">+L46*L8</f>
        <v>141503.3407618067</v>
      </c>
      <c r="M31" s="74">
        <f t="shared" si="35"/>
        <v>161165.20822628553</v>
      </c>
      <c r="N31" s="74">
        <f t="shared" si="35"/>
        <v>182356.23355790894</v>
      </c>
      <c r="O31" s="74">
        <f t="shared" si="35"/>
        <v>205038.04140639957</v>
      </c>
      <c r="P31" s="74">
        <f t="shared" si="35"/>
        <v>229154.78974523337</v>
      </c>
      <c r="Q31" s="74">
        <f t="shared" si="35"/>
        <v>254634.1071686846</v>
      </c>
      <c r="R31" s="74">
        <f t="shared" si="35"/>
        <v>281388.36962184211</v>
      </c>
      <c r="S31" s="74">
        <f t="shared" si="35"/>
        <v>309316.26166678674</v>
      </c>
      <c r="T31" s="74">
        <f t="shared" si="35"/>
        <v>338304.56194753596</v>
      </c>
      <c r="U31" s="74">
        <f t="shared" ref="U31" si="36">+U46*U8</f>
        <v>368230.09012893378</v>
      </c>
    </row>
    <row r="32" spans="2:28" s="81" customFormat="1" ht="13.5" x14ac:dyDescent="0.35">
      <c r="B32" s="135" t="s">
        <v>326</v>
      </c>
      <c r="C32" s="79"/>
      <c r="D32" s="79"/>
      <c r="E32" s="88">
        <f>+'Historical Financials'!AR475</f>
        <v>0</v>
      </c>
      <c r="F32" s="88">
        <f>+'Historical Financials'!AS475</f>
        <v>0</v>
      </c>
      <c r="G32" s="88">
        <f>+'Historical Financials'!AT475</f>
        <v>0</v>
      </c>
      <c r="H32" s="88">
        <f>+'Historical Financials'!AU475</f>
        <v>-3815.2930521231556</v>
      </c>
      <c r="I32" s="88">
        <f>+'Historical Financials'!AV475</f>
        <v>-22086.706566904904</v>
      </c>
      <c r="J32" s="88">
        <f>+'Historical Financials'!AW475</f>
        <v>8012.9983639462444</v>
      </c>
      <c r="K32" s="88">
        <f>+'Historical Financials'!AX475</f>
        <v>0</v>
      </c>
      <c r="L32" s="101">
        <f t="shared" ref="L32:T32" si="37">+L42*L14</f>
        <v>0</v>
      </c>
      <c r="M32" s="101">
        <f t="shared" si="37"/>
        <v>0</v>
      </c>
      <c r="N32" s="101">
        <f t="shared" si="37"/>
        <v>0</v>
      </c>
      <c r="O32" s="101">
        <f t="shared" si="37"/>
        <v>0</v>
      </c>
      <c r="P32" s="101">
        <f t="shared" si="37"/>
        <v>0</v>
      </c>
      <c r="Q32" s="101">
        <f t="shared" si="37"/>
        <v>0</v>
      </c>
      <c r="R32" s="101">
        <f t="shared" si="37"/>
        <v>0</v>
      </c>
      <c r="S32" s="101">
        <f t="shared" si="37"/>
        <v>0</v>
      </c>
      <c r="T32" s="101">
        <f t="shared" si="37"/>
        <v>0</v>
      </c>
      <c r="U32" s="101">
        <f t="shared" ref="U32" si="38">+U42*U14</f>
        <v>0</v>
      </c>
    </row>
    <row r="33" spans="2:22" x14ac:dyDescent="0.2">
      <c r="B33" s="90" t="s">
        <v>279</v>
      </c>
      <c r="C33" s="72"/>
      <c r="D33" s="72"/>
      <c r="E33" s="73">
        <f>+'Historical Financials'!AR61+'Historical Financials'!AR86</f>
        <v>-5342.6740000000009</v>
      </c>
      <c r="F33" s="73">
        <f>+'Historical Financials'!AS61+'Historical Financials'!AS86</f>
        <v>-5115.7589999999991</v>
      </c>
      <c r="G33" s="73">
        <f>+'Historical Financials'!AT61+'Historical Financials'!AT86</f>
        <v>13166.871999999999</v>
      </c>
      <c r="H33" s="73">
        <f>+'Historical Financials'!AU61+'Historical Financials'!AU86</f>
        <v>40344.455000000016</v>
      </c>
      <c r="I33" s="73">
        <f>+'Historical Financials'!AV61+'Historical Financials'!AV86</f>
        <v>66563.790999999997</v>
      </c>
      <c r="J33" s="73">
        <f>+'Historical Financials'!AW61+'Historical Financials'!AW86</f>
        <v>123122.80819473654</v>
      </c>
      <c r="K33" s="73">
        <f>+'Historical Financials'!AX61+'Historical Financials'!AX86</f>
        <v>123390.988257552</v>
      </c>
      <c r="L33" s="72">
        <f t="shared" ref="L33:T33" si="39">SUM(L31:L32)</f>
        <v>141503.3407618067</v>
      </c>
      <c r="M33" s="72">
        <f t="shared" si="39"/>
        <v>161165.20822628553</v>
      </c>
      <c r="N33" s="72">
        <f t="shared" si="39"/>
        <v>182356.23355790894</v>
      </c>
      <c r="O33" s="72">
        <f t="shared" si="39"/>
        <v>205038.04140639957</v>
      </c>
      <c r="P33" s="72">
        <f t="shared" si="39"/>
        <v>229154.78974523337</v>
      </c>
      <c r="Q33" s="72">
        <f t="shared" si="39"/>
        <v>254634.1071686846</v>
      </c>
      <c r="R33" s="72">
        <f t="shared" si="39"/>
        <v>281388.36962184211</v>
      </c>
      <c r="S33" s="72">
        <f t="shared" si="39"/>
        <v>309316.26166678674</v>
      </c>
      <c r="T33" s="72">
        <f t="shared" si="39"/>
        <v>338304.56194753596</v>
      </c>
      <c r="U33" s="72">
        <f t="shared" ref="U33" si="40">SUM(U31:U32)</f>
        <v>368230.09012893378</v>
      </c>
      <c r="V33" s="75"/>
    </row>
    <row r="34" spans="2:22" x14ac:dyDescent="0.2">
      <c r="C34" s="72"/>
      <c r="D34" s="72"/>
      <c r="E34" s="73"/>
      <c r="F34" s="73"/>
      <c r="G34" s="143"/>
      <c r="H34" s="143"/>
      <c r="I34" s="143"/>
      <c r="J34" s="143"/>
      <c r="K34" s="143"/>
      <c r="L34" s="143"/>
      <c r="M34" s="143"/>
      <c r="N34" s="143"/>
      <c r="O34" s="143"/>
      <c r="P34" s="143"/>
      <c r="Q34" s="143"/>
      <c r="R34" s="143"/>
      <c r="S34" s="143"/>
      <c r="T34" s="143"/>
      <c r="U34" s="143"/>
      <c r="V34" s="75"/>
    </row>
    <row r="35" spans="2:22" ht="10.15" x14ac:dyDescent="0.2">
      <c r="B35" s="97" t="s">
        <v>86</v>
      </c>
      <c r="C35" s="72"/>
      <c r="D35" s="72"/>
      <c r="E35" s="73"/>
      <c r="F35" s="73"/>
      <c r="G35" s="73"/>
      <c r="H35" s="73"/>
      <c r="I35" s="73"/>
      <c r="J35" s="72"/>
      <c r="K35" s="72"/>
      <c r="L35" s="72"/>
      <c r="M35" s="72"/>
      <c r="N35" s="72"/>
      <c r="O35" s="72"/>
      <c r="P35" s="72"/>
      <c r="Q35" s="72"/>
      <c r="R35" s="72"/>
      <c r="S35" s="72"/>
      <c r="T35" s="72"/>
      <c r="U35" s="72"/>
      <c r="V35" s="75"/>
    </row>
    <row r="36" spans="2:22" ht="10.15" x14ac:dyDescent="0.2">
      <c r="B36" s="82" t="s">
        <v>344</v>
      </c>
      <c r="C36" s="72"/>
      <c r="D36" s="72"/>
      <c r="E36" s="73"/>
      <c r="F36" s="142">
        <f>+IFERROR(F31/E31-1,"n/a")</f>
        <v>-4.2472177789623977E-2</v>
      </c>
      <c r="G36" s="142">
        <f t="shared" ref="G36:K36" si="41">+IFERROR(G31/F31-1,"n/a")</f>
        <v>-3.5737866072268067</v>
      </c>
      <c r="H36" s="142">
        <f t="shared" si="41"/>
        <v>2.3538526122319086</v>
      </c>
      <c r="I36" s="142">
        <f t="shared" si="41"/>
        <v>1.0074955469009441</v>
      </c>
      <c r="J36" s="142">
        <f t="shared" si="41"/>
        <v>0.29846772426648194</v>
      </c>
      <c r="K36" s="142">
        <f t="shared" si="41"/>
        <v>7.1941552496133099E-2</v>
      </c>
      <c r="L36" s="142">
        <f t="shared" ref="L36:U36" si="42">+IFERROR(L31/K31-1,"n/a")</f>
        <v>0.14678829272725391</v>
      </c>
      <c r="M36" s="142">
        <f t="shared" si="42"/>
        <v>0.13894984640380859</v>
      </c>
      <c r="N36" s="142">
        <f t="shared" si="42"/>
        <v>0.13148635220245519</v>
      </c>
      <c r="O36" s="142">
        <f t="shared" si="42"/>
        <v>0.12438186184234712</v>
      </c>
      <c r="P36" s="142">
        <f t="shared" si="42"/>
        <v>0.11762084817730356</v>
      </c>
      <c r="Q36" s="142">
        <f t="shared" si="42"/>
        <v>0.11118823853421644</v>
      </c>
      <c r="R36" s="142">
        <f t="shared" si="42"/>
        <v>0.10506943767526766</v>
      </c>
      <c r="S36" s="142">
        <f t="shared" si="42"/>
        <v>9.9250342444774597E-2</v>
      </c>
      <c r="T36" s="142">
        <f t="shared" si="42"/>
        <v>9.3717349758924318E-2</v>
      </c>
      <c r="U36" s="142">
        <f t="shared" si="42"/>
        <v>8.8457359277462677E-2</v>
      </c>
      <c r="V36" s="75"/>
    </row>
    <row r="37" spans="2:22" ht="12" x14ac:dyDescent="0.35">
      <c r="B37" s="82" t="s">
        <v>326</v>
      </c>
      <c r="C37" s="72"/>
      <c r="D37" s="72"/>
      <c r="E37" s="73"/>
      <c r="F37" s="148" t="str">
        <f t="shared" ref="F37:K37" si="43">+IFERROR(F32/E32-1,"n/a")</f>
        <v>n/a</v>
      </c>
      <c r="G37" s="148" t="str">
        <f t="shared" si="43"/>
        <v>n/a</v>
      </c>
      <c r="H37" s="148" t="str">
        <f t="shared" si="43"/>
        <v>n/a</v>
      </c>
      <c r="I37" s="148">
        <f t="shared" si="43"/>
        <v>4.7889934705314365</v>
      </c>
      <c r="J37" s="148">
        <f t="shared" si="43"/>
        <v>-1.3627973387373677</v>
      </c>
      <c r="K37" s="148">
        <f t="shared" si="43"/>
        <v>-1</v>
      </c>
      <c r="L37" s="148" t="str">
        <f t="shared" ref="L37:U37" si="44">+IFERROR(L32/K32-1,"n/a")</f>
        <v>n/a</v>
      </c>
      <c r="M37" s="148" t="str">
        <f t="shared" si="44"/>
        <v>n/a</v>
      </c>
      <c r="N37" s="148" t="str">
        <f t="shared" si="44"/>
        <v>n/a</v>
      </c>
      <c r="O37" s="148" t="str">
        <f t="shared" si="44"/>
        <v>n/a</v>
      </c>
      <c r="P37" s="148" t="str">
        <f t="shared" si="44"/>
        <v>n/a</v>
      </c>
      <c r="Q37" s="148" t="str">
        <f t="shared" si="44"/>
        <v>n/a</v>
      </c>
      <c r="R37" s="148" t="str">
        <f t="shared" si="44"/>
        <v>n/a</v>
      </c>
      <c r="S37" s="148" t="str">
        <f t="shared" si="44"/>
        <v>n/a</v>
      </c>
      <c r="T37" s="148" t="str">
        <f t="shared" si="44"/>
        <v>n/a</v>
      </c>
      <c r="U37" s="148" t="str">
        <f t="shared" si="44"/>
        <v>n/a</v>
      </c>
      <c r="V37" s="75"/>
    </row>
    <row r="38" spans="2:22" ht="10.15" x14ac:dyDescent="0.2">
      <c r="B38" s="92" t="s">
        <v>279</v>
      </c>
      <c r="C38" s="72"/>
      <c r="D38" s="72"/>
      <c r="E38" s="73"/>
      <c r="F38" s="142">
        <f t="shared" ref="F38:K38" si="45">+IFERROR(F33/E33-1,"n/a")</f>
        <v>-4.2472177789623977E-2</v>
      </c>
      <c r="G38" s="142">
        <f t="shared" si="45"/>
        <v>-3.5737866072268067</v>
      </c>
      <c r="H38" s="142">
        <f t="shared" si="45"/>
        <v>2.0640880385257803</v>
      </c>
      <c r="I38" s="142">
        <f t="shared" si="45"/>
        <v>0.64988697951180585</v>
      </c>
      <c r="J38" s="142">
        <f t="shared" si="45"/>
        <v>0.8496964542589911</v>
      </c>
      <c r="K38" s="142">
        <f t="shared" si="45"/>
        <v>2.1781509595792947E-3</v>
      </c>
      <c r="L38" s="142">
        <f t="shared" ref="L38:U38" si="46">+IFERROR(L33/K33-1,"n/a")</f>
        <v>0.14678829272725391</v>
      </c>
      <c r="M38" s="142">
        <f t="shared" si="46"/>
        <v>0.13894984640380859</v>
      </c>
      <c r="N38" s="142">
        <f t="shared" si="46"/>
        <v>0.13148635220245519</v>
      </c>
      <c r="O38" s="142">
        <f t="shared" si="46"/>
        <v>0.12438186184234712</v>
      </c>
      <c r="P38" s="142">
        <f t="shared" si="46"/>
        <v>0.11762084817730356</v>
      </c>
      <c r="Q38" s="142">
        <f t="shared" si="46"/>
        <v>0.11118823853421644</v>
      </c>
      <c r="R38" s="142">
        <f t="shared" si="46"/>
        <v>0.10506943767526766</v>
      </c>
      <c r="S38" s="142">
        <f t="shared" si="46"/>
        <v>9.9250342444774597E-2</v>
      </c>
      <c r="T38" s="142">
        <f t="shared" si="46"/>
        <v>9.3717349758924318E-2</v>
      </c>
      <c r="U38" s="142">
        <f t="shared" si="46"/>
        <v>8.8457359277462677E-2</v>
      </c>
      <c r="V38" s="75"/>
    </row>
    <row r="39" spans="2:22" ht="10.15" x14ac:dyDescent="0.2">
      <c r="B39" s="92"/>
      <c r="C39" s="72"/>
      <c r="D39" s="72"/>
      <c r="E39" s="73"/>
      <c r="F39" s="73"/>
      <c r="G39" s="73"/>
      <c r="H39" s="73"/>
      <c r="I39" s="73"/>
      <c r="J39" s="72"/>
      <c r="K39" s="72"/>
      <c r="L39" s="72"/>
      <c r="M39" s="72"/>
      <c r="N39" s="72"/>
      <c r="O39" s="72"/>
      <c r="P39" s="72"/>
      <c r="Q39" s="72"/>
      <c r="R39" s="72"/>
      <c r="S39" s="72"/>
      <c r="T39" s="72"/>
      <c r="U39" s="72"/>
      <c r="V39" s="75"/>
    </row>
    <row r="40" spans="2:22" ht="10.15" x14ac:dyDescent="0.2">
      <c r="B40" s="97" t="s">
        <v>88</v>
      </c>
      <c r="C40" s="72"/>
      <c r="D40" s="72"/>
      <c r="E40" s="73"/>
      <c r="F40" s="73"/>
      <c r="G40" s="73"/>
      <c r="H40" s="73"/>
      <c r="I40" s="73"/>
      <c r="J40" s="72"/>
      <c r="K40" s="72"/>
      <c r="L40" s="72"/>
      <c r="M40" s="72"/>
      <c r="N40" s="72"/>
      <c r="O40" s="72"/>
      <c r="P40" s="72"/>
      <c r="Q40" s="72"/>
      <c r="R40" s="72"/>
      <c r="S40" s="72"/>
      <c r="T40" s="72"/>
      <c r="U40" s="72"/>
      <c r="V40" s="75"/>
    </row>
    <row r="41" spans="2:22" ht="10.15" x14ac:dyDescent="0.2">
      <c r="B41" s="82" t="s">
        <v>344</v>
      </c>
      <c r="C41" s="72"/>
      <c r="D41" s="72"/>
      <c r="E41" s="150">
        <f>IFERROR(E31/E13,"n/a")</f>
        <v>-0.1772508196733277</v>
      </c>
      <c r="F41" s="150">
        <f t="shared" ref="F41:T41" si="47">IFERROR(F31/F13,"n/a")</f>
        <v>-8.5990899764194634E-2</v>
      </c>
      <c r="G41" s="150">
        <f t="shared" si="47"/>
        <v>0.1401477440022606</v>
      </c>
      <c r="H41" s="150">
        <f t="shared" si="47"/>
        <v>0.33937102428723614</v>
      </c>
      <c r="I41" s="150">
        <f t="shared" si="47"/>
        <v>0.45191679645168353</v>
      </c>
      <c r="J41" s="150">
        <f t="shared" ref="J41:K41" si="48">IFERROR(J31/J13,"n/a")</f>
        <v>0.47100570359310995</v>
      </c>
      <c r="K41" s="150">
        <f t="shared" si="48"/>
        <v>0.45221083951497376</v>
      </c>
      <c r="L41" s="150">
        <f t="shared" si="47"/>
        <v>0.45221083951497371</v>
      </c>
      <c r="M41" s="150">
        <f t="shared" si="47"/>
        <v>0.45221083951497371</v>
      </c>
      <c r="N41" s="150">
        <f t="shared" si="47"/>
        <v>0.45221083951497376</v>
      </c>
      <c r="O41" s="150">
        <f t="shared" si="47"/>
        <v>0.45221083951497371</v>
      </c>
      <c r="P41" s="150">
        <f t="shared" si="47"/>
        <v>0.45221083951497376</v>
      </c>
      <c r="Q41" s="150">
        <f t="shared" si="47"/>
        <v>0.45221083951497376</v>
      </c>
      <c r="R41" s="150">
        <f t="shared" si="47"/>
        <v>0.45221083951497365</v>
      </c>
      <c r="S41" s="150">
        <f t="shared" si="47"/>
        <v>0.45221083951497376</v>
      </c>
      <c r="T41" s="150">
        <f t="shared" si="47"/>
        <v>0.45221083951497376</v>
      </c>
      <c r="U41" s="150">
        <f t="shared" ref="U41" si="49">IFERROR(U31/U13,"n/a")</f>
        <v>0.45221083951497382</v>
      </c>
      <c r="V41" s="75"/>
    </row>
    <row r="42" spans="2:22" ht="13.5" x14ac:dyDescent="0.35">
      <c r="B42" s="82" t="s">
        <v>326</v>
      </c>
      <c r="C42" s="72"/>
      <c r="D42" s="72"/>
      <c r="E42" s="151" t="str">
        <f>IFERROR(E32/E14,"n/a")</f>
        <v>n/a</v>
      </c>
      <c r="F42" s="151" t="str">
        <f>IFERROR(F32/F14,"n/a")</f>
        <v>n/a</v>
      </c>
      <c r="G42" s="151" t="str">
        <f>IFERROR(G32/G14,"n/a")</f>
        <v>n/a</v>
      </c>
      <c r="H42" s="151">
        <f>IFERROR(H32/H14,"n/a")</f>
        <v>-8.7655480670549935</v>
      </c>
      <c r="I42" s="151">
        <f>IFERROR(I32/I14,"n/a")</f>
        <v>-0.4290874171773863</v>
      </c>
      <c r="J42" s="151">
        <f t="shared" ref="J42:K42" si="50">IFERROR(J32/J14,"n/a")</f>
        <v>5.4338341514186921E-2</v>
      </c>
      <c r="K42" s="151">
        <f t="shared" si="50"/>
        <v>0</v>
      </c>
      <c r="L42" s="152">
        <v>0</v>
      </c>
      <c r="M42" s="152">
        <v>0</v>
      </c>
      <c r="N42" s="152">
        <v>0</v>
      </c>
      <c r="O42" s="152">
        <v>0</v>
      </c>
      <c r="P42" s="152">
        <v>0</v>
      </c>
      <c r="Q42" s="152">
        <v>0</v>
      </c>
      <c r="R42" s="152">
        <v>0</v>
      </c>
      <c r="S42" s="152">
        <v>0</v>
      </c>
      <c r="T42" s="152">
        <v>0</v>
      </c>
      <c r="U42" s="152">
        <v>0</v>
      </c>
      <c r="V42" s="75"/>
    </row>
    <row r="43" spans="2:22" ht="10.15" x14ac:dyDescent="0.2">
      <c r="B43" s="92" t="s">
        <v>279</v>
      </c>
      <c r="C43" s="72"/>
      <c r="D43" s="72"/>
      <c r="E43" s="150">
        <f>IFERROR(E33/E15,"n/a")</f>
        <v>-0.1772508196733277</v>
      </c>
      <c r="F43" s="150">
        <f>IFERROR(F33/F15,"n/a")</f>
        <v>-8.5990899764194634E-2</v>
      </c>
      <c r="G43" s="150">
        <f>IFERROR(G33/G15,"n/a")</f>
        <v>0.1401477440022606</v>
      </c>
      <c r="H43" s="150">
        <f>IFERROR(H33/H15,"n/a")</f>
        <v>0.30901654441550702</v>
      </c>
      <c r="I43" s="150">
        <f>IFERROR(I33/I15,"n/a")</f>
        <v>0.26879342873031759</v>
      </c>
      <c r="J43" s="150">
        <f t="shared" ref="J43:K43" si="51">IFERROR(J33/J15,"n/a")</f>
        <v>0.31420386064565992</v>
      </c>
      <c r="K43" s="150">
        <f t="shared" si="51"/>
        <v>0.26805527310137089</v>
      </c>
      <c r="L43" s="150">
        <f t="shared" ref="L43:T43" si="52">IFERROR(L33/L15,"n/a")</f>
        <v>0.28279622965074763</v>
      </c>
      <c r="M43" s="150">
        <f t="shared" si="52"/>
        <v>0.29634045940805243</v>
      </c>
      <c r="N43" s="150">
        <f t="shared" si="52"/>
        <v>0.30870558316687569</v>
      </c>
      <c r="O43" s="150">
        <f t="shared" si="52"/>
        <v>0.31993699961139244</v>
      </c>
      <c r="P43" s="150">
        <f t="shared" si="52"/>
        <v>0.33009870563687732</v>
      </c>
      <c r="Q43" s="150">
        <f t="shared" si="52"/>
        <v>0.33926574461524023</v>
      </c>
      <c r="R43" s="150">
        <f t="shared" si="52"/>
        <v>0.34751834822944944</v>
      </c>
      <c r="S43" s="150">
        <f t="shared" si="52"/>
        <v>0.35493763262780909</v>
      </c>
      <c r="T43" s="150">
        <f t="shared" si="52"/>
        <v>0.36160261062649857</v>
      </c>
      <c r="U43" s="150">
        <f t="shared" ref="U43" si="53">IFERROR(U33/U15,"n/a")</f>
        <v>0.36758825415185986</v>
      </c>
      <c r="V43" s="75"/>
    </row>
    <row r="44" spans="2:22" ht="10.15" x14ac:dyDescent="0.2">
      <c r="B44" s="92"/>
      <c r="C44" s="72"/>
      <c r="D44" s="72"/>
      <c r="E44" s="150"/>
      <c r="F44" s="150"/>
      <c r="G44" s="150"/>
      <c r="H44" s="150"/>
      <c r="I44" s="150"/>
      <c r="J44" s="150"/>
      <c r="K44" s="150"/>
      <c r="L44" s="150"/>
      <c r="M44" s="150"/>
      <c r="N44" s="150"/>
      <c r="O44" s="150"/>
      <c r="P44" s="150"/>
      <c r="Q44" s="150"/>
      <c r="R44" s="150"/>
      <c r="S44" s="150"/>
      <c r="T44" s="150"/>
      <c r="U44" s="150"/>
      <c r="V44" s="75"/>
    </row>
    <row r="45" spans="2:22" ht="10.15" x14ac:dyDescent="0.2">
      <c r="B45" s="97" t="s">
        <v>359</v>
      </c>
      <c r="C45" s="72"/>
      <c r="D45" s="72"/>
      <c r="E45" s="150"/>
      <c r="F45" s="150"/>
      <c r="G45" s="150"/>
      <c r="H45" s="150"/>
      <c r="I45" s="150"/>
      <c r="J45" s="150"/>
      <c r="K45" s="150"/>
      <c r="L45" s="150"/>
      <c r="M45" s="150"/>
      <c r="N45" s="150"/>
      <c r="O45" s="150"/>
      <c r="P45" s="150"/>
      <c r="Q45" s="150"/>
      <c r="R45" s="150"/>
      <c r="S45" s="150"/>
      <c r="T45" s="150"/>
      <c r="U45" s="150"/>
      <c r="V45" s="75"/>
    </row>
    <row r="46" spans="2:22" x14ac:dyDescent="0.2">
      <c r="B46" s="82" t="s">
        <v>344</v>
      </c>
      <c r="C46" s="72"/>
      <c r="D46" s="72"/>
      <c r="E46" s="150">
        <f>+IFERROR(E31/E8,"n/a")</f>
        <v>-8.8460725875885837E-3</v>
      </c>
      <c r="F46" s="150">
        <f t="shared" ref="F46:I46" si="54">+IFERROR(F31/F8,"n/a")</f>
        <v>-5.0921695246769344E-3</v>
      </c>
      <c r="G46" s="150">
        <f t="shared" si="54"/>
        <v>8.8230706211710423E-3</v>
      </c>
      <c r="H46" s="150">
        <f t="shared" si="54"/>
        <v>2.4322275537822558E-2</v>
      </c>
      <c r="I46" s="150">
        <f t="shared" si="54"/>
        <v>3.9125609087334388E-2</v>
      </c>
      <c r="J46" s="150">
        <f t="shared" ref="J46:K46" si="55">+IFERROR(J31/J8,"n/a")</f>
        <v>4.2898726043093166E-2</v>
      </c>
      <c r="K46" s="150">
        <f t="shared" si="55"/>
        <v>4.0095145106235776E-2</v>
      </c>
      <c r="L46" s="85">
        <f t="shared" ref="L46:U46" si="56">+K46</f>
        <v>4.0095145106235776E-2</v>
      </c>
      <c r="M46" s="85">
        <f t="shared" si="56"/>
        <v>4.0095145106235776E-2</v>
      </c>
      <c r="N46" s="85">
        <f t="shared" si="56"/>
        <v>4.0095145106235776E-2</v>
      </c>
      <c r="O46" s="85">
        <f t="shared" si="56"/>
        <v>4.0095145106235776E-2</v>
      </c>
      <c r="P46" s="85">
        <f t="shared" si="56"/>
        <v>4.0095145106235776E-2</v>
      </c>
      <c r="Q46" s="85">
        <f t="shared" si="56"/>
        <v>4.0095145106235776E-2</v>
      </c>
      <c r="R46" s="85">
        <f t="shared" si="56"/>
        <v>4.0095145106235776E-2</v>
      </c>
      <c r="S46" s="85">
        <f t="shared" si="56"/>
        <v>4.0095145106235776E-2</v>
      </c>
      <c r="T46" s="85">
        <f t="shared" si="56"/>
        <v>4.0095145106235776E-2</v>
      </c>
      <c r="U46" s="85">
        <f t="shared" si="56"/>
        <v>4.0095145106235776E-2</v>
      </c>
      <c r="V46" s="75"/>
    </row>
    <row r="47" spans="2:22" ht="12" x14ac:dyDescent="0.35">
      <c r="B47" s="82" t="s">
        <v>326</v>
      </c>
      <c r="C47" s="72"/>
      <c r="D47" s="72"/>
      <c r="E47" s="158" t="s">
        <v>65</v>
      </c>
      <c r="F47" s="158" t="s">
        <v>65</v>
      </c>
      <c r="G47" s="158" t="s">
        <v>65</v>
      </c>
      <c r="H47" s="158" t="s">
        <v>65</v>
      </c>
      <c r="I47" s="158" t="s">
        <v>65</v>
      </c>
      <c r="J47" s="158" t="s">
        <v>65</v>
      </c>
      <c r="K47" s="158" t="s">
        <v>65</v>
      </c>
      <c r="L47" s="158" t="s">
        <v>65</v>
      </c>
      <c r="M47" s="158" t="s">
        <v>65</v>
      </c>
      <c r="N47" s="158" t="s">
        <v>65</v>
      </c>
      <c r="O47" s="158" t="s">
        <v>65</v>
      </c>
      <c r="P47" s="158" t="s">
        <v>65</v>
      </c>
      <c r="Q47" s="158" t="s">
        <v>65</v>
      </c>
      <c r="R47" s="158" t="s">
        <v>65</v>
      </c>
      <c r="S47" s="158" t="s">
        <v>65</v>
      </c>
      <c r="T47" s="158" t="s">
        <v>65</v>
      </c>
      <c r="U47" s="158" t="s">
        <v>65</v>
      </c>
      <c r="V47" s="75"/>
    </row>
    <row r="48" spans="2:22" ht="10.15" x14ac:dyDescent="0.2">
      <c r="B48" s="92" t="s">
        <v>279</v>
      </c>
      <c r="C48" s="72"/>
      <c r="D48" s="72"/>
      <c r="E48" s="150">
        <f>+IFERROR(E33/E8,"n/a")</f>
        <v>-8.8460725875885837E-3</v>
      </c>
      <c r="F48" s="150">
        <f t="shared" ref="F48:T48" si="57">+IFERROR(F33/F8,"n/a")</f>
        <v>-5.0921695246769344E-3</v>
      </c>
      <c r="G48" s="150">
        <f t="shared" si="57"/>
        <v>8.8230706211710423E-3</v>
      </c>
      <c r="H48" s="150">
        <f t="shared" si="57"/>
        <v>2.2220891065208529E-2</v>
      </c>
      <c r="I48" s="150">
        <f t="shared" si="57"/>
        <v>2.9377712900838644E-2</v>
      </c>
      <c r="J48" s="150">
        <f t="shared" ref="J48:K48" si="58">+IFERROR(J33/J8,"n/a")</f>
        <v>4.5884982575911587E-2</v>
      </c>
      <c r="K48" s="150">
        <f t="shared" si="58"/>
        <v>4.0095145106235776E-2</v>
      </c>
      <c r="L48" s="150">
        <f t="shared" si="57"/>
        <v>4.0095145106235769E-2</v>
      </c>
      <c r="M48" s="150">
        <f t="shared" si="57"/>
        <v>4.0095145106235776E-2</v>
      </c>
      <c r="N48" s="150">
        <f t="shared" si="57"/>
        <v>4.0095145106235776E-2</v>
      </c>
      <c r="O48" s="150">
        <f t="shared" si="57"/>
        <v>4.0095145106235776E-2</v>
      </c>
      <c r="P48" s="150">
        <f t="shared" si="57"/>
        <v>4.0095145106235776E-2</v>
      </c>
      <c r="Q48" s="150">
        <f t="shared" si="57"/>
        <v>4.0095145106235776E-2</v>
      </c>
      <c r="R48" s="150">
        <f t="shared" si="57"/>
        <v>4.0095145106235776E-2</v>
      </c>
      <c r="S48" s="150">
        <f t="shared" si="57"/>
        <v>4.0095145106235776E-2</v>
      </c>
      <c r="T48" s="150">
        <f t="shared" si="57"/>
        <v>4.0095145106235776E-2</v>
      </c>
      <c r="U48" s="150">
        <f t="shared" ref="U48" si="59">+IFERROR(U33/U8,"n/a")</f>
        <v>4.0095145106235776E-2</v>
      </c>
    </row>
    <row r="49" spans="2:21" ht="10.15" x14ac:dyDescent="0.2">
      <c r="B49" s="92"/>
      <c r="C49" s="72"/>
      <c r="D49" s="72"/>
      <c r="E49" s="86"/>
      <c r="F49" s="86"/>
      <c r="G49" s="86"/>
      <c r="H49" s="72"/>
      <c r="I49" s="72"/>
      <c r="J49" s="72"/>
      <c r="K49" s="72"/>
      <c r="L49" s="72"/>
      <c r="M49" s="87"/>
      <c r="N49" s="87"/>
      <c r="O49" s="87"/>
      <c r="P49" s="87"/>
      <c r="Q49" s="87"/>
      <c r="R49" s="87"/>
      <c r="S49" s="87"/>
      <c r="T49" s="87"/>
      <c r="U49" s="87"/>
    </row>
    <row r="50" spans="2:21" ht="13.5" x14ac:dyDescent="0.35">
      <c r="B50" s="61" t="s">
        <v>70</v>
      </c>
      <c r="C50" s="72"/>
      <c r="D50" s="72"/>
      <c r="E50" s="88">
        <f>+'Historical Financials'!AR66</f>
        <v>-2557.7060000000001</v>
      </c>
      <c r="F50" s="88">
        <f>+'Historical Financials'!AS66</f>
        <v>-3613.0429999999997</v>
      </c>
      <c r="G50" s="88">
        <f>+'Historical Financials'!AT66</f>
        <v>-4774.7299999999996</v>
      </c>
      <c r="H50" s="88">
        <f>+'Historical Financials'!AU66</f>
        <v>-7718.3649999999998</v>
      </c>
      <c r="I50" s="88">
        <f>+'Historical Financials'!AV66</f>
        <v>-7078.7939999999999</v>
      </c>
      <c r="J50" s="88">
        <f>+'Historical Financials'!AW66</f>
        <v>-10546.828000000001</v>
      </c>
      <c r="K50" s="88">
        <f>+'Historical Financials'!AX66</f>
        <v>-11300</v>
      </c>
      <c r="L50" s="89">
        <f t="shared" ref="L50:U50" si="60">+(((L15-L33)/(K15-K33)-1)*0.5+1)*K50</f>
        <v>-11667.924240288325</v>
      </c>
      <c r="M50" s="89">
        <f t="shared" si="60"/>
        <v>-12055.115186077726</v>
      </c>
      <c r="N50" s="89">
        <f t="shared" si="60"/>
        <v>-12459.433004459243</v>
      </c>
      <c r="O50" s="89">
        <f t="shared" si="60"/>
        <v>-12878.592431199218</v>
      </c>
      <c r="P50" s="89">
        <f t="shared" si="60"/>
        <v>-13310.221312862728</v>
      </c>
      <c r="Q50" s="89">
        <f t="shared" si="60"/>
        <v>-13751.913382410374</v>
      </c>
      <c r="R50" s="89">
        <f t="shared" si="60"/>
        <v>-14201.274193736719</v>
      </c>
      <c r="S50" s="89">
        <f t="shared" si="60"/>
        <v>-14655.959827939456</v>
      </c>
      <c r="T50" s="89">
        <f t="shared" si="60"/>
        <v>-15113.708483276327</v>
      </c>
      <c r="U50" s="89">
        <f t="shared" si="60"/>
        <v>-15572.365388903716</v>
      </c>
    </row>
    <row r="51" spans="2:21" ht="10.15" x14ac:dyDescent="0.2">
      <c r="B51" s="90" t="s">
        <v>219</v>
      </c>
      <c r="C51" s="72"/>
      <c r="D51" s="72"/>
      <c r="E51" s="72">
        <f t="shared" ref="E51:T51" si="61">E33+E50</f>
        <v>-7900.380000000001</v>
      </c>
      <c r="F51" s="72">
        <f t="shared" si="61"/>
        <v>-8728.8019999999997</v>
      </c>
      <c r="G51" s="72">
        <f t="shared" si="61"/>
        <v>8392.1419999999998</v>
      </c>
      <c r="H51" s="72">
        <f t="shared" si="61"/>
        <v>32626.090000000018</v>
      </c>
      <c r="I51" s="72">
        <f t="shared" si="61"/>
        <v>59484.996999999996</v>
      </c>
      <c r="J51" s="72">
        <f t="shared" si="61"/>
        <v>112575.98019473653</v>
      </c>
      <c r="K51" s="72">
        <f t="shared" si="61"/>
        <v>112090.988257552</v>
      </c>
      <c r="L51" s="72">
        <f t="shared" si="61"/>
        <v>129835.41652151837</v>
      </c>
      <c r="M51" s="72">
        <f t="shared" si="61"/>
        <v>149110.09304020781</v>
      </c>
      <c r="N51" s="72">
        <f t="shared" si="61"/>
        <v>169896.80055344969</v>
      </c>
      <c r="O51" s="72">
        <f t="shared" si="61"/>
        <v>192159.44897520036</v>
      </c>
      <c r="P51" s="72">
        <f t="shared" si="61"/>
        <v>215844.56843237064</v>
      </c>
      <c r="Q51" s="72">
        <f t="shared" si="61"/>
        <v>240882.19378627423</v>
      </c>
      <c r="R51" s="72">
        <f t="shared" si="61"/>
        <v>267187.09542810539</v>
      </c>
      <c r="S51" s="72">
        <f t="shared" si="61"/>
        <v>294660.30183884728</v>
      </c>
      <c r="T51" s="72">
        <f t="shared" si="61"/>
        <v>323190.85346425965</v>
      </c>
      <c r="U51" s="72">
        <f t="shared" ref="U51" si="62">U33+U50</f>
        <v>352657.72474003007</v>
      </c>
    </row>
    <row r="52" spans="2:21" ht="10.15" x14ac:dyDescent="0.2">
      <c r="B52" s="91" t="s">
        <v>86</v>
      </c>
      <c r="C52" s="79"/>
      <c r="D52" s="79"/>
      <c r="E52" s="83"/>
      <c r="F52" s="83">
        <f t="shared" ref="F52:U52" si="63">F51/E51-1</f>
        <v>0.10485850047719203</v>
      </c>
      <c r="G52" s="83">
        <f t="shared" si="63"/>
        <v>-1.9614311333903554</v>
      </c>
      <c r="H52" s="83">
        <f t="shared" si="63"/>
        <v>2.8876951796096897</v>
      </c>
      <c r="I52" s="83">
        <f t="shared" si="63"/>
        <v>0.82323401302454458</v>
      </c>
      <c r="J52" s="83">
        <f t="shared" si="63"/>
        <v>0.89251047948672735</v>
      </c>
      <c r="K52" s="83">
        <f t="shared" si="63"/>
        <v>-4.3081298190393857E-3</v>
      </c>
      <c r="L52" s="83">
        <f t="shared" si="63"/>
        <v>0.15830378998171479</v>
      </c>
      <c r="M52" s="83">
        <f t="shared" si="63"/>
        <v>0.14845469006135881</v>
      </c>
      <c r="N52" s="83">
        <f t="shared" si="63"/>
        <v>0.13940510054967703</v>
      </c>
      <c r="O52" s="83">
        <f t="shared" si="63"/>
        <v>0.13103630173863579</v>
      </c>
      <c r="P52" s="83">
        <f t="shared" si="63"/>
        <v>0.12325763621557329</v>
      </c>
      <c r="Q52" s="83">
        <f t="shared" si="63"/>
        <v>0.11599840355375224</v>
      </c>
      <c r="R52" s="83">
        <f t="shared" si="63"/>
        <v>0.10920235002995082</v>
      </c>
      <c r="S52" s="83">
        <f t="shared" si="63"/>
        <v>0.10282385220260148</v>
      </c>
      <c r="T52" s="83">
        <f t="shared" si="63"/>
        <v>9.6825230434386844E-2</v>
      </c>
      <c r="U52" s="83">
        <f t="shared" si="63"/>
        <v>9.1174830475297064E-2</v>
      </c>
    </row>
    <row r="53" spans="2:21" s="81" customFormat="1" ht="10.15" x14ac:dyDescent="0.2">
      <c r="B53" s="92" t="s">
        <v>88</v>
      </c>
      <c r="C53" s="79"/>
      <c r="D53" s="79"/>
      <c r="E53" s="84">
        <f>E51/E15</f>
        <v>-0.26210635923710951</v>
      </c>
      <c r="F53" s="84">
        <f t="shared" ref="F53:T53" si="64">F51/F15</f>
        <v>-0.14672261493231048</v>
      </c>
      <c r="G53" s="84">
        <f t="shared" si="64"/>
        <v>8.9325678008157092E-2</v>
      </c>
      <c r="H53" s="84">
        <f t="shared" si="64"/>
        <v>0.24989807371519412</v>
      </c>
      <c r="I53" s="84">
        <f t="shared" si="64"/>
        <v>0.24020831838803552</v>
      </c>
      <c r="J53" s="84">
        <f t="shared" si="64"/>
        <v>0.28728883065443028</v>
      </c>
      <c r="K53" s="84">
        <f t="shared" si="64"/>
        <v>0.24350708989269884</v>
      </c>
      <c r="L53" s="84">
        <f t="shared" si="64"/>
        <v>0.25947773437537169</v>
      </c>
      <c r="M53" s="84">
        <f t="shared" si="64"/>
        <v>0.27417427098701697</v>
      </c>
      <c r="N53" s="84">
        <f t="shared" si="64"/>
        <v>0.28761337010387239</v>
      </c>
      <c r="O53" s="84">
        <f t="shared" si="64"/>
        <v>0.29984151784911267</v>
      </c>
      <c r="P53" s="84">
        <f t="shared" si="64"/>
        <v>0.31092526033380896</v>
      </c>
      <c r="Q53" s="84">
        <f t="shared" si="64"/>
        <v>0.32094316722981164</v>
      </c>
      <c r="R53" s="84">
        <f t="shared" si="64"/>
        <v>0.32997958727357446</v>
      </c>
      <c r="S53" s="84">
        <f t="shared" si="64"/>
        <v>0.33812005033457371</v>
      </c>
      <c r="T53" s="84">
        <f t="shared" si="64"/>
        <v>0.34544806511183268</v>
      </c>
      <c r="U53" s="84">
        <f t="shared" ref="U53" si="65">U51/U15</f>
        <v>0.3520430318580553</v>
      </c>
    </row>
    <row r="54" spans="2:21" s="81" customFormat="1" ht="10.15" x14ac:dyDescent="0.2">
      <c r="B54" s="92" t="s">
        <v>359</v>
      </c>
      <c r="C54" s="79"/>
      <c r="D54" s="79"/>
      <c r="E54" s="84">
        <f>+IFERROR(E51/E8,"n/a")</f>
        <v>-1.3080965626862708E-2</v>
      </c>
      <c r="F54" s="84">
        <f t="shared" ref="F54:U54" si="66">+IFERROR(F51/F8,"n/a")</f>
        <v>-8.6885522815556941E-3</v>
      </c>
      <c r="G54" s="84">
        <f t="shared" si="66"/>
        <v>5.6235422907502698E-3</v>
      </c>
      <c r="H54" s="84">
        <f t="shared" si="66"/>
        <v>1.7969775320392591E-2</v>
      </c>
      <c r="I54" s="84">
        <f t="shared" si="66"/>
        <v>2.6253510167010288E-2</v>
      </c>
      <c r="J54" s="84">
        <f t="shared" si="66"/>
        <v>4.1954427172677819E-2</v>
      </c>
      <c r="K54" s="84">
        <f t="shared" si="66"/>
        <v>3.6423279388175654E-2</v>
      </c>
      <c r="L54" s="84">
        <f t="shared" si="66"/>
        <v>3.6789024466367476E-2</v>
      </c>
      <c r="M54" s="84">
        <f t="shared" si="66"/>
        <v>3.7096038798008761E-2</v>
      </c>
      <c r="N54" s="84">
        <f t="shared" si="66"/>
        <v>3.7355656773381089E-2</v>
      </c>
      <c r="O54" s="84">
        <f t="shared" si="66"/>
        <v>3.7576739113127776E-2</v>
      </c>
      <c r="P54" s="84">
        <f t="shared" si="66"/>
        <v>3.776625965929109E-2</v>
      </c>
      <c r="Q54" s="84">
        <f t="shared" si="66"/>
        <v>3.7929744058092373E-2</v>
      </c>
      <c r="R54" s="84">
        <f t="shared" si="66"/>
        <v>3.8071599675923447E-2</v>
      </c>
      <c r="S54" s="84">
        <f t="shared" si="66"/>
        <v>3.8195365143792591E-2</v>
      </c>
      <c r="T54" s="84">
        <f t="shared" si="66"/>
        <v>3.8303900166345529E-2</v>
      </c>
      <c r="U54" s="84">
        <f t="shared" si="66"/>
        <v>3.8399530688367871E-2</v>
      </c>
    </row>
    <row r="55" spans="2:21" s="81" customFormat="1" x14ac:dyDescent="0.2">
      <c r="B55" s="92"/>
      <c r="C55" s="79"/>
      <c r="D55" s="79"/>
      <c r="E55" s="84"/>
      <c r="F55" s="84"/>
      <c r="G55" s="84"/>
      <c r="H55" s="84"/>
      <c r="I55" s="84"/>
      <c r="J55" s="84"/>
      <c r="K55" s="84"/>
      <c r="L55" s="84"/>
      <c r="M55" s="84"/>
      <c r="N55" s="84"/>
      <c r="O55" s="84"/>
      <c r="P55" s="84"/>
      <c r="Q55" s="84"/>
      <c r="R55" s="84"/>
      <c r="S55" s="84"/>
      <c r="T55" s="84"/>
      <c r="U55" s="84"/>
    </row>
    <row r="56" spans="2:21" s="81" customFormat="1" x14ac:dyDescent="0.2">
      <c r="B56" s="97" t="s">
        <v>66</v>
      </c>
      <c r="C56" s="79"/>
      <c r="D56" s="79"/>
      <c r="E56" s="84"/>
      <c r="F56" s="84"/>
      <c r="G56" s="84"/>
      <c r="H56" s="84"/>
      <c r="I56" s="84"/>
      <c r="J56" s="84"/>
      <c r="K56" s="84"/>
      <c r="L56" s="84"/>
      <c r="M56" s="84"/>
      <c r="N56" s="84"/>
      <c r="O56" s="84"/>
      <c r="P56" s="84"/>
      <c r="Q56" s="84"/>
      <c r="R56" s="84"/>
      <c r="S56" s="84"/>
      <c r="T56" s="84"/>
      <c r="U56" s="84"/>
    </row>
    <row r="57" spans="2:21" s="81" customFormat="1" x14ac:dyDescent="0.2">
      <c r="B57" s="76" t="s">
        <v>219</v>
      </c>
      <c r="C57" s="79"/>
      <c r="D57" s="79"/>
      <c r="E57" s="79">
        <f>+E51</f>
        <v>-7900.380000000001</v>
      </c>
      <c r="F57" s="79">
        <f t="shared" ref="F57:U57" si="67">+F51</f>
        <v>-8728.8019999999997</v>
      </c>
      <c r="G57" s="79">
        <f t="shared" si="67"/>
        <v>8392.1419999999998</v>
      </c>
      <c r="H57" s="79">
        <f t="shared" si="67"/>
        <v>32626.090000000018</v>
      </c>
      <c r="I57" s="79">
        <f t="shared" si="67"/>
        <v>59484.996999999996</v>
      </c>
      <c r="J57" s="79">
        <f t="shared" si="67"/>
        <v>112575.98019473653</v>
      </c>
      <c r="K57" s="79">
        <f t="shared" si="67"/>
        <v>112090.988257552</v>
      </c>
      <c r="L57" s="79">
        <f t="shared" si="67"/>
        <v>129835.41652151837</v>
      </c>
      <c r="M57" s="79">
        <f t="shared" si="67"/>
        <v>149110.09304020781</v>
      </c>
      <c r="N57" s="79">
        <f t="shared" si="67"/>
        <v>169896.80055344969</v>
      </c>
      <c r="O57" s="79">
        <f t="shared" si="67"/>
        <v>192159.44897520036</v>
      </c>
      <c r="P57" s="79">
        <f t="shared" si="67"/>
        <v>215844.56843237064</v>
      </c>
      <c r="Q57" s="79">
        <f t="shared" si="67"/>
        <v>240882.19378627423</v>
      </c>
      <c r="R57" s="79">
        <f t="shared" si="67"/>
        <v>267187.09542810539</v>
      </c>
      <c r="S57" s="79">
        <f t="shared" si="67"/>
        <v>294660.30183884728</v>
      </c>
      <c r="T57" s="79">
        <f t="shared" si="67"/>
        <v>323190.85346425965</v>
      </c>
      <c r="U57" s="79">
        <f t="shared" si="67"/>
        <v>352657.72474003007</v>
      </c>
    </row>
    <row r="58" spans="2:21" s="81" customFormat="1" ht="13.5" x14ac:dyDescent="0.35">
      <c r="B58" s="76" t="s">
        <v>218</v>
      </c>
      <c r="C58" s="79"/>
      <c r="D58" s="155"/>
      <c r="E58" s="155">
        <f>+-E81</f>
        <v>-637.83100000000002</v>
      </c>
      <c r="F58" s="155">
        <f t="shared" ref="F58:U58" si="68">+-F81</f>
        <v>-651.52300000000002</v>
      </c>
      <c r="G58" s="155">
        <f t="shared" si="68"/>
        <v>-1495.38</v>
      </c>
      <c r="H58" s="155">
        <f t="shared" si="68"/>
        <v>-2224.1689999999999</v>
      </c>
      <c r="I58" s="155">
        <f t="shared" si="68"/>
        <v>-786.23500000000001</v>
      </c>
      <c r="J58" s="155">
        <f t="shared" si="68"/>
        <v>-1838.9082117189237</v>
      </c>
      <c r="K58" s="155">
        <f t="shared" si="68"/>
        <v>-2065</v>
      </c>
      <c r="L58" s="155">
        <f t="shared" si="68"/>
        <v>-2244.6779823113161</v>
      </c>
      <c r="M58" s="155">
        <f t="shared" si="68"/>
        <v>-2439.7274477885471</v>
      </c>
      <c r="N58" s="155">
        <f t="shared" si="68"/>
        <v>-2649.9464501958632</v>
      </c>
      <c r="O58" s="155">
        <f t="shared" si="68"/>
        <v>-2874.9542987584632</v>
      </c>
      <c r="P58" s="155">
        <f t="shared" si="68"/>
        <v>-3114.1970299505342</v>
      </c>
      <c r="Q58" s="155">
        <f t="shared" si="68"/>
        <v>-3366.9567056602382</v>
      </c>
      <c r="R58" s="155">
        <f t="shared" si="68"/>
        <v>-3632.3640785943467</v>
      </c>
      <c r="S58" s="155">
        <f t="shared" si="68"/>
        <v>-3909.4140803357068</v>
      </c>
      <c r="T58" s="155">
        <f t="shared" si="68"/>
        <v>-4196.9835334951485</v>
      </c>
      <c r="U58" s="155">
        <f t="shared" si="68"/>
        <v>-4493.8504657156263</v>
      </c>
    </row>
    <row r="59" spans="2:21" s="81" customFormat="1" x14ac:dyDescent="0.2">
      <c r="B59" s="92" t="s">
        <v>96</v>
      </c>
      <c r="C59" s="79"/>
      <c r="D59" s="79"/>
      <c r="E59" s="79">
        <f>SUM(E57:E58)</f>
        <v>-8538.2110000000011</v>
      </c>
      <c r="F59" s="79">
        <f t="shared" ref="F59:U59" si="69">SUM(F57:F58)</f>
        <v>-9380.3249999999989</v>
      </c>
      <c r="G59" s="79">
        <f t="shared" si="69"/>
        <v>6896.7619999999997</v>
      </c>
      <c r="H59" s="79">
        <f t="shared" si="69"/>
        <v>30401.921000000017</v>
      </c>
      <c r="I59" s="79">
        <f t="shared" si="69"/>
        <v>58698.761999999995</v>
      </c>
      <c r="J59" s="79">
        <f t="shared" si="69"/>
        <v>110737.07198301761</v>
      </c>
      <c r="K59" s="79">
        <f t="shared" si="69"/>
        <v>110025.988257552</v>
      </c>
      <c r="L59" s="79">
        <f t="shared" si="69"/>
        <v>127590.73853920706</v>
      </c>
      <c r="M59" s="79">
        <f t="shared" si="69"/>
        <v>146670.36559241926</v>
      </c>
      <c r="N59" s="79">
        <f t="shared" si="69"/>
        <v>167246.85410325383</v>
      </c>
      <c r="O59" s="79">
        <f t="shared" si="69"/>
        <v>189284.49467644189</v>
      </c>
      <c r="P59" s="79">
        <f t="shared" si="69"/>
        <v>212730.3714024201</v>
      </c>
      <c r="Q59" s="79">
        <f t="shared" si="69"/>
        <v>237515.237080614</v>
      </c>
      <c r="R59" s="79">
        <f t="shared" si="69"/>
        <v>263554.73134951101</v>
      </c>
      <c r="S59" s="79">
        <f t="shared" si="69"/>
        <v>290750.88775851158</v>
      </c>
      <c r="T59" s="79">
        <f t="shared" si="69"/>
        <v>318993.86993076449</v>
      </c>
      <c r="U59" s="79">
        <f t="shared" si="69"/>
        <v>348163.87427431444</v>
      </c>
    </row>
    <row r="60" spans="2:21" s="81" customFormat="1" x14ac:dyDescent="0.2">
      <c r="B60" s="156" t="s">
        <v>86</v>
      </c>
      <c r="C60" s="79"/>
      <c r="D60" s="79"/>
      <c r="E60" s="83"/>
      <c r="F60" s="83">
        <f t="shared" ref="F60:U60" si="70">F59/E59-1</f>
        <v>9.8628857965678884E-2</v>
      </c>
      <c r="G60" s="83">
        <f t="shared" si="70"/>
        <v>-1.7352369987180616</v>
      </c>
      <c r="H60" s="83">
        <f t="shared" si="70"/>
        <v>3.4081441406851534</v>
      </c>
      <c r="I60" s="83">
        <f t="shared" si="70"/>
        <v>0.9307583228046663</v>
      </c>
      <c r="J60" s="83">
        <f t="shared" si="70"/>
        <v>0.88653164410891017</v>
      </c>
      <c r="K60" s="83">
        <f t="shared" si="70"/>
        <v>-6.421370122325909E-3</v>
      </c>
      <c r="L60" s="83">
        <f t="shared" si="70"/>
        <v>0.15964183153291911</v>
      </c>
      <c r="M60" s="83">
        <f t="shared" si="70"/>
        <v>0.1495377115271519</v>
      </c>
      <c r="N60" s="83">
        <f t="shared" si="70"/>
        <v>0.14029070172235314</v>
      </c>
      <c r="O60" s="83">
        <f t="shared" si="70"/>
        <v>0.13176714558458946</v>
      </c>
      <c r="P60" s="83">
        <f t="shared" si="70"/>
        <v>0.12386580721287288</v>
      </c>
      <c r="Q60" s="83">
        <f t="shared" si="70"/>
        <v>0.11650835522356418</v>
      </c>
      <c r="R60" s="83">
        <f t="shared" si="70"/>
        <v>0.10963294224386577</v>
      </c>
      <c r="S60" s="83">
        <f t="shared" si="70"/>
        <v>0.10318978631020892</v>
      </c>
      <c r="T60" s="83">
        <f t="shared" si="70"/>
        <v>9.7138077169727E-2</v>
      </c>
      <c r="U60" s="83">
        <f t="shared" si="70"/>
        <v>9.1443777116723579E-2</v>
      </c>
    </row>
    <row r="61" spans="2:21" s="81" customFormat="1" x14ac:dyDescent="0.2">
      <c r="B61" s="156" t="s">
        <v>630</v>
      </c>
      <c r="C61" s="79"/>
      <c r="D61" s="79"/>
      <c r="E61" s="84"/>
      <c r="F61" s="83">
        <f>+F60</f>
        <v>9.8628857965678884E-2</v>
      </c>
      <c r="G61" s="83">
        <f t="shared" ref="G61:U61" si="71">+G60</f>
        <v>-1.7352369987180616</v>
      </c>
      <c r="H61" s="83">
        <f t="shared" si="71"/>
        <v>3.4081441406851534</v>
      </c>
      <c r="I61" s="83">
        <f t="shared" si="71"/>
        <v>0.9307583228046663</v>
      </c>
      <c r="J61" s="83">
        <f t="shared" si="71"/>
        <v>0.88653164410891017</v>
      </c>
      <c r="K61" s="83">
        <f t="shared" si="71"/>
        <v>-6.421370122325909E-3</v>
      </c>
      <c r="L61" s="83">
        <f t="shared" si="71"/>
        <v>0.15964183153291911</v>
      </c>
      <c r="M61" s="83">
        <f t="shared" si="71"/>
        <v>0.1495377115271519</v>
      </c>
      <c r="N61" s="83">
        <f t="shared" si="71"/>
        <v>0.14029070172235314</v>
      </c>
      <c r="O61" s="83">
        <f t="shared" si="71"/>
        <v>0.13176714558458946</v>
      </c>
      <c r="P61" s="83">
        <f t="shared" si="71"/>
        <v>0.12386580721287288</v>
      </c>
      <c r="Q61" s="83">
        <f t="shared" si="71"/>
        <v>0.11650835522356418</v>
      </c>
      <c r="R61" s="83">
        <f t="shared" si="71"/>
        <v>0.10963294224386577</v>
      </c>
      <c r="S61" s="83">
        <f t="shared" si="71"/>
        <v>0.10318978631020892</v>
      </c>
      <c r="T61" s="83">
        <f t="shared" si="71"/>
        <v>9.7138077169727E-2</v>
      </c>
      <c r="U61" s="83">
        <f t="shared" si="71"/>
        <v>9.1443777116723579E-2</v>
      </c>
    </row>
    <row r="62" spans="2:21" s="81" customFormat="1" x14ac:dyDescent="0.2">
      <c r="B62" s="156" t="s">
        <v>88</v>
      </c>
      <c r="C62" s="79"/>
      <c r="D62" s="79"/>
      <c r="E62" s="84">
        <f>+E59/E15</f>
        <v>-0.28326731114303866</v>
      </c>
      <c r="F62" s="84">
        <f t="shared" ref="F62:U62" si="72">+F59/F15</f>
        <v>-0.15767407863243149</v>
      </c>
      <c r="G62" s="84">
        <f t="shared" si="72"/>
        <v>7.3408903437393397E-2</v>
      </c>
      <c r="H62" s="84">
        <f t="shared" si="72"/>
        <v>0.23286215097002147</v>
      </c>
      <c r="I62" s="84">
        <f t="shared" si="72"/>
        <v>0.23703339703420545</v>
      </c>
      <c r="J62" s="84">
        <f t="shared" si="72"/>
        <v>0.28259601972876303</v>
      </c>
      <c r="K62" s="84">
        <f t="shared" si="72"/>
        <v>0.23902107234173353</v>
      </c>
      <c r="L62" s="84">
        <f t="shared" si="72"/>
        <v>0.25499171682440636</v>
      </c>
      <c r="M62" s="84">
        <f t="shared" si="72"/>
        <v>0.26968825343605163</v>
      </c>
      <c r="N62" s="84">
        <f t="shared" si="72"/>
        <v>0.28312735255290711</v>
      </c>
      <c r="O62" s="84">
        <f t="shared" si="72"/>
        <v>0.29535550029814733</v>
      </c>
      <c r="P62" s="84">
        <f t="shared" si="72"/>
        <v>0.30643924278284362</v>
      </c>
      <c r="Q62" s="84">
        <f t="shared" si="72"/>
        <v>0.31645714967884636</v>
      </c>
      <c r="R62" s="84">
        <f t="shared" si="72"/>
        <v>0.32549356972260912</v>
      </c>
      <c r="S62" s="84">
        <f t="shared" si="72"/>
        <v>0.33363403278360843</v>
      </c>
      <c r="T62" s="84">
        <f t="shared" si="72"/>
        <v>0.3409620475608674</v>
      </c>
      <c r="U62" s="84">
        <f t="shared" si="72"/>
        <v>0.34755701430709002</v>
      </c>
    </row>
    <row r="63" spans="2:21" ht="10.15" x14ac:dyDescent="0.2">
      <c r="C63" s="72"/>
      <c r="D63" s="72"/>
      <c r="E63" s="93"/>
      <c r="F63" s="93"/>
      <c r="G63" s="93"/>
      <c r="H63" s="72"/>
      <c r="I63" s="72"/>
      <c r="J63" s="72"/>
      <c r="K63" s="72"/>
      <c r="L63" s="72"/>
      <c r="M63" s="72"/>
      <c r="N63" s="72"/>
      <c r="O63" s="72"/>
      <c r="P63" s="72"/>
      <c r="Q63" s="72"/>
      <c r="R63" s="72"/>
      <c r="S63" s="72"/>
      <c r="T63" s="72"/>
      <c r="U63" s="72"/>
    </row>
    <row r="64" spans="2:21" x14ac:dyDescent="0.2">
      <c r="B64" s="61" t="s">
        <v>220</v>
      </c>
      <c r="C64" s="72"/>
      <c r="D64" s="72"/>
      <c r="E64" s="73">
        <f>-'Historical Financials'!AR91</f>
        <v>27.436</v>
      </c>
      <c r="F64" s="73">
        <f>-'Historical Financials'!AS91</f>
        <v>43.045999999999999</v>
      </c>
      <c r="G64" s="73">
        <f>-'Historical Financials'!AT91</f>
        <v>3287.232</v>
      </c>
      <c r="H64" s="73">
        <f>-'Historical Financials'!AU91</f>
        <v>635.71600000000001</v>
      </c>
      <c r="I64" s="73">
        <f>-'Historical Financials'!AV91</f>
        <v>583.87900000000002</v>
      </c>
      <c r="J64" s="73">
        <f>-'Historical Financials'!AW91</f>
        <v>2728.0596809615545</v>
      </c>
      <c r="K64" s="73">
        <f>-'Historical Financials'!AX91</f>
        <v>3063</v>
      </c>
      <c r="L64" s="72">
        <f t="shared" ref="L64:T64" si="73">+L65*L15</f>
        <v>3329.5150895009983</v>
      </c>
      <c r="M64" s="72">
        <f t="shared" si="73"/>
        <v>3618.8305920466441</v>
      </c>
      <c r="N64" s="72">
        <f t="shared" si="73"/>
        <v>3930.6469622033555</v>
      </c>
      <c r="O64" s="72">
        <f t="shared" si="73"/>
        <v>4264.3995240180011</v>
      </c>
      <c r="P64" s="72">
        <f t="shared" si="73"/>
        <v>4619.2665872825601</v>
      </c>
      <c r="Q64" s="72">
        <f t="shared" si="73"/>
        <v>4994.183239436954</v>
      </c>
      <c r="R64" s="72">
        <f t="shared" si="73"/>
        <v>5387.8601320748103</v>
      </c>
      <c r="S64" s="72">
        <f t="shared" si="73"/>
        <v>5798.8064542703487</v>
      </c>
      <c r="T64" s="72">
        <f t="shared" si="73"/>
        <v>6225.3562048889298</v>
      </c>
      <c r="U64" s="72">
        <f t="shared" ref="U64" si="74">+U65*U15</f>
        <v>6665.6968409137835</v>
      </c>
    </row>
    <row r="65" spans="2:22" s="81" customFormat="1" x14ac:dyDescent="0.2">
      <c r="B65" s="76" t="s">
        <v>95</v>
      </c>
      <c r="C65" s="79"/>
      <c r="D65" s="79"/>
      <c r="E65" s="84">
        <f>+E64/E15</f>
        <v>9.1022837787920776E-4</v>
      </c>
      <c r="F65" s="84">
        <f t="shared" ref="F65:I65" si="75">+F64/F15</f>
        <v>7.2356111209490568E-4</v>
      </c>
      <c r="G65" s="84">
        <f t="shared" si="75"/>
        <v>3.4989187167008169E-2</v>
      </c>
      <c r="H65" s="84">
        <f t="shared" si="75"/>
        <v>4.8692382026141734E-3</v>
      </c>
      <c r="I65" s="84">
        <f t="shared" si="75"/>
        <v>2.3577809499105767E-3</v>
      </c>
      <c r="J65" s="84">
        <f t="shared" ref="J65:K65" si="76">+J64/J15</f>
        <v>6.9618854247878613E-3</v>
      </c>
      <c r="K65" s="84">
        <f t="shared" si="76"/>
        <v>6.6540783334657141E-3</v>
      </c>
      <c r="L65" s="85">
        <f t="shared" ref="L65:U65" si="77">+K65</f>
        <v>6.6540783334657141E-3</v>
      </c>
      <c r="M65" s="85">
        <f t="shared" si="77"/>
        <v>6.6540783334657141E-3</v>
      </c>
      <c r="N65" s="85">
        <f t="shared" si="77"/>
        <v>6.6540783334657141E-3</v>
      </c>
      <c r="O65" s="85">
        <f t="shared" si="77"/>
        <v>6.6540783334657141E-3</v>
      </c>
      <c r="P65" s="85">
        <f t="shared" si="77"/>
        <v>6.6540783334657141E-3</v>
      </c>
      <c r="Q65" s="85">
        <f t="shared" si="77"/>
        <v>6.6540783334657141E-3</v>
      </c>
      <c r="R65" s="85">
        <f t="shared" si="77"/>
        <v>6.6540783334657141E-3</v>
      </c>
      <c r="S65" s="85">
        <f t="shared" si="77"/>
        <v>6.6540783334657141E-3</v>
      </c>
      <c r="T65" s="85">
        <f t="shared" si="77"/>
        <v>6.6540783334657141E-3</v>
      </c>
      <c r="U65" s="85">
        <f t="shared" si="77"/>
        <v>6.6540783334657141E-3</v>
      </c>
    </row>
    <row r="66" spans="2:22" ht="10.15" x14ac:dyDescent="0.2">
      <c r="C66" s="72"/>
      <c r="D66" s="72"/>
      <c r="E66" s="72"/>
      <c r="F66" s="72"/>
      <c r="G66" s="72"/>
      <c r="H66" s="72"/>
      <c r="I66" s="72"/>
      <c r="J66" s="72"/>
      <c r="K66" s="72"/>
      <c r="L66" s="72"/>
      <c r="M66" s="72"/>
      <c r="N66" s="72"/>
      <c r="O66" s="72"/>
      <c r="P66" s="72"/>
      <c r="Q66" s="72"/>
      <c r="R66" s="72"/>
      <c r="S66" s="72"/>
      <c r="T66" s="72"/>
      <c r="U66" s="72"/>
    </row>
    <row r="67" spans="2:22" ht="10.15" x14ac:dyDescent="0.2">
      <c r="B67" s="61" t="s">
        <v>280</v>
      </c>
      <c r="C67" s="72"/>
      <c r="D67" s="72"/>
      <c r="E67" s="72">
        <f t="shared" ref="E67:T67" si="78">E51-E64</f>
        <v>-7927.8160000000007</v>
      </c>
      <c r="F67" s="72">
        <f t="shared" si="78"/>
        <v>-8771.848</v>
      </c>
      <c r="G67" s="72">
        <f t="shared" si="78"/>
        <v>5104.91</v>
      </c>
      <c r="H67" s="72">
        <f t="shared" si="78"/>
        <v>31990.374000000018</v>
      </c>
      <c r="I67" s="72">
        <f t="shared" si="78"/>
        <v>58901.117999999995</v>
      </c>
      <c r="J67" s="72">
        <f t="shared" si="78"/>
        <v>109847.92051377498</v>
      </c>
      <c r="K67" s="72">
        <f t="shared" si="78"/>
        <v>109027.988257552</v>
      </c>
      <c r="L67" s="72">
        <f t="shared" si="78"/>
        <v>126505.90143201737</v>
      </c>
      <c r="M67" s="72">
        <f t="shared" si="78"/>
        <v>145491.26244816117</v>
      </c>
      <c r="N67" s="72">
        <f t="shared" si="78"/>
        <v>165966.15359124634</v>
      </c>
      <c r="O67" s="72">
        <f t="shared" si="78"/>
        <v>187895.04945118236</v>
      </c>
      <c r="P67" s="72">
        <f t="shared" si="78"/>
        <v>211225.30184508808</v>
      </c>
      <c r="Q67" s="72">
        <f t="shared" si="78"/>
        <v>235888.01054683729</v>
      </c>
      <c r="R67" s="72">
        <f t="shared" si="78"/>
        <v>261799.23529603059</v>
      </c>
      <c r="S67" s="72">
        <f t="shared" si="78"/>
        <v>288861.49538457696</v>
      </c>
      <c r="T67" s="72">
        <f t="shared" si="78"/>
        <v>316965.49725937069</v>
      </c>
      <c r="U67" s="72">
        <f t="shared" ref="U67" si="79">U51-U64</f>
        <v>345992.02789911628</v>
      </c>
    </row>
    <row r="68" spans="2:22" s="81" customFormat="1" ht="10.15" x14ac:dyDescent="0.2">
      <c r="B68" s="82" t="s">
        <v>86</v>
      </c>
      <c r="C68" s="79"/>
      <c r="D68" s="79"/>
      <c r="E68" s="83"/>
      <c r="F68" s="83">
        <f t="shared" ref="F68:U68" si="80">F67/E67-1</f>
        <v>0.10646463035973586</v>
      </c>
      <c r="G68" s="83">
        <f t="shared" si="80"/>
        <v>-1.5819651685710925</v>
      </c>
      <c r="H68" s="83">
        <f t="shared" si="80"/>
        <v>5.2665892248834982</v>
      </c>
      <c r="I68" s="83">
        <f t="shared" si="80"/>
        <v>0.84121379762549697</v>
      </c>
      <c r="J68" s="83">
        <f t="shared" si="80"/>
        <v>0.86495476221308731</v>
      </c>
      <c r="K68" s="83">
        <f t="shared" si="80"/>
        <v>-7.4642492310098563E-3</v>
      </c>
      <c r="L68" s="83">
        <f t="shared" si="80"/>
        <v>0.1603066648646041</v>
      </c>
      <c r="M68" s="83">
        <f t="shared" si="80"/>
        <v>0.15007490402608825</v>
      </c>
      <c r="N68" s="83">
        <f t="shared" si="80"/>
        <v>0.1407293523924189</v>
      </c>
      <c r="O68" s="83">
        <f t="shared" si="80"/>
        <v>0.1321287225463097</v>
      </c>
      <c r="P68" s="83">
        <f t="shared" si="80"/>
        <v>0.12416640279800051</v>
      </c>
      <c r="Q68" s="83">
        <f t="shared" si="80"/>
        <v>0.11676020100961559</v>
      </c>
      <c r="R68" s="83">
        <f t="shared" si="80"/>
        <v>0.1098454503436852</v>
      </c>
      <c r="S68" s="83">
        <f t="shared" si="80"/>
        <v>0.10337027935908827</v>
      </c>
      <c r="T68" s="83">
        <f t="shared" si="80"/>
        <v>9.7292309026432822E-2</v>
      </c>
      <c r="U68" s="83">
        <f t="shared" si="80"/>
        <v>9.157631001078137E-2</v>
      </c>
    </row>
    <row r="69" spans="2:22" s="81" customFormat="1" ht="10.15" x14ac:dyDescent="0.2">
      <c r="B69" s="76" t="s">
        <v>88</v>
      </c>
      <c r="C69" s="79"/>
      <c r="D69" s="79"/>
      <c r="E69" s="84">
        <f>E67/E15</f>
        <v>-0.26301658761498869</v>
      </c>
      <c r="F69" s="84">
        <f t="shared" ref="F69:T69" si="81">F67/F15</f>
        <v>-0.14744617604440538</v>
      </c>
      <c r="G69" s="84">
        <f t="shared" si="81"/>
        <v>5.4336490841148923E-2</v>
      </c>
      <c r="H69" s="84">
        <f t="shared" si="81"/>
        <v>0.24502883551257995</v>
      </c>
      <c r="I69" s="84">
        <f t="shared" si="81"/>
        <v>0.23785053743812495</v>
      </c>
      <c r="J69" s="84">
        <f t="shared" si="81"/>
        <v>0.28032694522964247</v>
      </c>
      <c r="K69" s="84">
        <f t="shared" si="81"/>
        <v>0.23685301155923313</v>
      </c>
      <c r="L69" s="84">
        <f t="shared" si="81"/>
        <v>0.25282365604190593</v>
      </c>
      <c r="M69" s="84">
        <f t="shared" si="81"/>
        <v>0.26752019265355126</v>
      </c>
      <c r="N69" s="84">
        <f t="shared" si="81"/>
        <v>0.28095929177040668</v>
      </c>
      <c r="O69" s="84">
        <f t="shared" si="81"/>
        <v>0.29318743951564696</v>
      </c>
      <c r="P69" s="84">
        <f t="shared" si="81"/>
        <v>0.30427118200034325</v>
      </c>
      <c r="Q69" s="84">
        <f t="shared" si="81"/>
        <v>0.31428908889634594</v>
      </c>
      <c r="R69" s="84">
        <f t="shared" si="81"/>
        <v>0.32332550894010875</v>
      </c>
      <c r="S69" s="84">
        <f t="shared" si="81"/>
        <v>0.33146597200110806</v>
      </c>
      <c r="T69" s="84">
        <f t="shared" si="81"/>
        <v>0.33879398677836697</v>
      </c>
      <c r="U69" s="84">
        <f t="shared" ref="U69" si="82">U67/U15</f>
        <v>0.34538895352458959</v>
      </c>
    </row>
    <row r="70" spans="2:22" s="81" customFormat="1" ht="10.15" x14ac:dyDescent="0.2">
      <c r="B70" s="76" t="s">
        <v>359</v>
      </c>
      <c r="C70" s="79"/>
      <c r="D70" s="79"/>
      <c r="E70" s="84">
        <f>+IFERROR(E67/E8,"n/a")</f>
        <v>-1.3126392476322937E-2</v>
      </c>
      <c r="F70" s="84">
        <f t="shared" ref="F70:T70" si="83">+IFERROR(F67/F8,"n/a")</f>
        <v>-8.7313997904706463E-3</v>
      </c>
      <c r="G70" s="84">
        <f t="shared" si="83"/>
        <v>3.4207806869180671E-3</v>
      </c>
      <c r="H70" s="84">
        <f t="shared" si="83"/>
        <v>1.7619636100903564E-2</v>
      </c>
      <c r="I70" s="84">
        <f t="shared" si="83"/>
        <v>2.5995817067306446E-2</v>
      </c>
      <c r="J70" s="84">
        <f t="shared" si="83"/>
        <v>4.0937743320495192E-2</v>
      </c>
      <c r="K70" s="84">
        <f t="shared" si="83"/>
        <v>3.5427976317873165E-2</v>
      </c>
      <c r="L70" s="84">
        <f t="shared" si="83"/>
        <v>3.5845602283341695E-2</v>
      </c>
      <c r="M70" s="84">
        <f t="shared" si="83"/>
        <v>3.6195735691030059E-2</v>
      </c>
      <c r="N70" s="84">
        <f t="shared" si="83"/>
        <v>3.6491415078781266E-2</v>
      </c>
      <c r="O70" s="84">
        <f t="shared" si="83"/>
        <v>3.6742836699050548E-2</v>
      </c>
      <c r="P70" s="84">
        <f t="shared" si="83"/>
        <v>3.6958027964429326E-2</v>
      </c>
      <c r="Q70" s="84">
        <f t="shared" si="83"/>
        <v>3.7143350970776298E-2</v>
      </c>
      <c r="R70" s="84">
        <f t="shared" si="83"/>
        <v>3.7303881258499295E-2</v>
      </c>
      <c r="S70" s="84">
        <f t="shared" si="83"/>
        <v>3.7443694394333538E-2</v>
      </c>
      <c r="T70" s="84">
        <f t="shared" si="83"/>
        <v>3.756608404309817E-2</v>
      </c>
      <c r="U70" s="84">
        <f t="shared" ref="U70" si="84">+IFERROR(U67/U8,"n/a")</f>
        <v>3.7673728834486143E-2</v>
      </c>
    </row>
    <row r="71" spans="2:22" ht="10.15" x14ac:dyDescent="0.2">
      <c r="B71" s="94"/>
      <c r="C71" s="72"/>
      <c r="D71" s="72"/>
      <c r="E71" s="95"/>
      <c r="F71" s="72"/>
      <c r="G71" s="72"/>
      <c r="H71" s="72"/>
      <c r="I71" s="72"/>
      <c r="J71" s="72"/>
      <c r="K71" s="72"/>
      <c r="L71" s="72"/>
      <c r="M71" s="72"/>
      <c r="N71" s="72"/>
      <c r="O71" s="72"/>
      <c r="P71" s="72"/>
      <c r="Q71" s="72"/>
      <c r="R71" s="72"/>
      <c r="S71" s="72"/>
      <c r="T71" s="72"/>
      <c r="U71" s="72"/>
    </row>
    <row r="72" spans="2:22" ht="10.15" x14ac:dyDescent="0.2">
      <c r="B72" s="71" t="s">
        <v>314</v>
      </c>
      <c r="C72" s="72"/>
      <c r="D72" s="72"/>
      <c r="E72" s="73">
        <f>-'Historical Financials'!AR71</f>
        <v>-1540.0990000000002</v>
      </c>
      <c r="F72" s="73">
        <f>-'Historical Financials'!AS71</f>
        <v>-2388.636</v>
      </c>
      <c r="G72" s="73">
        <f>-'Historical Financials'!AT71</f>
        <v>-3049.7179999999998</v>
      </c>
      <c r="H72" s="73">
        <f>-'Historical Financials'!AU71</f>
        <v>-3997.1</v>
      </c>
      <c r="I72" s="73">
        <f>-'Historical Financials'!AV71</f>
        <v>-10238.08</v>
      </c>
      <c r="J72" s="73">
        <f>-'Historical Financials'!AW71</f>
        <v>-19904.181</v>
      </c>
      <c r="K72" s="72">
        <f t="shared" ref="K72:U72" si="85">+MAX((K73)*AVERAGE(J93:K93),0)</f>
        <v>0</v>
      </c>
      <c r="L72" s="72">
        <f t="shared" si="85"/>
        <v>0</v>
      </c>
      <c r="M72" s="72">
        <f t="shared" si="85"/>
        <v>0</v>
      </c>
      <c r="N72" s="72">
        <f t="shared" si="85"/>
        <v>0</v>
      </c>
      <c r="O72" s="72">
        <f t="shared" si="85"/>
        <v>0</v>
      </c>
      <c r="P72" s="72">
        <f t="shared" si="85"/>
        <v>0</v>
      </c>
      <c r="Q72" s="72">
        <f t="shared" si="85"/>
        <v>0</v>
      </c>
      <c r="R72" s="72">
        <f t="shared" si="85"/>
        <v>0</v>
      </c>
      <c r="S72" s="72">
        <f t="shared" si="85"/>
        <v>0</v>
      </c>
      <c r="T72" s="72">
        <f t="shared" si="85"/>
        <v>0</v>
      </c>
      <c r="U72" s="72">
        <f t="shared" si="85"/>
        <v>0</v>
      </c>
      <c r="V72" s="75"/>
    </row>
    <row r="73" spans="2:22" s="81" customFormat="1" ht="10.15" x14ac:dyDescent="0.2">
      <c r="B73" s="82" t="s">
        <v>281</v>
      </c>
      <c r="C73" s="79"/>
      <c r="D73" s="79"/>
      <c r="E73" s="96" t="s">
        <v>282</v>
      </c>
      <c r="F73" s="96" t="s">
        <v>282</v>
      </c>
      <c r="G73" s="96" t="s">
        <v>282</v>
      </c>
      <c r="H73" s="96" t="s">
        <v>282</v>
      </c>
      <c r="I73" s="96" t="s">
        <v>282</v>
      </c>
      <c r="J73" s="96" t="s">
        <v>282</v>
      </c>
      <c r="K73" s="85">
        <v>0</v>
      </c>
      <c r="L73" s="85">
        <v>0</v>
      </c>
      <c r="M73" s="85">
        <v>0</v>
      </c>
      <c r="N73" s="85">
        <v>0</v>
      </c>
      <c r="O73" s="85">
        <v>0</v>
      </c>
      <c r="P73" s="85">
        <v>0</v>
      </c>
      <c r="Q73" s="85">
        <v>0</v>
      </c>
      <c r="R73" s="85">
        <v>0</v>
      </c>
      <c r="S73" s="85">
        <v>0</v>
      </c>
      <c r="T73" s="85">
        <v>0</v>
      </c>
      <c r="U73" s="85">
        <v>0</v>
      </c>
    </row>
    <row r="74" spans="2:22" s="81" customFormat="1" ht="10.15" x14ac:dyDescent="0.2">
      <c r="B74" s="82"/>
      <c r="C74" s="79"/>
      <c r="D74" s="79"/>
      <c r="E74" s="96"/>
      <c r="F74" s="96"/>
      <c r="G74" s="96"/>
      <c r="H74" s="96"/>
      <c r="I74" s="96"/>
      <c r="J74" s="85"/>
      <c r="K74" s="85"/>
      <c r="L74" s="85"/>
      <c r="M74" s="85"/>
      <c r="N74" s="85"/>
      <c r="O74" s="85"/>
      <c r="P74" s="85"/>
      <c r="Q74" s="85"/>
      <c r="R74" s="85"/>
      <c r="S74" s="85"/>
      <c r="T74" s="85"/>
      <c r="U74" s="85"/>
    </row>
    <row r="75" spans="2:22" s="81" customFormat="1" x14ac:dyDescent="0.2">
      <c r="B75" s="135" t="s">
        <v>313</v>
      </c>
      <c r="C75" s="79"/>
      <c r="D75" s="79"/>
      <c r="E75" s="73">
        <f>+'Historical Financials'!AR72</f>
        <v>145.965</v>
      </c>
      <c r="F75" s="73">
        <f>+'Historical Financials'!AS72</f>
        <v>329.971</v>
      </c>
      <c r="G75" s="73">
        <f>+'Historical Financials'!AT72</f>
        <v>795.06999999999994</v>
      </c>
      <c r="H75" s="73">
        <f>+'Historical Financials'!AU72</f>
        <v>2293.288</v>
      </c>
      <c r="I75" s="73">
        <f>+'Historical Financials'!AV72</f>
        <v>3738.2670000000003</v>
      </c>
      <c r="J75" s="73">
        <f>+'Historical Financials'!AW72</f>
        <v>3674.643</v>
      </c>
      <c r="K75" s="73">
        <f>+'Historical Financials'!AX72</f>
        <v>2000</v>
      </c>
      <c r="L75" s="99">
        <v>1000</v>
      </c>
      <c r="M75" s="99">
        <v>1000</v>
      </c>
      <c r="N75" s="99">
        <v>1000</v>
      </c>
      <c r="O75" s="99">
        <v>1000</v>
      </c>
      <c r="P75" s="99">
        <v>1000</v>
      </c>
      <c r="Q75" s="99">
        <v>1000</v>
      </c>
      <c r="R75" s="99">
        <v>1000</v>
      </c>
      <c r="S75" s="99">
        <v>1000</v>
      </c>
      <c r="T75" s="99">
        <v>1000</v>
      </c>
      <c r="U75" s="99">
        <v>1000</v>
      </c>
    </row>
    <row r="76" spans="2:22" ht="10.15" x14ac:dyDescent="0.2">
      <c r="C76" s="72"/>
      <c r="D76" s="72"/>
      <c r="E76" s="72"/>
      <c r="F76" s="72"/>
      <c r="G76" s="72"/>
      <c r="H76" s="72"/>
      <c r="I76" s="72"/>
      <c r="J76" s="72"/>
      <c r="K76" s="72"/>
      <c r="L76" s="72"/>
      <c r="M76" s="72"/>
      <c r="N76" s="72"/>
      <c r="O76" s="72"/>
      <c r="P76" s="72"/>
      <c r="Q76" s="72"/>
      <c r="R76" s="72"/>
      <c r="S76" s="72"/>
      <c r="T76" s="72"/>
      <c r="U76" s="72"/>
    </row>
    <row r="77" spans="2:22" ht="10.15" x14ac:dyDescent="0.2">
      <c r="B77" s="61" t="s">
        <v>228</v>
      </c>
      <c r="C77" s="72"/>
      <c r="D77" s="72"/>
      <c r="E77" s="72">
        <f t="shared" ref="E77:T77" si="86">+MAX((E51-E81-E72+E75)*E78,0)</f>
        <v>0</v>
      </c>
      <c r="F77" s="72">
        <f t="shared" si="86"/>
        <v>0</v>
      </c>
      <c r="G77" s="72">
        <f t="shared" si="86"/>
        <v>2739.0952499999999</v>
      </c>
      <c r="H77" s="72">
        <f t="shared" si="86"/>
        <v>9356.538795000004</v>
      </c>
      <c r="I77" s="72">
        <f t="shared" si="86"/>
        <v>18532.152794999998</v>
      </c>
      <c r="J77" s="72">
        <f t="shared" si="86"/>
        <v>34250.553475669491</v>
      </c>
      <c r="K77" s="72">
        <f t="shared" si="86"/>
        <v>28566.62700567576</v>
      </c>
      <c r="L77" s="72">
        <f t="shared" si="86"/>
        <v>32790.6383274978</v>
      </c>
      <c r="M77" s="72">
        <f t="shared" si="86"/>
        <v>37655.943226066913</v>
      </c>
      <c r="N77" s="72">
        <f t="shared" si="86"/>
        <v>42902.947796329725</v>
      </c>
      <c r="O77" s="72">
        <f t="shared" si="86"/>
        <v>48522.546142492683</v>
      </c>
      <c r="P77" s="72">
        <f t="shared" si="86"/>
        <v>54501.24470761713</v>
      </c>
      <c r="Q77" s="72">
        <f t="shared" si="86"/>
        <v>60821.38545555657</v>
      </c>
      <c r="R77" s="72">
        <f t="shared" si="86"/>
        <v>67461.456494125305</v>
      </c>
      <c r="S77" s="72">
        <f t="shared" si="86"/>
        <v>74396.476378420455</v>
      </c>
      <c r="T77" s="72">
        <f t="shared" si="86"/>
        <v>81598.436832344945</v>
      </c>
      <c r="U77" s="72">
        <f t="shared" ref="U77" si="87">+MAX((U51-U81-U72+U75)*U78,0)</f>
        <v>89036.787939950183</v>
      </c>
    </row>
    <row r="78" spans="2:22" ht="10.15" x14ac:dyDescent="0.2">
      <c r="B78" s="82" t="s">
        <v>281</v>
      </c>
      <c r="C78" s="72"/>
      <c r="D78" s="72"/>
      <c r="E78" s="85">
        <v>0.255</v>
      </c>
      <c r="F78" s="84">
        <f t="shared" ref="F78:U78" si="88">E78</f>
        <v>0.255</v>
      </c>
      <c r="G78" s="84">
        <f t="shared" si="88"/>
        <v>0.255</v>
      </c>
      <c r="H78" s="84">
        <f t="shared" si="88"/>
        <v>0.255</v>
      </c>
      <c r="I78" s="84">
        <f t="shared" si="88"/>
        <v>0.255</v>
      </c>
      <c r="J78" s="84">
        <f t="shared" si="88"/>
        <v>0.255</v>
      </c>
      <c r="K78" s="84">
        <f t="shared" si="88"/>
        <v>0.255</v>
      </c>
      <c r="L78" s="84">
        <f t="shared" si="88"/>
        <v>0.255</v>
      </c>
      <c r="M78" s="84">
        <f t="shared" si="88"/>
        <v>0.255</v>
      </c>
      <c r="N78" s="84">
        <f t="shared" si="88"/>
        <v>0.255</v>
      </c>
      <c r="O78" s="84">
        <f t="shared" si="88"/>
        <v>0.255</v>
      </c>
      <c r="P78" s="84">
        <f t="shared" si="88"/>
        <v>0.255</v>
      </c>
      <c r="Q78" s="84">
        <f t="shared" si="88"/>
        <v>0.255</v>
      </c>
      <c r="R78" s="84">
        <f t="shared" si="88"/>
        <v>0.255</v>
      </c>
      <c r="S78" s="84">
        <f t="shared" si="88"/>
        <v>0.255</v>
      </c>
      <c r="T78" s="84">
        <f t="shared" si="88"/>
        <v>0.255</v>
      </c>
      <c r="U78" s="84">
        <f t="shared" si="88"/>
        <v>0.255</v>
      </c>
    </row>
    <row r="79" spans="2:22" ht="10.15" x14ac:dyDescent="0.2">
      <c r="C79" s="72"/>
      <c r="D79" s="72"/>
      <c r="E79" s="72"/>
      <c r="F79" s="72"/>
      <c r="G79" s="72"/>
      <c r="H79" s="72"/>
      <c r="I79" s="72"/>
      <c r="J79" s="72"/>
      <c r="K79" s="72"/>
      <c r="L79" s="72"/>
      <c r="M79" s="72"/>
      <c r="N79" s="72"/>
      <c r="O79" s="72"/>
      <c r="P79" s="72"/>
      <c r="Q79" s="72"/>
      <c r="R79" s="72"/>
      <c r="S79" s="72"/>
      <c r="T79" s="72"/>
      <c r="U79" s="72"/>
    </row>
    <row r="80" spans="2:22" ht="10.15" x14ac:dyDescent="0.2">
      <c r="B80" s="97" t="s">
        <v>66</v>
      </c>
      <c r="C80" s="72"/>
      <c r="D80" s="72"/>
      <c r="E80" s="72"/>
      <c r="F80" s="72"/>
      <c r="G80" s="72"/>
      <c r="H80" s="72"/>
      <c r="I80" s="72"/>
      <c r="J80" s="72"/>
      <c r="K80" s="72"/>
      <c r="L80" s="72"/>
      <c r="M80" s="72"/>
      <c r="N80" s="72"/>
      <c r="O80" s="72"/>
      <c r="P80" s="72"/>
      <c r="Q80" s="72"/>
      <c r="R80" s="72"/>
      <c r="S80" s="72"/>
      <c r="T80" s="72"/>
      <c r="U80" s="72"/>
    </row>
    <row r="81" spans="2:23" s="81" customFormat="1" x14ac:dyDescent="0.2">
      <c r="B81" s="76" t="s">
        <v>218</v>
      </c>
      <c r="C81" s="79"/>
      <c r="D81" s="79"/>
      <c r="E81" s="98">
        <f>+'Historical Financials'!AR86</f>
        <v>637.83100000000002</v>
      </c>
      <c r="F81" s="98">
        <f>+'Historical Financials'!AS86</f>
        <v>651.52300000000002</v>
      </c>
      <c r="G81" s="98">
        <f>+'Historical Financials'!AT86</f>
        <v>1495.38</v>
      </c>
      <c r="H81" s="98">
        <f>+'Historical Financials'!AU86</f>
        <v>2224.1689999999999</v>
      </c>
      <c r="I81" s="98">
        <f>+'Historical Financials'!AV86</f>
        <v>786.23500000000001</v>
      </c>
      <c r="J81" s="98">
        <f>+'Historical Financials'!AW86</f>
        <v>1838.9082117189237</v>
      </c>
      <c r="K81" s="98">
        <f>+'Historical Financials'!AX86</f>
        <v>2065</v>
      </c>
      <c r="L81" s="79">
        <f t="shared" ref="L81:T81" si="89">+L82*L15</f>
        <v>2244.6779823113161</v>
      </c>
      <c r="M81" s="79">
        <f t="shared" si="89"/>
        <v>2439.7274477885471</v>
      </c>
      <c r="N81" s="79">
        <f t="shared" si="89"/>
        <v>2649.9464501958632</v>
      </c>
      <c r="O81" s="79">
        <f t="shared" si="89"/>
        <v>2874.9542987584632</v>
      </c>
      <c r="P81" s="79">
        <f t="shared" si="89"/>
        <v>3114.1970299505342</v>
      </c>
      <c r="Q81" s="79">
        <f t="shared" si="89"/>
        <v>3366.9567056602382</v>
      </c>
      <c r="R81" s="79">
        <f t="shared" si="89"/>
        <v>3632.3640785943467</v>
      </c>
      <c r="S81" s="79">
        <f t="shared" si="89"/>
        <v>3909.4140803357068</v>
      </c>
      <c r="T81" s="79">
        <f t="shared" si="89"/>
        <v>4196.9835334951485</v>
      </c>
      <c r="U81" s="79">
        <f t="shared" ref="U81" si="90">+U82*U15</f>
        <v>4493.8504657156263</v>
      </c>
    </row>
    <row r="82" spans="2:23" s="81" customFormat="1" ht="10.15" x14ac:dyDescent="0.2">
      <c r="B82" s="92" t="s">
        <v>95</v>
      </c>
      <c r="C82" s="79"/>
      <c r="D82" s="79"/>
      <c r="E82" s="84">
        <f>+E81/E15</f>
        <v>2.116095190592918E-2</v>
      </c>
      <c r="F82" s="84">
        <f t="shared" ref="F82:I82" si="91">+F81/F15</f>
        <v>1.0951463700121017E-2</v>
      </c>
      <c r="G82" s="84">
        <f t="shared" si="91"/>
        <v>1.5916774570763691E-2</v>
      </c>
      <c r="H82" s="84">
        <f t="shared" si="91"/>
        <v>1.7035922745172627E-2</v>
      </c>
      <c r="I82" s="84">
        <f t="shared" si="91"/>
        <v>3.174921353830061E-3</v>
      </c>
      <c r="J82" s="84">
        <f t="shared" ref="J82:K82" si="92">+J81/J15</f>
        <v>4.6928109256672464E-3</v>
      </c>
      <c r="K82" s="84">
        <f t="shared" si="92"/>
        <v>4.4860175509652952E-3</v>
      </c>
      <c r="L82" s="85">
        <f t="shared" ref="L82:U82" si="93">+K82</f>
        <v>4.4860175509652952E-3</v>
      </c>
      <c r="M82" s="85">
        <f t="shared" si="93"/>
        <v>4.4860175509652952E-3</v>
      </c>
      <c r="N82" s="85">
        <f t="shared" si="93"/>
        <v>4.4860175509652952E-3</v>
      </c>
      <c r="O82" s="85">
        <f t="shared" si="93"/>
        <v>4.4860175509652952E-3</v>
      </c>
      <c r="P82" s="85">
        <f t="shared" si="93"/>
        <v>4.4860175509652952E-3</v>
      </c>
      <c r="Q82" s="85">
        <f t="shared" si="93"/>
        <v>4.4860175509652952E-3</v>
      </c>
      <c r="R82" s="85">
        <f t="shared" si="93"/>
        <v>4.4860175509652952E-3</v>
      </c>
      <c r="S82" s="85">
        <f t="shared" si="93"/>
        <v>4.4860175509652952E-3</v>
      </c>
      <c r="T82" s="85">
        <f t="shared" si="93"/>
        <v>4.4860175509652952E-3</v>
      </c>
      <c r="U82" s="85">
        <f t="shared" si="93"/>
        <v>4.4860175509652952E-3</v>
      </c>
    </row>
    <row r="83" spans="2:23" ht="10.15" x14ac:dyDescent="0.2">
      <c r="C83" s="72"/>
      <c r="D83" s="72"/>
      <c r="E83" s="72"/>
      <c r="F83" s="72"/>
      <c r="G83" s="72"/>
      <c r="H83" s="72"/>
      <c r="I83" s="72"/>
      <c r="J83" s="72"/>
      <c r="K83" s="72"/>
      <c r="L83" s="72"/>
      <c r="M83" s="72"/>
      <c r="N83" s="72"/>
      <c r="O83" s="72"/>
      <c r="P83" s="72"/>
      <c r="Q83" s="72"/>
      <c r="R83" s="72"/>
      <c r="S83" s="72"/>
      <c r="T83" s="72"/>
      <c r="U83" s="72"/>
    </row>
    <row r="84" spans="2:23" hidden="1" outlineLevel="1" x14ac:dyDescent="0.2">
      <c r="B84" s="71" t="s">
        <v>100</v>
      </c>
      <c r="C84" s="72"/>
      <c r="D84" s="72"/>
      <c r="E84" s="73">
        <f>+'Historical Financials'!AR75</f>
        <v>28.675999999999998</v>
      </c>
      <c r="F84" s="73">
        <f>+'Historical Financials'!AS75</f>
        <v>83.653999999999996</v>
      </c>
      <c r="G84" s="73">
        <f>+'Historical Financials'!AT75</f>
        <v>246.828</v>
      </c>
      <c r="H84" s="73">
        <f>+'Historical Financials'!AU75</f>
        <v>-155.285</v>
      </c>
      <c r="I84" s="73">
        <f>+'Historical Financials'!AV75</f>
        <v>-4.7070000000000061</v>
      </c>
      <c r="J84" s="73">
        <f>+'Historical Financials'!AW75</f>
        <v>-202.01300000000001</v>
      </c>
      <c r="K84" s="73">
        <f>+'Historical Financials'!AX75</f>
        <v>-200</v>
      </c>
      <c r="L84" s="99">
        <v>0</v>
      </c>
      <c r="M84" s="99">
        <v>0</v>
      </c>
      <c r="N84" s="99">
        <v>0</v>
      </c>
      <c r="O84" s="99">
        <v>0</v>
      </c>
      <c r="P84" s="99">
        <v>0</v>
      </c>
      <c r="Q84" s="99">
        <v>0</v>
      </c>
      <c r="R84" s="99">
        <v>0</v>
      </c>
      <c r="S84" s="99">
        <v>0</v>
      </c>
      <c r="T84" s="99">
        <v>0</v>
      </c>
      <c r="U84" s="99">
        <v>0</v>
      </c>
    </row>
    <row r="85" spans="2:23" ht="10.15" hidden="1" outlineLevel="1" x14ac:dyDescent="0.2">
      <c r="C85" s="72"/>
      <c r="D85" s="72"/>
      <c r="E85" s="72"/>
      <c r="F85" s="72"/>
      <c r="G85" s="72"/>
      <c r="H85" s="72"/>
      <c r="I85" s="72"/>
      <c r="J85" s="72"/>
      <c r="K85" s="72"/>
      <c r="L85" s="72"/>
      <c r="M85" s="72"/>
      <c r="N85" s="72"/>
      <c r="O85" s="72"/>
      <c r="P85" s="72"/>
      <c r="Q85" s="72"/>
      <c r="R85" s="72"/>
      <c r="S85" s="72"/>
      <c r="T85" s="72"/>
      <c r="U85" s="72"/>
    </row>
    <row r="86" spans="2:23" ht="10.15" collapsed="1" x14ac:dyDescent="0.2">
      <c r="B86" s="61" t="s">
        <v>229</v>
      </c>
      <c r="C86" s="72"/>
      <c r="D86" s="72"/>
      <c r="E86" s="72">
        <f t="shared" ref="E86:T86" si="94">E67-E72+E75-E77+E84</f>
        <v>-6213.076</v>
      </c>
      <c r="F86" s="72">
        <f t="shared" si="94"/>
        <v>-5969.5869999999995</v>
      </c>
      <c r="G86" s="72">
        <f t="shared" si="94"/>
        <v>6457.4307500000004</v>
      </c>
      <c r="H86" s="72">
        <f t="shared" si="94"/>
        <v>28768.938205000013</v>
      </c>
      <c r="I86" s="72">
        <f t="shared" si="94"/>
        <v>54340.605204999993</v>
      </c>
      <c r="J86" s="72">
        <f t="shared" si="94"/>
        <v>98974.178038105485</v>
      </c>
      <c r="K86" s="72">
        <f t="shared" si="94"/>
        <v>82261.361251876238</v>
      </c>
      <c r="L86" s="72">
        <f t="shared" si="94"/>
        <v>94715.263104519574</v>
      </c>
      <c r="M86" s="72">
        <f t="shared" si="94"/>
        <v>108835.31922209426</v>
      </c>
      <c r="N86" s="72">
        <f t="shared" si="94"/>
        <v>124063.20579491662</v>
      </c>
      <c r="O86" s="72">
        <f t="shared" si="94"/>
        <v>140372.50330868969</v>
      </c>
      <c r="P86" s="72">
        <f t="shared" si="94"/>
        <v>157724.05713747095</v>
      </c>
      <c r="Q86" s="72">
        <f t="shared" si="94"/>
        <v>176066.62509128073</v>
      </c>
      <c r="R86" s="72">
        <f t="shared" si="94"/>
        <v>195337.77880190528</v>
      </c>
      <c r="S86" s="72">
        <f t="shared" si="94"/>
        <v>215465.01900615651</v>
      </c>
      <c r="T86" s="72">
        <f t="shared" si="94"/>
        <v>236367.06042702575</v>
      </c>
      <c r="U86" s="72">
        <f t="shared" ref="U86" si="95">U67-U72+U75-U77+U84</f>
        <v>257955.23995916609</v>
      </c>
      <c r="W86" s="75"/>
    </row>
    <row r="87" spans="2:23" ht="10.15" x14ac:dyDescent="0.2">
      <c r="B87" s="76" t="s">
        <v>86</v>
      </c>
      <c r="C87" s="72"/>
      <c r="D87" s="72"/>
      <c r="E87" s="83"/>
      <c r="F87" s="83">
        <f t="shared" ref="F87:U87" si="96">F86/E86-1</f>
        <v>-3.918976687231901E-2</v>
      </c>
      <c r="G87" s="83">
        <f t="shared" si="96"/>
        <v>-2.0817215244538696</v>
      </c>
      <c r="H87" s="83">
        <f t="shared" si="96"/>
        <v>3.4551679017231445</v>
      </c>
      <c r="I87" s="83">
        <f t="shared" si="96"/>
        <v>0.88886377445642561</v>
      </c>
      <c r="J87" s="83">
        <f t="shared" si="96"/>
        <v>0.82136687040428225</v>
      </c>
      <c r="K87" s="83">
        <f t="shared" si="96"/>
        <v>-0.16886037467060089</v>
      </c>
      <c r="L87" s="83">
        <f t="shared" si="96"/>
        <v>0.1513943078878881</v>
      </c>
      <c r="M87" s="83">
        <f t="shared" si="96"/>
        <v>0.14907899376252609</v>
      </c>
      <c r="N87" s="83">
        <f t="shared" si="96"/>
        <v>0.1399167722543051</v>
      </c>
      <c r="O87" s="83">
        <f t="shared" si="96"/>
        <v>0.13145958472758834</v>
      </c>
      <c r="P87" s="83">
        <f t="shared" si="96"/>
        <v>0.12361077433109458</v>
      </c>
      <c r="Q87" s="83">
        <f t="shared" si="96"/>
        <v>0.11629530895101525</v>
      </c>
      <c r="R87" s="83">
        <f t="shared" si="96"/>
        <v>0.10945375763653975</v>
      </c>
      <c r="S87" s="83">
        <f t="shared" si="96"/>
        <v>0.10303813388122185</v>
      </c>
      <c r="T87" s="83">
        <f t="shared" si="96"/>
        <v>9.7008978614166574E-2</v>
      </c>
      <c r="U87" s="83">
        <f t="shared" si="96"/>
        <v>9.1333282620423839E-2</v>
      </c>
    </row>
    <row r="88" spans="2:23" ht="10.15" x14ac:dyDescent="0.2">
      <c r="C88" s="72"/>
      <c r="D88" s="72"/>
      <c r="E88" s="72"/>
      <c r="F88" s="72"/>
      <c r="G88" s="72"/>
      <c r="H88" s="72"/>
      <c r="I88" s="72"/>
      <c r="J88" s="72"/>
      <c r="K88" s="72"/>
      <c r="L88" s="72"/>
      <c r="M88" s="72"/>
      <c r="N88" s="72"/>
      <c r="O88" s="72"/>
      <c r="P88" s="72"/>
      <c r="Q88" s="72"/>
      <c r="R88" s="72"/>
      <c r="S88" s="72"/>
      <c r="T88" s="72"/>
      <c r="U88" s="72"/>
    </row>
    <row r="89" spans="2:23" ht="10.15" x14ac:dyDescent="0.2">
      <c r="B89" s="61" t="s">
        <v>70</v>
      </c>
      <c r="C89" s="72"/>
      <c r="D89" s="72"/>
      <c r="E89" s="72">
        <f t="shared" ref="E89:J89" si="97">+-E50</f>
        <v>2557.7060000000001</v>
      </c>
      <c r="F89" s="72">
        <f t="shared" si="97"/>
        <v>3613.0429999999997</v>
      </c>
      <c r="G89" s="72">
        <f t="shared" si="97"/>
        <v>4774.7299999999996</v>
      </c>
      <c r="H89" s="72">
        <f t="shared" si="97"/>
        <v>7718.3649999999998</v>
      </c>
      <c r="I89" s="72">
        <f t="shared" si="97"/>
        <v>7078.7939999999999</v>
      </c>
      <c r="J89" s="72">
        <f t="shared" si="97"/>
        <v>10546.828000000001</v>
      </c>
      <c r="K89" s="99">
        <v>0</v>
      </c>
      <c r="L89" s="99">
        <v>0</v>
      </c>
      <c r="M89" s="99">
        <v>0</v>
      </c>
      <c r="N89" s="99">
        <v>0</v>
      </c>
      <c r="O89" s="99">
        <v>0</v>
      </c>
      <c r="P89" s="99">
        <v>0</v>
      </c>
      <c r="Q89" s="99">
        <v>0</v>
      </c>
      <c r="R89" s="99">
        <v>0</v>
      </c>
      <c r="S89" s="99">
        <v>0</v>
      </c>
      <c r="T89" s="99">
        <v>0</v>
      </c>
      <c r="U89" s="99">
        <v>0</v>
      </c>
    </row>
    <row r="90" spans="2:23" ht="12" x14ac:dyDescent="0.35">
      <c r="B90" s="61" t="s">
        <v>97</v>
      </c>
      <c r="C90" s="72"/>
      <c r="D90" s="72"/>
      <c r="E90" s="100">
        <f t="shared" ref="E90:J90" si="98">+E91-E89-E86</f>
        <v>18448.91</v>
      </c>
      <c r="F90" s="100">
        <f t="shared" si="98"/>
        <v>30510.125</v>
      </c>
      <c r="G90" s="100">
        <f t="shared" si="98"/>
        <v>14263.61825</v>
      </c>
      <c r="H90" s="100">
        <f t="shared" si="98"/>
        <v>11384.840794999989</v>
      </c>
      <c r="I90" s="100">
        <f t="shared" si="98"/>
        <v>32159.252795000015</v>
      </c>
      <c r="J90" s="100">
        <f t="shared" si="98"/>
        <v>18242.832028216857</v>
      </c>
      <c r="K90" s="88">
        <f>+'Historical Financials'!AX103</f>
        <v>10000</v>
      </c>
      <c r="L90" s="89">
        <v>0</v>
      </c>
      <c r="M90" s="89">
        <v>0</v>
      </c>
      <c r="N90" s="89">
        <v>0</v>
      </c>
      <c r="O90" s="89">
        <v>0</v>
      </c>
      <c r="P90" s="89">
        <v>0</v>
      </c>
      <c r="Q90" s="89">
        <v>0</v>
      </c>
      <c r="R90" s="89">
        <v>0</v>
      </c>
      <c r="S90" s="89">
        <v>0</v>
      </c>
      <c r="T90" s="89">
        <v>0</v>
      </c>
      <c r="U90" s="89">
        <v>0</v>
      </c>
    </row>
    <row r="91" spans="2:23" ht="10.15" x14ac:dyDescent="0.2">
      <c r="B91" s="90" t="s">
        <v>230</v>
      </c>
      <c r="C91" s="72"/>
      <c r="D91" s="72"/>
      <c r="E91" s="73">
        <f>+'Historical Financials'!AR104</f>
        <v>14793.539999999999</v>
      </c>
      <c r="F91" s="73">
        <f>+'Historical Financials'!AS104</f>
        <v>28153.581000000002</v>
      </c>
      <c r="G91" s="73">
        <f>+'Historical Financials'!AT104</f>
        <v>25495.778999999999</v>
      </c>
      <c r="H91" s="73">
        <f>+'Historical Financials'!AU104</f>
        <v>47872.144</v>
      </c>
      <c r="I91" s="73">
        <f>+'Historical Financials'!AV104</f>
        <v>93578.652000000002</v>
      </c>
      <c r="J91" s="73">
        <f>+'Historical Financials'!AW104</f>
        <v>127763.83806632235</v>
      </c>
      <c r="K91" s="72">
        <f t="shared" ref="K91:Q91" si="99">+K86+SUM(K89:K90)</f>
        <v>92261.361251876238</v>
      </c>
      <c r="L91" s="72">
        <f t="shared" si="99"/>
        <v>94715.263104519574</v>
      </c>
      <c r="M91" s="72">
        <f t="shared" si="99"/>
        <v>108835.31922209426</v>
      </c>
      <c r="N91" s="72">
        <f t="shared" si="99"/>
        <v>124063.20579491662</v>
      </c>
      <c r="O91" s="72">
        <f t="shared" si="99"/>
        <v>140372.50330868969</v>
      </c>
      <c r="P91" s="72">
        <f t="shared" si="99"/>
        <v>157724.05713747095</v>
      </c>
      <c r="Q91" s="72">
        <f t="shared" si="99"/>
        <v>176066.62509128073</v>
      </c>
      <c r="R91" s="72">
        <f t="shared" ref="R91:S91" si="100">+R86+SUM(R89:R90)</f>
        <v>195337.77880190528</v>
      </c>
      <c r="S91" s="72">
        <f t="shared" si="100"/>
        <v>215465.01900615651</v>
      </c>
      <c r="T91" s="72">
        <f t="shared" ref="T91:U91" si="101">+T86+SUM(T89:T90)</f>
        <v>236367.06042702575</v>
      </c>
      <c r="U91" s="72">
        <f t="shared" si="101"/>
        <v>257955.23995916609</v>
      </c>
    </row>
    <row r="92" spans="2:23" ht="10.15" x14ac:dyDescent="0.2">
      <c r="B92" s="76"/>
      <c r="C92" s="72"/>
      <c r="D92" s="72"/>
      <c r="E92" s="72"/>
      <c r="F92" s="72"/>
      <c r="G92" s="72"/>
      <c r="H92" s="72"/>
      <c r="I92" s="72"/>
      <c r="J92" s="208"/>
      <c r="K92" s="72"/>
      <c r="L92" s="72"/>
      <c r="M92" s="72"/>
      <c r="N92" s="72"/>
      <c r="O92" s="72"/>
      <c r="P92" s="72"/>
      <c r="Q92" s="72"/>
      <c r="R92" s="72"/>
      <c r="S92" s="72"/>
      <c r="T92" s="72"/>
      <c r="U92" s="72"/>
    </row>
    <row r="93" spans="2:23" ht="10.15" x14ac:dyDescent="0.2">
      <c r="B93" s="71" t="s">
        <v>311</v>
      </c>
      <c r="C93" s="72"/>
      <c r="D93" s="72"/>
      <c r="E93" s="73">
        <f>+'Historical Financials'!AR112+'Historical Financials'!AR114</f>
        <v>898.74799999999959</v>
      </c>
      <c r="F93" s="73">
        <f>+'Historical Financials'!AS112+'Historical Financials'!AS114</f>
        <v>1866.3160000000062</v>
      </c>
      <c r="G93" s="73">
        <f>+'Historical Financials'!AT112+'Historical Financials'!AT114</f>
        <v>0</v>
      </c>
      <c r="H93" s="73">
        <f>+'Historical Financials'!AU112+'Historical Financials'!AU114</f>
        <v>0</v>
      </c>
      <c r="I93" s="73">
        <f>+'Historical Financials'!AV112+'Historical Financials'!AV114</f>
        <v>0</v>
      </c>
      <c r="J93" s="73">
        <f>+'Historical Financials'!AW112+'Historical Financials'!AW114</f>
        <v>0</v>
      </c>
      <c r="K93" s="72">
        <f>+K95+K94</f>
        <v>0</v>
      </c>
      <c r="L93" s="72">
        <f t="shared" ref="L93:T93" si="102">+L95+L94</f>
        <v>0</v>
      </c>
      <c r="M93" s="72">
        <f t="shared" si="102"/>
        <v>0</v>
      </c>
      <c r="N93" s="72">
        <f t="shared" si="102"/>
        <v>0</v>
      </c>
      <c r="O93" s="72">
        <f t="shared" si="102"/>
        <v>0</v>
      </c>
      <c r="P93" s="72">
        <f>+P95+P94</f>
        <v>0</v>
      </c>
      <c r="Q93" s="72">
        <f t="shared" si="102"/>
        <v>0</v>
      </c>
      <c r="R93" s="72">
        <f t="shared" si="102"/>
        <v>0</v>
      </c>
      <c r="S93" s="72">
        <f t="shared" si="102"/>
        <v>0</v>
      </c>
      <c r="T93" s="72">
        <f t="shared" si="102"/>
        <v>0</v>
      </c>
      <c r="U93" s="72">
        <f t="shared" ref="U93" si="103">+U95+U94</f>
        <v>0</v>
      </c>
    </row>
    <row r="94" spans="2:23" ht="12" x14ac:dyDescent="0.35">
      <c r="B94" s="61" t="s">
        <v>234</v>
      </c>
      <c r="C94" s="72"/>
      <c r="D94" s="72"/>
      <c r="E94" s="88">
        <f>+'Historical Financials'!AR112</f>
        <v>41057.012999999999</v>
      </c>
      <c r="F94" s="88">
        <f>+'Historical Financials'!AS112</f>
        <v>86972.282999999996</v>
      </c>
      <c r="G94" s="88">
        <f>+'Historical Financials'!AT112</f>
        <v>92943.332999999999</v>
      </c>
      <c r="H94" s="88">
        <f>+'Historical Financials'!AU112</f>
        <v>149438.74600000001</v>
      </c>
      <c r="I94" s="88">
        <f>+'Historical Financials'!AV112</f>
        <v>217209.83399999997</v>
      </c>
      <c r="J94" s="88">
        <f>+'Historical Financials'!AW112</f>
        <v>344357.92506632232</v>
      </c>
      <c r="K94" s="89">
        <v>0</v>
      </c>
      <c r="L94" s="101">
        <f t="shared" ref="L94:U94" si="104">+K94</f>
        <v>0</v>
      </c>
      <c r="M94" s="101">
        <f t="shared" si="104"/>
        <v>0</v>
      </c>
      <c r="N94" s="101">
        <f t="shared" si="104"/>
        <v>0</v>
      </c>
      <c r="O94" s="101">
        <f t="shared" si="104"/>
        <v>0</v>
      </c>
      <c r="P94" s="101">
        <f t="shared" si="104"/>
        <v>0</v>
      </c>
      <c r="Q94" s="101">
        <f t="shared" si="104"/>
        <v>0</v>
      </c>
      <c r="R94" s="101">
        <f t="shared" si="104"/>
        <v>0</v>
      </c>
      <c r="S94" s="101">
        <f t="shared" si="104"/>
        <v>0</v>
      </c>
      <c r="T94" s="101">
        <f t="shared" si="104"/>
        <v>0</v>
      </c>
      <c r="U94" s="101">
        <f t="shared" si="104"/>
        <v>0</v>
      </c>
    </row>
    <row r="95" spans="2:23" ht="10.15" x14ac:dyDescent="0.2">
      <c r="B95" s="132" t="s">
        <v>310</v>
      </c>
      <c r="C95" s="102"/>
      <c r="D95" s="102"/>
      <c r="E95" s="74">
        <f t="shared" ref="E95:J95" si="105">+E93-E94</f>
        <v>-40158.264999999999</v>
      </c>
      <c r="F95" s="74">
        <f t="shared" si="105"/>
        <v>-85105.96699999999</v>
      </c>
      <c r="G95" s="74">
        <f t="shared" si="105"/>
        <v>-92943.332999999999</v>
      </c>
      <c r="H95" s="74">
        <f t="shared" si="105"/>
        <v>-149438.74600000001</v>
      </c>
      <c r="I95" s="74">
        <f t="shared" si="105"/>
        <v>-217209.83399999997</v>
      </c>
      <c r="J95" s="74">
        <f t="shared" si="105"/>
        <v>-344357.92506632232</v>
      </c>
      <c r="K95" s="72">
        <f t="shared" ref="K95:T95" si="106">+K96*K33</f>
        <v>0</v>
      </c>
      <c r="L95" s="72">
        <f t="shared" si="106"/>
        <v>0</v>
      </c>
      <c r="M95" s="72">
        <f t="shared" si="106"/>
        <v>0</v>
      </c>
      <c r="N95" s="72">
        <f t="shared" si="106"/>
        <v>0</v>
      </c>
      <c r="O95" s="72">
        <f t="shared" si="106"/>
        <v>0</v>
      </c>
      <c r="P95" s="72">
        <f t="shared" si="106"/>
        <v>0</v>
      </c>
      <c r="Q95" s="72">
        <f t="shared" si="106"/>
        <v>0</v>
      </c>
      <c r="R95" s="72">
        <f t="shared" si="106"/>
        <v>0</v>
      </c>
      <c r="S95" s="72">
        <f t="shared" si="106"/>
        <v>0</v>
      </c>
      <c r="T95" s="72">
        <f t="shared" si="106"/>
        <v>0</v>
      </c>
      <c r="U95" s="72">
        <f t="shared" ref="U95" si="107">+U96*U33</f>
        <v>0</v>
      </c>
    </row>
    <row r="96" spans="2:23" s="81" customFormat="1" ht="10.15" x14ac:dyDescent="0.2">
      <c r="B96" s="103" t="s">
        <v>283</v>
      </c>
      <c r="C96" s="79"/>
      <c r="D96" s="79"/>
      <c r="E96" s="104">
        <f t="shared" ref="E96:J96" si="108">+IFERROR(E95/E33,"n/a")</f>
        <v>7.5165104589948761</v>
      </c>
      <c r="F96" s="104">
        <f t="shared" si="108"/>
        <v>16.636039148834026</v>
      </c>
      <c r="G96" s="104">
        <f t="shared" si="108"/>
        <v>-7.0588772337120007</v>
      </c>
      <c r="H96" s="104">
        <f t="shared" si="108"/>
        <v>-3.7040715012757008</v>
      </c>
      <c r="I96" s="104">
        <f t="shared" si="108"/>
        <v>-3.26318304196346</v>
      </c>
      <c r="J96" s="104">
        <f t="shared" si="108"/>
        <v>-2.7968654233557637</v>
      </c>
      <c r="K96" s="105">
        <v>0</v>
      </c>
      <c r="L96" s="104">
        <f t="shared" ref="L96:U96" si="109">K96</f>
        <v>0</v>
      </c>
      <c r="M96" s="104">
        <f t="shared" si="109"/>
        <v>0</v>
      </c>
      <c r="N96" s="104">
        <f t="shared" si="109"/>
        <v>0</v>
      </c>
      <c r="O96" s="104">
        <f t="shared" si="109"/>
        <v>0</v>
      </c>
      <c r="P96" s="104">
        <f t="shared" si="109"/>
        <v>0</v>
      </c>
      <c r="Q96" s="104">
        <f t="shared" si="109"/>
        <v>0</v>
      </c>
      <c r="R96" s="104">
        <f t="shared" si="109"/>
        <v>0</v>
      </c>
      <c r="S96" s="104">
        <f t="shared" si="109"/>
        <v>0</v>
      </c>
      <c r="T96" s="104">
        <f t="shared" si="109"/>
        <v>0</v>
      </c>
      <c r="U96" s="104">
        <f t="shared" si="109"/>
        <v>0</v>
      </c>
    </row>
    <row r="97" spans="2:27" ht="10.15" x14ac:dyDescent="0.2">
      <c r="B97" s="106"/>
      <c r="C97" s="72"/>
      <c r="D97" s="72"/>
      <c r="E97" s="72"/>
      <c r="F97" s="72"/>
      <c r="G97" s="72"/>
      <c r="H97" s="72"/>
      <c r="I97" s="72"/>
      <c r="J97" s="72"/>
      <c r="K97" s="72"/>
      <c r="L97" s="72"/>
      <c r="M97" s="72"/>
      <c r="N97" s="72"/>
      <c r="O97" s="72"/>
      <c r="P97" s="72"/>
      <c r="Q97" s="72"/>
      <c r="R97" s="72"/>
      <c r="S97" s="72"/>
      <c r="T97" s="72"/>
      <c r="U97" s="72"/>
    </row>
    <row r="98" spans="2:27" ht="10.15" x14ac:dyDescent="0.2">
      <c r="B98" s="61" t="s">
        <v>284</v>
      </c>
      <c r="C98" s="72"/>
      <c r="D98" s="72"/>
      <c r="E98" s="99"/>
      <c r="F98" s="72"/>
      <c r="G98" s="72"/>
      <c r="H98" s="72"/>
      <c r="I98" s="72"/>
      <c r="J98" s="72"/>
      <c r="K98" s="72">
        <f t="shared" ref="K98:U98" si="110">K91+(K95-J95)</f>
        <v>436619.28631819854</v>
      </c>
      <c r="L98" s="72">
        <f t="shared" si="110"/>
        <v>94715.263104519574</v>
      </c>
      <c r="M98" s="72">
        <f t="shared" si="110"/>
        <v>108835.31922209426</v>
      </c>
      <c r="N98" s="72">
        <f t="shared" si="110"/>
        <v>124063.20579491662</v>
      </c>
      <c r="O98" s="72">
        <f t="shared" si="110"/>
        <v>140372.50330868969</v>
      </c>
      <c r="P98" s="72">
        <f t="shared" si="110"/>
        <v>157724.05713747095</v>
      </c>
      <c r="Q98" s="72">
        <f t="shared" si="110"/>
        <v>176066.62509128073</v>
      </c>
      <c r="R98" s="72">
        <f t="shared" si="110"/>
        <v>195337.77880190528</v>
      </c>
      <c r="S98" s="72">
        <f t="shared" si="110"/>
        <v>215465.01900615651</v>
      </c>
      <c r="T98" s="72">
        <f t="shared" si="110"/>
        <v>236367.06042702575</v>
      </c>
      <c r="U98" s="72">
        <f t="shared" si="110"/>
        <v>257955.23995916609</v>
      </c>
    </row>
    <row r="99" spans="2:27" ht="10.15" x14ac:dyDescent="0.2">
      <c r="C99" s="72"/>
      <c r="D99" s="72"/>
      <c r="E99" s="72"/>
      <c r="F99" s="72"/>
      <c r="G99" s="72"/>
      <c r="H99" s="72"/>
      <c r="I99" s="72"/>
      <c r="J99" s="72"/>
      <c r="K99" s="72"/>
      <c r="L99" s="72"/>
      <c r="M99" s="72"/>
      <c r="N99" s="72"/>
      <c r="O99" s="72"/>
      <c r="P99" s="72"/>
      <c r="Q99" s="72"/>
      <c r="R99" s="72"/>
      <c r="S99" s="72"/>
      <c r="T99" s="72"/>
      <c r="U99" s="72"/>
    </row>
    <row r="100" spans="2:27" ht="10.15" x14ac:dyDescent="0.2">
      <c r="B100" s="61" t="s">
        <v>285</v>
      </c>
      <c r="C100" s="72"/>
      <c r="D100" s="72"/>
      <c r="E100" s="72"/>
      <c r="F100" s="72"/>
      <c r="G100" s="72"/>
      <c r="H100" s="72"/>
      <c r="I100" s="72"/>
      <c r="J100" s="72"/>
      <c r="K100" s="72">
        <f t="shared" ref="K100:U100" si="111">J100+K98</f>
        <v>436619.28631819854</v>
      </c>
      <c r="L100" s="72">
        <f t="shared" si="111"/>
        <v>531334.54942271812</v>
      </c>
      <c r="M100" s="72">
        <f t="shared" si="111"/>
        <v>640169.86864481238</v>
      </c>
      <c r="N100" s="72">
        <f t="shared" si="111"/>
        <v>764233.07443972898</v>
      </c>
      <c r="O100" s="72">
        <f t="shared" si="111"/>
        <v>904605.57774841867</v>
      </c>
      <c r="P100" s="72">
        <f t="shared" si="111"/>
        <v>1062329.6348858897</v>
      </c>
      <c r="Q100" s="72">
        <f t="shared" si="111"/>
        <v>1238396.2599771705</v>
      </c>
      <c r="R100" s="72">
        <f t="shared" si="111"/>
        <v>1433734.0387790757</v>
      </c>
      <c r="S100" s="72">
        <f t="shared" si="111"/>
        <v>1649199.0577852323</v>
      </c>
      <c r="T100" s="72">
        <f t="shared" si="111"/>
        <v>1885566.118212258</v>
      </c>
      <c r="U100" s="72">
        <f t="shared" si="111"/>
        <v>2143521.3581714239</v>
      </c>
    </row>
    <row r="101" spans="2:27" s="81" customFormat="1" ht="10.15" x14ac:dyDescent="0.2">
      <c r="B101" s="76" t="s">
        <v>286</v>
      </c>
      <c r="C101" s="79"/>
      <c r="D101" s="79"/>
      <c r="E101" s="80"/>
      <c r="F101" s="80"/>
      <c r="G101" s="80"/>
      <c r="H101" s="80"/>
      <c r="I101" s="107"/>
      <c r="J101" s="107"/>
      <c r="K101" s="107">
        <f t="shared" ref="K101:T101" si="112">K100/$E$124</f>
        <v>0.31167891452281232</v>
      </c>
      <c r="L101" s="107">
        <f t="shared" si="112"/>
        <v>0.37929102264129144</v>
      </c>
      <c r="M101" s="107">
        <f t="shared" si="112"/>
        <v>0.45698267580423657</v>
      </c>
      <c r="N101" s="107">
        <f t="shared" si="112"/>
        <v>0.54554469430884189</v>
      </c>
      <c r="O101" s="108">
        <f t="shared" si="112"/>
        <v>0.64574903898869973</v>
      </c>
      <c r="P101" s="107">
        <f t="shared" si="112"/>
        <v>0.75833972030577468</v>
      </c>
      <c r="Q101" s="107">
        <f t="shared" si="112"/>
        <v>0.88402416969162423</v>
      </c>
      <c r="R101" s="107">
        <f t="shared" si="112"/>
        <v>1.0234652543392342</v>
      </c>
      <c r="S101" s="107">
        <f t="shared" si="112"/>
        <v>1.1772740881353077</v>
      </c>
      <c r="T101" s="107">
        <f t="shared" si="112"/>
        <v>1.3460037597997743</v>
      </c>
      <c r="U101" s="107">
        <f t="shared" ref="U101" si="113">U100/$E$124</f>
        <v>1.5301440662528227</v>
      </c>
    </row>
    <row r="102" spans="2:27" ht="10.15" x14ac:dyDescent="0.2">
      <c r="C102" s="72"/>
      <c r="D102" s="72"/>
      <c r="E102" s="72"/>
      <c r="F102" s="72"/>
      <c r="G102" s="72"/>
      <c r="H102" s="72"/>
      <c r="I102" s="72"/>
      <c r="J102" s="72"/>
      <c r="K102" s="72"/>
      <c r="L102" s="72"/>
      <c r="M102" s="72"/>
      <c r="N102" s="72"/>
      <c r="O102" s="72"/>
      <c r="P102" s="72"/>
      <c r="Q102" s="72"/>
      <c r="R102" s="72"/>
      <c r="S102" s="72"/>
      <c r="T102" s="72"/>
      <c r="U102" s="72"/>
    </row>
    <row r="103" spans="2:27" ht="10.15" x14ac:dyDescent="0.2">
      <c r="B103" s="94" t="s">
        <v>287</v>
      </c>
      <c r="C103" s="72"/>
      <c r="D103" s="72"/>
      <c r="E103" s="72"/>
      <c r="F103" s="72"/>
      <c r="G103" s="72"/>
      <c r="H103" s="72"/>
      <c r="I103" s="72"/>
      <c r="J103" s="72"/>
      <c r="K103" s="72"/>
      <c r="L103" s="72"/>
      <c r="M103" s="72"/>
      <c r="N103" s="72"/>
      <c r="O103" s="72"/>
      <c r="P103" s="72"/>
      <c r="Q103" s="72"/>
      <c r="R103" s="72"/>
      <c r="S103" s="72"/>
      <c r="T103" s="72"/>
      <c r="U103" s="72"/>
    </row>
    <row r="104" spans="2:27" ht="10.15" x14ac:dyDescent="0.2">
      <c r="B104" s="109" t="s">
        <v>288</v>
      </c>
      <c r="C104" s="72"/>
      <c r="D104" s="72"/>
      <c r="E104" s="110">
        <f>+$E$126/E15</f>
        <v>37.022741914954779</v>
      </c>
      <c r="F104" s="110">
        <f>+$E$126/F15</f>
        <v>18.757779172126956</v>
      </c>
      <c r="G104" s="110">
        <f>+$E$126/G15</f>
        <v>11.877977549383919</v>
      </c>
      <c r="H104" s="110">
        <f>+$E$126/H15</f>
        <v>8.5474561437251158</v>
      </c>
      <c r="I104" s="110">
        <f t="shared" ref="I104:T104" si="114">+($E$124-I100+I95)/I15</f>
        <v>4.7797464509223762</v>
      </c>
      <c r="J104" s="110">
        <f t="shared" si="114"/>
        <v>2.6961519468680621</v>
      </c>
      <c r="K104" s="110">
        <f t="shared" si="114"/>
        <v>2.0947272320473687</v>
      </c>
      <c r="L104" s="110">
        <f t="shared" si="114"/>
        <v>1.7377625798824503</v>
      </c>
      <c r="M104" s="110">
        <f t="shared" si="114"/>
        <v>1.3987137179788709</v>
      </c>
      <c r="N104" s="110">
        <f t="shared" si="114"/>
        <v>1.0777314124650772</v>
      </c>
      <c r="O104" s="110">
        <f t="shared" si="114"/>
        <v>0.77434866292381466</v>
      </c>
      <c r="P104" s="110">
        <f t="shared" si="114"/>
        <v>0.48765833185148966</v>
      </c>
      <c r="Q104" s="110">
        <f t="shared" si="114"/>
        <v>0.21646436889390017</v>
      </c>
      <c r="R104" s="110">
        <f t="shared" si="114"/>
        <v>-4.0596851663933384E-2</v>
      </c>
      <c r="S104" s="110">
        <f t="shared" si="114"/>
        <v>-0.28496403288983901</v>
      </c>
      <c r="T104" s="110">
        <f t="shared" si="114"/>
        <v>-0.51808380155919176</v>
      </c>
      <c r="U104" s="110">
        <f t="shared" ref="U104" si="115">+($E$124-U100+U95)/U15</f>
        <v>-0.74136443643418792</v>
      </c>
    </row>
    <row r="105" spans="2:27" ht="10.15" x14ac:dyDescent="0.2">
      <c r="B105" s="111" t="s">
        <v>445</v>
      </c>
      <c r="C105" s="72"/>
      <c r="D105" s="72"/>
      <c r="E105" s="110">
        <f>+$E$126/(E11*0.8)</f>
        <v>46.27842739369347</v>
      </c>
      <c r="F105" s="110">
        <f t="shared" ref="F105:I105" si="116">+$E$126/(F11*0.8)</f>
        <v>25.956235411516641</v>
      </c>
      <c r="G105" s="110">
        <f t="shared" si="116"/>
        <v>16.088317493071742</v>
      </c>
      <c r="H105" s="110">
        <f t="shared" si="116"/>
        <v>10.737319490728664</v>
      </c>
      <c r="I105" s="110">
        <f t="shared" si="116"/>
        <v>7.1109286523119355</v>
      </c>
      <c r="J105" s="110">
        <f>+($E$124-J100+J95)/(J11*0.8)</f>
        <v>5.4037494240295416</v>
      </c>
      <c r="K105" s="110">
        <f t="shared" ref="K105:U105" si="117">+($E$124-K100+K95)/(K11*0.8)</f>
        <v>4.4172716190178782</v>
      </c>
      <c r="L105" s="110">
        <f t="shared" si="117"/>
        <v>3.4735040319351724</v>
      </c>
      <c r="M105" s="110">
        <f t="shared" si="117"/>
        <v>2.66801867821136</v>
      </c>
      <c r="N105" s="110">
        <f t="shared" si="117"/>
        <v>1.9734086998154476</v>
      </c>
      <c r="O105" s="110">
        <f t="shared" si="117"/>
        <v>1.3681164548153384</v>
      </c>
      <c r="P105" s="110">
        <f t="shared" si="117"/>
        <v>0.83506985894402441</v>
      </c>
      <c r="Q105" s="110">
        <f t="shared" si="117"/>
        <v>0.3606595107826292</v>
      </c>
      <c r="R105" s="110">
        <f t="shared" si="117"/>
        <v>-6.6033694573772034E-2</v>
      </c>
      <c r="S105" s="110">
        <f t="shared" si="117"/>
        <v>-0.45382559039539255</v>
      </c>
      <c r="T105" s="110">
        <f t="shared" si="117"/>
        <v>-0.80987769431573442</v>
      </c>
      <c r="U105" s="110">
        <f t="shared" si="117"/>
        <v>-1.1400426645839865</v>
      </c>
    </row>
    <row r="106" spans="2:27" ht="10.15" x14ac:dyDescent="0.2">
      <c r="B106" s="111" t="s">
        <v>289</v>
      </c>
      <c r="C106" s="72"/>
      <c r="D106" s="72"/>
      <c r="E106" s="110">
        <f>+$E$126/E51</f>
        <v>-141.25083428999471</v>
      </c>
      <c r="F106" s="110">
        <f>+$E$126/F51</f>
        <v>-127.84518038191136</v>
      </c>
      <c r="G106" s="110">
        <f>+$E$126/G51</f>
        <v>132.97383030553922</v>
      </c>
      <c r="H106" s="110">
        <f>+$E$126/H51</f>
        <v>34.203769627558437</v>
      </c>
      <c r="I106" s="110">
        <f t="shared" ref="I106:T106" si="118">+($E$124-I100+I95)/I51</f>
        <v>19.898338587929803</v>
      </c>
      <c r="J106" s="110">
        <f t="shared" si="118"/>
        <v>9.3848129797679789</v>
      </c>
      <c r="K106" s="110">
        <f t="shared" si="118"/>
        <v>8.6023254311421002</v>
      </c>
      <c r="L106" s="110">
        <f t="shared" si="118"/>
        <v>6.6971548987264091</v>
      </c>
      <c r="M106" s="110">
        <f t="shared" si="118"/>
        <v>5.1015498753532</v>
      </c>
      <c r="N106" s="110">
        <f t="shared" si="118"/>
        <v>3.7471533819024181</v>
      </c>
      <c r="O106" s="110">
        <f t="shared" si="118"/>
        <v>2.5825264909227319</v>
      </c>
      <c r="P106" s="110">
        <f t="shared" si="118"/>
        <v>1.5684101424501191</v>
      </c>
      <c r="Q106" s="110">
        <f t="shared" si="118"/>
        <v>0.67446324145888625</v>
      </c>
      <c r="R106" s="110">
        <f t="shared" si="118"/>
        <v>-0.12302837275287568</v>
      </c>
      <c r="S106" s="110">
        <f t="shared" si="118"/>
        <v>-0.84278951398434909</v>
      </c>
      <c r="T106" s="110">
        <f t="shared" si="118"/>
        <v>-1.4997444012067958</v>
      </c>
      <c r="U106" s="110">
        <f t="shared" ref="U106" si="119">+($E$124-U100+U95)/U51</f>
        <v>-2.1058915227531276</v>
      </c>
    </row>
    <row r="107" spans="2:27" ht="10.15" x14ac:dyDescent="0.2">
      <c r="B107" s="111" t="s">
        <v>290</v>
      </c>
      <c r="C107" s="72"/>
      <c r="D107" s="72"/>
      <c r="E107" s="110">
        <f>+$E$126/E67</f>
        <v>-140.76200383661634</v>
      </c>
      <c r="F107" s="110">
        <f>+$E$126/F67</f>
        <v>-127.21780703541472</v>
      </c>
      <c r="G107" s="110">
        <f>+$E$126/G67</f>
        <v>218.60038006703127</v>
      </c>
      <c r="H107" s="110">
        <f>+$E$126/H67</f>
        <v>34.883470452955251</v>
      </c>
      <c r="I107" s="110">
        <f t="shared" ref="I107:T107" si="120">+($E$124-I100+I95)/I67</f>
        <v>20.095588189140802</v>
      </c>
      <c r="J107" s="110">
        <f t="shared" si="120"/>
        <v>9.6178836631611979</v>
      </c>
      <c r="K107" s="110">
        <f t="shared" si="120"/>
        <v>8.8439966131632275</v>
      </c>
      <c r="L107" s="110">
        <f t="shared" si="120"/>
        <v>6.8734176504211817</v>
      </c>
      <c r="M107" s="110">
        <f t="shared" si="120"/>
        <v>5.2284416518429246</v>
      </c>
      <c r="N107" s="110">
        <f t="shared" si="120"/>
        <v>3.8358988082365113</v>
      </c>
      <c r="O107" s="110">
        <f t="shared" si="120"/>
        <v>2.6411385978985256</v>
      </c>
      <c r="P107" s="110">
        <f t="shared" si="120"/>
        <v>1.6027095587742501</v>
      </c>
      <c r="Q107" s="110">
        <f t="shared" si="120"/>
        <v>0.68874286935647056</v>
      </c>
      <c r="R107" s="110">
        <f t="shared" si="120"/>
        <v>-0.12556031164077855</v>
      </c>
      <c r="S107" s="110">
        <f t="shared" si="120"/>
        <v>-0.85970825653526339</v>
      </c>
      <c r="T107" s="110">
        <f t="shared" si="120"/>
        <v>-1.5292001091451277</v>
      </c>
      <c r="U107" s="110">
        <f t="shared" ref="U107" si="121">+($E$124-U100+U95)/U67</f>
        <v>-2.146462499361339</v>
      </c>
    </row>
    <row r="108" spans="2:27" ht="10.15" x14ac:dyDescent="0.2">
      <c r="B108" s="109" t="s">
        <v>291</v>
      </c>
      <c r="C108" s="72"/>
      <c r="D108" s="72"/>
      <c r="E108" s="110">
        <f>($E$124)/(E51-E81-E72+E75-E77+E84)</f>
        <v>-205.30056406893038</v>
      </c>
      <c r="F108" s="110">
        <f>($E$124)/(F51-F81-F72+F75-F77+F84)</f>
        <v>-212.95968619459904</v>
      </c>
      <c r="G108" s="110">
        <f>($E$124)/(G51-G81-G72+G75-G77+G84)</f>
        <v>169.81627223384831</v>
      </c>
      <c r="H108" s="110">
        <f>($E$124)/(H51-H81-H72+H75-H77+H84)</f>
        <v>51.539272924763374</v>
      </c>
      <c r="I108" s="110">
        <f t="shared" ref="I108:T108" si="122">($E$124-I$100)/(I51-I81-I72+I75-I77+I84)</f>
        <v>25.875651055937926</v>
      </c>
      <c r="J108" s="110">
        <f t="shared" si="122"/>
        <v>14.027796310405522</v>
      </c>
      <c r="K108" s="110">
        <f t="shared" si="122"/>
        <v>11.58119813065538</v>
      </c>
      <c r="L108" s="110">
        <f t="shared" si="122"/>
        <v>9.0764821108088114</v>
      </c>
      <c r="M108" s="110">
        <f t="shared" si="122"/>
        <v>6.9144804853861803</v>
      </c>
      <c r="N108" s="110">
        <f t="shared" si="122"/>
        <v>5.0790611967156449</v>
      </c>
      <c r="O108" s="110">
        <f t="shared" si="122"/>
        <v>3.5006352028289602</v>
      </c>
      <c r="P108" s="110">
        <f t="shared" si="122"/>
        <v>2.1260733971804679</v>
      </c>
      <c r="Q108" s="110">
        <f t="shared" si="122"/>
        <v>0.91430392073232547</v>
      </c>
      <c r="R108" s="110">
        <f t="shared" si="122"/>
        <v>-0.16678191376751014</v>
      </c>
      <c r="S108" s="110">
        <f t="shared" si="122"/>
        <v>-1.1425423160286059</v>
      </c>
      <c r="T108" s="110">
        <f t="shared" si="122"/>
        <v>-2.033191939562716</v>
      </c>
      <c r="U108" s="110">
        <f t="shared" ref="U108" si="123">($E$124-U$100)/(U51-U81-U72+U75-U77+U84)</f>
        <v>-2.854984936127837</v>
      </c>
      <c r="Y108" s="61">
        <v>18.18256050794448</v>
      </c>
    </row>
    <row r="109" spans="2:27" x14ac:dyDescent="0.2">
      <c r="B109" s="111" t="s">
        <v>292</v>
      </c>
      <c r="C109" s="72"/>
      <c r="D109" s="72"/>
      <c r="E109" s="110">
        <f>($E$124)/E86</f>
        <v>-225.47003210776572</v>
      </c>
      <c r="F109" s="110">
        <f t="shared" ref="F109:H109" si="124">($E$124)/F86</f>
        <v>-234.66655988228143</v>
      </c>
      <c r="G109" s="110">
        <f t="shared" si="124"/>
        <v>216.93805159397002</v>
      </c>
      <c r="H109" s="110">
        <f t="shared" si="124"/>
        <v>48.693574828024765</v>
      </c>
      <c r="I109" s="110">
        <f t="shared" ref="I109:T109" si="125">($E$124-I$100)/I86</f>
        <v>25.779294137841003</v>
      </c>
      <c r="J109" s="110">
        <f t="shared" si="125"/>
        <v>14.153817419616766</v>
      </c>
      <c r="K109" s="110">
        <f t="shared" si="125"/>
        <v>11.721701953574192</v>
      </c>
      <c r="L109" s="110">
        <f t="shared" si="125"/>
        <v>9.180441116715631</v>
      </c>
      <c r="M109" s="110">
        <f t="shared" si="125"/>
        <v>6.9893907786577323</v>
      </c>
      <c r="N109" s="110">
        <f t="shared" si="125"/>
        <v>5.1314921832718348</v>
      </c>
      <c r="O109" s="110">
        <f t="shared" si="125"/>
        <v>3.5352854423936844</v>
      </c>
      <c r="P109" s="110">
        <f t="shared" si="125"/>
        <v>2.1463612873401838</v>
      </c>
      <c r="Q109" s="110">
        <f t="shared" si="125"/>
        <v>0.92275401511551924</v>
      </c>
      <c r="R109" s="110">
        <f t="shared" si="125"/>
        <v>-0.16828077892921392</v>
      </c>
      <c r="S109" s="110">
        <f t="shared" si="125"/>
        <v>-1.1525611615412521</v>
      </c>
      <c r="T109" s="110">
        <f t="shared" si="125"/>
        <v>-2.0506396793554629</v>
      </c>
      <c r="U109" s="110">
        <f t="shared" ref="U109" si="126">($E$124-U$100)/U86</f>
        <v>-2.8790223958272647</v>
      </c>
      <c r="V109" s="112"/>
      <c r="W109" s="112"/>
      <c r="X109" s="112"/>
      <c r="Y109" s="112">
        <v>18.42067147348574</v>
      </c>
      <c r="AA109" s="112"/>
    </row>
    <row r="110" spans="2:27" x14ac:dyDescent="0.2">
      <c r="B110" s="218" t="s">
        <v>457</v>
      </c>
      <c r="C110" s="72"/>
      <c r="D110" s="72"/>
      <c r="E110" s="110"/>
      <c r="F110" s="110"/>
      <c r="G110" s="110"/>
      <c r="H110" s="110"/>
      <c r="I110" s="110"/>
      <c r="J110" s="104">
        <f>$F$122/_xll.ciqfunctions.udf.CIQ("PDD", "IQ_EPS_EST", J$1, , , , "USD")</f>
        <v>12.012117438429543</v>
      </c>
      <c r="K110" s="104">
        <f>$F$122/_xll.ciqfunctions.udf.CIQ("PDD", "IQ_EPS_EST", K$1, , , , "USD")</f>
        <v>10.998284623303245</v>
      </c>
      <c r="L110" s="104">
        <f>$F$122/_xll.ciqfunctions.udf.CIQ("PDD", "IQ_EPS_EST", L$1, , , , "USD")</f>
        <v>9.1206714697737805</v>
      </c>
      <c r="M110" s="110"/>
      <c r="N110" s="110"/>
      <c r="O110" s="110"/>
      <c r="P110" s="110"/>
      <c r="Q110" s="110"/>
      <c r="R110" s="110"/>
      <c r="S110" s="110"/>
      <c r="T110" s="110"/>
      <c r="U110" s="110"/>
      <c r="V110" s="112"/>
      <c r="W110" s="112"/>
      <c r="X110" s="112"/>
      <c r="Y110" s="112"/>
      <c r="AA110" s="112"/>
    </row>
    <row r="111" spans="2:27" x14ac:dyDescent="0.2">
      <c r="C111" s="72"/>
      <c r="D111" s="72"/>
      <c r="E111" s="72"/>
      <c r="F111" s="72"/>
      <c r="G111" s="72"/>
      <c r="H111" s="72"/>
      <c r="I111" s="72"/>
      <c r="J111" s="110"/>
      <c r="K111" s="72"/>
      <c r="L111" s="72"/>
      <c r="M111" s="72"/>
    </row>
    <row r="112" spans="2:27" x14ac:dyDescent="0.2">
      <c r="B112" s="94" t="s">
        <v>293</v>
      </c>
      <c r="C112" s="72"/>
      <c r="D112" s="72"/>
      <c r="E112" s="72"/>
      <c r="F112" s="72"/>
      <c r="G112" s="72"/>
      <c r="H112" s="72"/>
      <c r="I112" s="72"/>
      <c r="J112" s="72"/>
      <c r="K112" s="72"/>
      <c r="L112" s="72"/>
      <c r="M112" s="72"/>
    </row>
    <row r="113" spans="2:32" ht="13.5" x14ac:dyDescent="0.35">
      <c r="B113" s="61" t="s">
        <v>294</v>
      </c>
      <c r="C113" s="72"/>
      <c r="D113" s="72"/>
      <c r="E113" s="72"/>
      <c r="F113" s="72"/>
      <c r="G113" s="72"/>
      <c r="H113" s="72"/>
      <c r="I113" s="72"/>
      <c r="J113" s="72"/>
      <c r="K113" s="72"/>
      <c r="L113" s="113"/>
      <c r="M113" s="113"/>
      <c r="N113" s="113"/>
      <c r="O113" s="113"/>
      <c r="P113" s="113"/>
      <c r="Q113" s="113"/>
      <c r="R113" s="113"/>
      <c r="S113" s="113"/>
      <c r="T113" s="113">
        <v>15</v>
      </c>
    </row>
    <row r="114" spans="2:32" x14ac:dyDescent="0.2">
      <c r="B114" s="61" t="s">
        <v>295</v>
      </c>
      <c r="C114" s="72"/>
      <c r="D114" s="72"/>
      <c r="E114" s="72"/>
      <c r="F114" s="72"/>
      <c r="G114" s="72"/>
      <c r="H114" s="72"/>
      <c r="I114" s="72"/>
      <c r="J114" s="72"/>
      <c r="K114" s="72"/>
      <c r="L114" s="72"/>
      <c r="M114" s="72"/>
      <c r="N114" s="72"/>
      <c r="O114" s="72"/>
      <c r="P114" s="72"/>
      <c r="Q114" s="72"/>
      <c r="R114" s="72"/>
      <c r="S114" s="72"/>
      <c r="T114" s="72">
        <f>T113*(U86)</f>
        <v>3869328.5993874916</v>
      </c>
    </row>
    <row r="115" spans="2:32" ht="13.5" x14ac:dyDescent="0.35">
      <c r="C115" s="72"/>
      <c r="D115" s="72"/>
      <c r="E115" s="72"/>
      <c r="F115" s="72"/>
      <c r="G115" s="72"/>
      <c r="H115" s="72"/>
      <c r="I115" s="72"/>
      <c r="J115" s="72"/>
      <c r="K115" s="72"/>
      <c r="L115" s="72"/>
      <c r="M115" s="72"/>
      <c r="N115" s="114"/>
      <c r="O115" s="114"/>
      <c r="P115" s="114"/>
      <c r="Q115" s="114"/>
      <c r="R115" s="114"/>
      <c r="S115" s="114"/>
      <c r="T115" s="114"/>
      <c r="U115" s="114" t="s">
        <v>296</v>
      </c>
    </row>
    <row r="116" spans="2:32" x14ac:dyDescent="0.2">
      <c r="B116" s="61" t="s">
        <v>297</v>
      </c>
      <c r="C116" s="72"/>
      <c r="D116" s="72"/>
      <c r="E116" s="72"/>
      <c r="F116" s="72"/>
      <c r="G116" s="72"/>
      <c r="H116" s="72"/>
      <c r="I116" s="72"/>
      <c r="J116" s="72">
        <f>-E124</f>
        <v>-1400862.4452079886</v>
      </c>
      <c r="K116" s="72">
        <f>+K98</f>
        <v>436619.28631819854</v>
      </c>
      <c r="L116" s="72">
        <f t="shared" ref="L116:S116" si="127">L98</f>
        <v>94715.263104519574</v>
      </c>
      <c r="M116" s="72">
        <f t="shared" si="127"/>
        <v>108835.31922209426</v>
      </c>
      <c r="N116" s="72">
        <f t="shared" si="127"/>
        <v>124063.20579491662</v>
      </c>
      <c r="O116" s="72">
        <f t="shared" si="127"/>
        <v>140372.50330868969</v>
      </c>
      <c r="P116" s="72">
        <f t="shared" si="127"/>
        <v>157724.05713747095</v>
      </c>
      <c r="Q116" s="72">
        <f t="shared" si="127"/>
        <v>176066.62509128073</v>
      </c>
      <c r="R116" s="72">
        <f t="shared" si="127"/>
        <v>195337.77880190528</v>
      </c>
      <c r="S116" s="72">
        <f t="shared" si="127"/>
        <v>215465.01900615651</v>
      </c>
      <c r="T116" s="72">
        <f>T114+T98</f>
        <v>4105695.6598145175</v>
      </c>
      <c r="U116" s="72">
        <f>+SUM(K116:T116)</f>
        <v>5754894.7175997496</v>
      </c>
    </row>
    <row r="117" spans="2:32" x14ac:dyDescent="0.2">
      <c r="C117" s="72"/>
      <c r="D117" s="72"/>
      <c r="E117" s="72"/>
      <c r="F117" s="72"/>
      <c r="G117" s="72"/>
      <c r="H117" s="72"/>
      <c r="I117" s="72"/>
      <c r="J117" s="72"/>
      <c r="K117" s="72"/>
      <c r="M117" s="115"/>
      <c r="N117" s="115"/>
      <c r="O117" s="115"/>
      <c r="P117" s="115"/>
      <c r="Q117" s="115"/>
      <c r="R117" s="115"/>
      <c r="S117" s="115"/>
      <c r="T117" s="115" t="s">
        <v>298</v>
      </c>
      <c r="U117" s="110">
        <f>+U116/-J116</f>
        <v>4.1081083565955039</v>
      </c>
    </row>
    <row r="118" spans="2:32" x14ac:dyDescent="0.2">
      <c r="B118" s="116" t="s">
        <v>299</v>
      </c>
      <c r="C118" s="117"/>
      <c r="D118" s="117"/>
      <c r="E118" s="117"/>
      <c r="F118" s="118">
        <f>XIRR(J116:T116,J7:T7)</f>
        <v>0.1991890251636505</v>
      </c>
      <c r="G118" s="72"/>
      <c r="H118" s="119"/>
      <c r="I118" s="72"/>
      <c r="J118" s="72"/>
      <c r="K118" s="72"/>
      <c r="L118" s="72"/>
      <c r="M118" s="72"/>
      <c r="Y118" s="61">
        <v>0.20286793112754822</v>
      </c>
      <c r="Z118" s="209">
        <f>+Y118-F118</f>
        <v>3.6789059638977217E-3</v>
      </c>
    </row>
    <row r="119" spans="2:32" x14ac:dyDescent="0.2">
      <c r="C119" s="72"/>
      <c r="D119" s="72"/>
      <c r="E119" s="72"/>
      <c r="F119" s="72"/>
      <c r="G119" s="72"/>
      <c r="H119" s="72"/>
      <c r="I119" s="72"/>
      <c r="J119" s="72"/>
      <c r="K119" s="72"/>
      <c r="L119" s="72"/>
      <c r="M119" s="72"/>
    </row>
    <row r="120" spans="2:32" x14ac:dyDescent="0.2">
      <c r="B120" s="120" t="s">
        <v>300</v>
      </c>
      <c r="C120" s="121"/>
      <c r="D120" s="121"/>
      <c r="E120" s="121"/>
      <c r="F120" s="122"/>
      <c r="G120" s="72"/>
      <c r="H120" s="72"/>
      <c r="I120" s="72"/>
      <c r="J120" s="72"/>
      <c r="K120" s="72"/>
      <c r="L120" s="72"/>
      <c r="M120" s="72"/>
    </row>
    <row r="121" spans="2:32" ht="13.5" x14ac:dyDescent="0.35">
      <c r="C121" s="72"/>
      <c r="D121" s="72"/>
      <c r="E121" s="114" t="s">
        <v>301</v>
      </c>
      <c r="F121" s="114" t="s">
        <v>305</v>
      </c>
      <c r="G121" s="72"/>
      <c r="H121" s="72"/>
      <c r="I121" s="72"/>
      <c r="J121" s="72"/>
      <c r="K121" s="72"/>
      <c r="L121" s="72"/>
      <c r="M121" s="72"/>
    </row>
    <row r="122" spans="2:32" s="129" customFormat="1" x14ac:dyDescent="0.2">
      <c r="B122" s="71" t="s">
        <v>306</v>
      </c>
      <c r="C122" s="130"/>
      <c r="D122" s="130"/>
      <c r="E122" s="72">
        <f>+F122*F128</f>
        <v>199709.5224475</v>
      </c>
      <c r="F122" s="123">
        <v>134.81</v>
      </c>
      <c r="G122" s="130"/>
      <c r="H122" s="130"/>
      <c r="I122" s="130"/>
      <c r="J122" s="130"/>
      <c r="K122" s="130"/>
      <c r="L122" s="130"/>
      <c r="M122" s="130"/>
    </row>
    <row r="123" spans="2:32" s="129" customFormat="1" ht="13.5" x14ac:dyDescent="0.35">
      <c r="B123" s="71" t="s">
        <v>308</v>
      </c>
      <c r="C123" s="130"/>
      <c r="D123" s="130"/>
      <c r="E123" s="134">
        <f>+E124/E122</f>
        <v>7.0144999999999991</v>
      </c>
      <c r="F123" s="296" cm="1">
        <f t="array" ref="F123">_xll.ciqfunctions.udf.CIQ("$CNYUSD","IQ_LASTSALEPRICE",$U$2)</f>
        <v>7.0145</v>
      </c>
      <c r="G123" s="130"/>
      <c r="H123" s="130"/>
      <c r="I123" s="130"/>
      <c r="J123" s="130"/>
      <c r="K123" s="130"/>
      <c r="L123" s="130"/>
      <c r="M123" s="130"/>
    </row>
    <row r="124" spans="2:32" x14ac:dyDescent="0.2">
      <c r="B124" s="132" t="s">
        <v>309</v>
      </c>
      <c r="C124" s="72"/>
      <c r="D124" s="72"/>
      <c r="E124" s="72">
        <f>F124*F$128</f>
        <v>1400862.4452079886</v>
      </c>
      <c r="F124" s="133">
        <f>+F122*F123</f>
        <v>945.62474499999996</v>
      </c>
      <c r="G124" s="124"/>
      <c r="H124" s="124"/>
      <c r="I124" s="72"/>
      <c r="J124" s="72"/>
      <c r="K124" s="72"/>
      <c r="L124" s="72"/>
      <c r="M124" s="72"/>
      <c r="W124" s="61">
        <f>+$F$122/(E122/'Historical Financials'!AQ100)</f>
        <v>-6.5798271550894158</v>
      </c>
      <c r="X124" s="61">
        <f>+$F$122/E109</f>
        <v>-0.59790650996832329</v>
      </c>
      <c r="Y124" s="61">
        <f t="shared" ref="Y124:AF124" si="128">+$F$122/F109</f>
        <v>-0.5744746932312228</v>
      </c>
      <c r="Z124" s="61">
        <f t="shared" si="128"/>
        <v>0.62142164092224739</v>
      </c>
      <c r="AA124" s="61">
        <f t="shared" si="128"/>
        <v>2.7685377480729221</v>
      </c>
      <c r="AB124" s="61">
        <f t="shared" si="128"/>
        <v>5.2293906605501128</v>
      </c>
      <c r="AC124" s="61">
        <f t="shared" si="128"/>
        <v>9.5246389015275401</v>
      </c>
      <c r="AD124" s="61">
        <f t="shared" si="128"/>
        <v>11.500889592137566</v>
      </c>
      <c r="AE124" s="61">
        <f t="shared" si="128"/>
        <v>14.684479567603747</v>
      </c>
      <c r="AF124" s="61">
        <f t="shared" si="128"/>
        <v>19.287804083246495</v>
      </c>
    </row>
    <row r="125" spans="2:32" ht="13.5" x14ac:dyDescent="0.35">
      <c r="B125" s="71" t="s">
        <v>310</v>
      </c>
      <c r="C125" s="72"/>
      <c r="D125" s="72"/>
      <c r="E125" s="88">
        <f>+'Historical Financials'!AG114</f>
        <v>-284927.179</v>
      </c>
      <c r="F125" s="125">
        <f>E125/F$128</f>
        <v>-192.33450929255295</v>
      </c>
      <c r="G125" s="72"/>
      <c r="H125" s="72"/>
      <c r="I125" s="72"/>
      <c r="J125" s="72"/>
      <c r="K125" s="72"/>
      <c r="L125" s="72"/>
      <c r="M125" s="72"/>
      <c r="AB125" s="61">
        <f>+$F$124/I108</f>
        <v>36.544964335612292</v>
      </c>
      <c r="AC125" s="61">
        <f t="shared" ref="AC125:AD125" si="129">+$F$124/J108</f>
        <v>67.410783851955102</v>
      </c>
      <c r="AD125" s="61">
        <f t="shared" si="129"/>
        <v>81.651719824819807</v>
      </c>
    </row>
    <row r="126" spans="2:32" x14ac:dyDescent="0.2">
      <c r="B126" s="90" t="s">
        <v>302</v>
      </c>
      <c r="C126" s="72"/>
      <c r="D126" s="72"/>
      <c r="E126" s="72">
        <f>E124+E125</f>
        <v>1115935.2662079886</v>
      </c>
      <c r="F126" s="75">
        <f>E126/F$128</f>
        <v>753.29023570744698</v>
      </c>
      <c r="G126" s="72"/>
      <c r="H126" s="72"/>
      <c r="I126" s="72"/>
      <c r="J126" s="72"/>
      <c r="K126" s="72"/>
      <c r="L126" s="72"/>
      <c r="M126" s="72"/>
    </row>
    <row r="127" spans="2:32" x14ac:dyDescent="0.2">
      <c r="C127" s="72"/>
      <c r="D127" s="72"/>
      <c r="E127" s="72"/>
      <c r="F127" s="72"/>
      <c r="G127" s="72"/>
      <c r="H127" s="72"/>
      <c r="I127" s="72"/>
      <c r="J127" s="72"/>
      <c r="K127" s="72"/>
      <c r="L127" s="72"/>
      <c r="M127" s="72"/>
    </row>
    <row r="128" spans="2:32" s="81" customFormat="1" x14ac:dyDescent="0.2">
      <c r="B128" s="76" t="s">
        <v>303</v>
      </c>
      <c r="C128" s="79"/>
      <c r="D128" s="79"/>
      <c r="E128" s="79"/>
      <c r="F128" s="98">
        <f>+'Historical Financials'!AG77</f>
        <v>1481.4147499999999</v>
      </c>
      <c r="G128" s="79"/>
      <c r="H128" s="79"/>
      <c r="I128" s="79"/>
      <c r="J128" s="79"/>
      <c r="K128" s="79"/>
      <c r="L128" s="79"/>
      <c r="M128" s="79"/>
    </row>
    <row r="129" spans="2:13" s="81" customFormat="1" x14ac:dyDescent="0.2">
      <c r="B129" s="76"/>
      <c r="C129" s="79"/>
      <c r="D129" s="79"/>
      <c r="E129" s="79"/>
      <c r="F129" s="126"/>
      <c r="G129" s="79"/>
      <c r="H129" s="79"/>
      <c r="I129" s="79"/>
      <c r="J129" s="79"/>
      <c r="K129" s="79"/>
      <c r="L129" s="79"/>
      <c r="M129" s="79"/>
    </row>
    <row r="131" spans="2:13" x14ac:dyDescent="0.2">
      <c r="B131" s="71"/>
      <c r="F131" s="127"/>
      <c r="G131" s="75"/>
    </row>
    <row r="132" spans="2:13" x14ac:dyDescent="0.2">
      <c r="B132" s="71"/>
      <c r="F132" s="128"/>
    </row>
    <row r="133" spans="2:13" x14ac:dyDescent="0.2">
      <c r="B133" s="71"/>
      <c r="E133" s="75"/>
      <c r="F133" s="127"/>
    </row>
    <row r="134" spans="2:13" x14ac:dyDescent="0.2">
      <c r="B134" s="71"/>
      <c r="F134" s="127"/>
    </row>
  </sheetData>
  <pageMargins left="0.3" right="0.3" top="0.3" bottom="0.4" header="0.3" footer="0.3"/>
  <pageSetup scale="51" orientation="portrait" r:id="rId1"/>
  <headerFooter>
    <oddFooter>&amp;C&amp;10Page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414C1-92C0-4EA6-B893-370BBC123DD7}">
  <sheetPr>
    <pageSetUpPr fitToPage="1"/>
  </sheetPr>
  <dimension ref="B1:W117"/>
  <sheetViews>
    <sheetView view="pageBreakPreview" zoomScale="85" zoomScaleNormal="100" zoomScaleSheetLayoutView="85" workbookViewId="0">
      <selection activeCell="T42" sqref="T42"/>
    </sheetView>
  </sheetViews>
  <sheetFormatPr defaultColWidth="10.6640625" defaultRowHeight="11.25" outlineLevelCol="1" x14ac:dyDescent="0.2"/>
  <cols>
    <col min="1" max="1" width="2.83203125" style="61" customWidth="1"/>
    <col min="2" max="2" width="30" style="61" customWidth="1"/>
    <col min="3" max="3" width="3" style="61" customWidth="1"/>
    <col min="4" max="4" width="12.83203125" style="61" hidden="1" customWidth="1" outlineLevel="1"/>
    <col min="5" max="5" width="12.6640625" style="61" customWidth="1" collapsed="1"/>
    <col min="6" max="21" width="12.6640625" style="61" customWidth="1"/>
    <col min="22" max="16384" width="10.6640625" style="61"/>
  </cols>
  <sheetData>
    <row r="1" spans="2:23" ht="10.15" x14ac:dyDescent="0.2">
      <c r="E1" s="75"/>
      <c r="F1" s="75"/>
      <c r="G1" s="75"/>
      <c r="I1" s="75"/>
      <c r="T1" s="75"/>
      <c r="U1" s="75"/>
    </row>
    <row r="2" spans="2:23" ht="10.15" x14ac:dyDescent="0.2">
      <c r="B2" s="60" t="s">
        <v>0</v>
      </c>
      <c r="M2" s="62"/>
      <c r="N2" s="63"/>
      <c r="O2" s="63"/>
      <c r="P2" s="63"/>
      <c r="U2" s="64">
        <f ca="1">+TODAY()</f>
        <v>45796</v>
      </c>
    </row>
    <row r="3" spans="2:23" s="66" customFormat="1" ht="10.15" x14ac:dyDescent="0.2">
      <c r="B3" s="65" t="s">
        <v>339</v>
      </c>
    </row>
    <row r="4" spans="2:23" ht="10.15" x14ac:dyDescent="0.2">
      <c r="B4" s="3" t="s">
        <v>109</v>
      </c>
    </row>
    <row r="5" spans="2:23" ht="10.15" x14ac:dyDescent="0.2">
      <c r="E5" s="67" t="s">
        <v>59</v>
      </c>
      <c r="F5" s="68"/>
      <c r="G5" s="68"/>
      <c r="H5" s="68"/>
      <c r="I5" s="68"/>
      <c r="J5" s="68"/>
      <c r="K5" s="68"/>
      <c r="L5" s="68"/>
      <c r="M5" s="68"/>
      <c r="N5" s="68"/>
      <c r="O5" s="68"/>
      <c r="P5" s="68"/>
      <c r="Q5" s="68"/>
      <c r="R5" s="68"/>
      <c r="S5" s="68"/>
      <c r="T5" s="68"/>
      <c r="U5" s="68"/>
    </row>
    <row r="6" spans="2:23" ht="12" x14ac:dyDescent="0.35">
      <c r="D6" s="69" t="s">
        <v>53</v>
      </c>
      <c r="E6" s="69" t="s">
        <v>54</v>
      </c>
      <c r="F6" s="69" t="s">
        <v>55</v>
      </c>
      <c r="G6" s="69" t="s">
        <v>56</v>
      </c>
      <c r="H6" s="69" t="s">
        <v>57</v>
      </c>
      <c r="I6" s="69" t="s">
        <v>260</v>
      </c>
      <c r="J6" s="69" t="s">
        <v>58</v>
      </c>
      <c r="K6" s="69" t="s">
        <v>268</v>
      </c>
      <c r="L6" s="69" t="s">
        <v>269</v>
      </c>
      <c r="M6" s="69" t="s">
        <v>270</v>
      </c>
      <c r="N6" s="69" t="s">
        <v>271</v>
      </c>
      <c r="O6" s="69" t="s">
        <v>272</v>
      </c>
      <c r="P6" s="69" t="s">
        <v>273</v>
      </c>
      <c r="Q6" s="69" t="s">
        <v>274</v>
      </c>
      <c r="R6" s="69" t="s">
        <v>275</v>
      </c>
      <c r="S6" s="69" t="s">
        <v>276</v>
      </c>
      <c r="T6" s="69" t="s">
        <v>277</v>
      </c>
      <c r="U6" s="69" t="s">
        <v>362</v>
      </c>
    </row>
    <row r="7" spans="2:23" ht="10.15" x14ac:dyDescent="0.2">
      <c r="E7" s="70"/>
      <c r="F7" s="70"/>
      <c r="G7" s="70"/>
      <c r="H7" s="70"/>
      <c r="I7" s="70">
        <f ca="1">+TODAY()</f>
        <v>45796</v>
      </c>
      <c r="J7" s="70">
        <v>45657</v>
      </c>
      <c r="K7" s="70">
        <v>46022</v>
      </c>
      <c r="L7" s="70">
        <v>46387</v>
      </c>
      <c r="M7" s="70">
        <v>46752</v>
      </c>
      <c r="N7" s="70">
        <v>47118</v>
      </c>
      <c r="O7" s="70">
        <v>47483</v>
      </c>
      <c r="P7" s="70">
        <v>47848</v>
      </c>
      <c r="Q7" s="70">
        <v>48213</v>
      </c>
      <c r="R7" s="70">
        <v>48579</v>
      </c>
      <c r="S7" s="70">
        <v>48944</v>
      </c>
      <c r="T7" s="70">
        <v>49309</v>
      </c>
      <c r="U7" s="70"/>
    </row>
    <row r="8" spans="2:23" ht="10.15" x14ac:dyDescent="0.2">
      <c r="B8" s="71" t="s">
        <v>349</v>
      </c>
      <c r="D8" s="136">
        <v>91928110</v>
      </c>
      <c r="E8" s="136">
        <v>98651520</v>
      </c>
      <c r="F8" s="136">
        <v>101356700</v>
      </c>
      <c r="G8" s="136">
        <v>114923700</v>
      </c>
      <c r="H8" s="136">
        <v>120472400</v>
      </c>
      <c r="I8" s="136">
        <v>126058210.00000001</v>
      </c>
      <c r="J8" s="74">
        <f t="shared" ref="J8:U8" si="0">+I8*(1+J9)</f>
        <v>132361120.50000001</v>
      </c>
      <c r="K8" s="74">
        <f t="shared" si="0"/>
        <v>138979176.52500004</v>
      </c>
      <c r="L8" s="74">
        <f t="shared" si="0"/>
        <v>145928135.35125005</v>
      </c>
      <c r="M8" s="74">
        <f t="shared" si="0"/>
        <v>153224542.11881256</v>
      </c>
      <c r="N8" s="74">
        <f t="shared" si="0"/>
        <v>160885769.2247532</v>
      </c>
      <c r="O8" s="74">
        <f t="shared" si="0"/>
        <v>168930057.68599087</v>
      </c>
      <c r="P8" s="74">
        <f t="shared" si="0"/>
        <v>177376560.57029042</v>
      </c>
      <c r="Q8" s="74">
        <f t="shared" si="0"/>
        <v>186245388.59880495</v>
      </c>
      <c r="R8" s="74">
        <f t="shared" si="0"/>
        <v>195557658.0287452</v>
      </c>
      <c r="S8" s="74">
        <f t="shared" si="0"/>
        <v>205335540.93018249</v>
      </c>
      <c r="T8" s="74">
        <f t="shared" si="0"/>
        <v>215602317.97669163</v>
      </c>
      <c r="U8" s="74">
        <f t="shared" si="0"/>
        <v>226382433.87552622</v>
      </c>
    </row>
    <row r="9" spans="2:23" ht="10.15" x14ac:dyDescent="0.2">
      <c r="B9" s="76" t="s">
        <v>86</v>
      </c>
      <c r="E9" s="77">
        <f>+IFERROR(E8/D8-1,"n/a")</f>
        <v>7.3137694226499406E-2</v>
      </c>
      <c r="F9" s="77">
        <f>+IFERROR(F8/E8-1,"n/a")</f>
        <v>2.7421574447104247E-2</v>
      </c>
      <c r="G9" s="77">
        <f>+IFERROR(G8/F8-1,"n/a")</f>
        <v>0.13385400274476189</v>
      </c>
      <c r="H9" s="77">
        <f>+IFERROR(H8/G8-1,"n/a")</f>
        <v>4.8281599008733522E-2</v>
      </c>
      <c r="I9" s="77">
        <f>+IFERROR(I8/H8-1,"n/a")</f>
        <v>4.6365889614550904E-2</v>
      </c>
      <c r="J9" s="78">
        <v>0.05</v>
      </c>
      <c r="K9" s="78">
        <v>0.05</v>
      </c>
      <c r="L9" s="78">
        <v>0.05</v>
      </c>
      <c r="M9" s="78">
        <v>0.05</v>
      </c>
      <c r="N9" s="78">
        <v>0.05</v>
      </c>
      <c r="O9" s="78">
        <v>0.05</v>
      </c>
      <c r="P9" s="78">
        <v>0.05</v>
      </c>
      <c r="Q9" s="78">
        <v>0.05</v>
      </c>
      <c r="R9" s="78">
        <v>0.05</v>
      </c>
      <c r="S9" s="78">
        <v>0.05</v>
      </c>
      <c r="T9" s="78">
        <v>0.05</v>
      </c>
      <c r="U9" s="78">
        <v>0.05</v>
      </c>
    </row>
    <row r="10" spans="2:23" ht="10.15" x14ac:dyDescent="0.2">
      <c r="E10" s="70"/>
      <c r="F10" s="70"/>
      <c r="G10" s="70"/>
      <c r="H10" s="70"/>
      <c r="I10" s="70">
        <v>1000</v>
      </c>
      <c r="J10" s="70"/>
      <c r="K10" s="70"/>
      <c r="L10" s="70"/>
      <c r="M10" s="70"/>
      <c r="N10" s="70"/>
      <c r="O10" s="70"/>
      <c r="P10" s="70"/>
      <c r="Q10" s="70"/>
      <c r="R10" s="70"/>
      <c r="S10" s="70"/>
      <c r="T10" s="70"/>
      <c r="U10" s="70"/>
    </row>
    <row r="11" spans="2:23" ht="10.15" x14ac:dyDescent="0.2">
      <c r="B11" s="71" t="s">
        <v>325</v>
      </c>
      <c r="D11" s="74">
        <f>+E11/(1+E12)</f>
        <v>33433787.112863708</v>
      </c>
      <c r="E11" s="74">
        <f>+F11/(1+F12)</f>
        <v>36075056.294779941</v>
      </c>
      <c r="F11" s="136">
        <v>35245330</v>
      </c>
      <c r="G11" s="136">
        <v>39392830</v>
      </c>
      <c r="H11" s="136">
        <v>39579170</v>
      </c>
      <c r="I11" s="136">
        <v>41860550</v>
      </c>
      <c r="J11" s="74">
        <f t="shared" ref="J11:U11" si="1">+I11*(1+J12)</f>
        <v>43953577.5</v>
      </c>
      <c r="K11" s="74">
        <f t="shared" si="1"/>
        <v>46151256.375</v>
      </c>
      <c r="L11" s="74">
        <f t="shared" si="1"/>
        <v>48458819.193750001</v>
      </c>
      <c r="M11" s="74">
        <f t="shared" si="1"/>
        <v>50881760.153437503</v>
      </c>
      <c r="N11" s="74">
        <f t="shared" si="1"/>
        <v>53425848.16110938</v>
      </c>
      <c r="O11" s="74">
        <f t="shared" si="1"/>
        <v>56097140.56916485</v>
      </c>
      <c r="P11" s="74">
        <f t="shared" si="1"/>
        <v>58901997.597623095</v>
      </c>
      <c r="Q11" s="74">
        <f t="shared" si="1"/>
        <v>61847097.477504253</v>
      </c>
      <c r="R11" s="74">
        <f t="shared" si="1"/>
        <v>64939452.351379469</v>
      </c>
      <c r="S11" s="74">
        <f t="shared" si="1"/>
        <v>68186424.968948439</v>
      </c>
      <c r="T11" s="74">
        <f t="shared" si="1"/>
        <v>71595746.217395857</v>
      </c>
      <c r="U11" s="74">
        <f t="shared" si="1"/>
        <v>75175533.528265655</v>
      </c>
    </row>
    <row r="12" spans="2:23" ht="10.15" x14ac:dyDescent="0.2">
      <c r="B12" s="76" t="s">
        <v>86</v>
      </c>
      <c r="C12" s="72"/>
      <c r="D12" s="72"/>
      <c r="E12" s="141">
        <v>7.9000000000000001E-2</v>
      </c>
      <c r="F12" s="141">
        <v>-2.3E-2</v>
      </c>
      <c r="G12" s="77">
        <f>+IFERROR(G11/F11-1,"n/a")</f>
        <v>0.11767516434092129</v>
      </c>
      <c r="H12" s="77">
        <f>+IFERROR(H11/G11-1,"n/a")</f>
        <v>4.7303024433633656E-3</v>
      </c>
      <c r="I12" s="77">
        <f>+IFERROR(I11/H11-1,"n/a")</f>
        <v>5.7640925769792517E-2</v>
      </c>
      <c r="J12" s="78">
        <v>0.05</v>
      </c>
      <c r="K12" s="78">
        <v>0.05</v>
      </c>
      <c r="L12" s="78">
        <v>0.05</v>
      </c>
      <c r="M12" s="78">
        <v>0.05</v>
      </c>
      <c r="N12" s="78">
        <v>0.05</v>
      </c>
      <c r="O12" s="78">
        <v>0.05</v>
      </c>
      <c r="P12" s="78">
        <v>0.05</v>
      </c>
      <c r="Q12" s="78">
        <v>0.05</v>
      </c>
      <c r="R12" s="78">
        <v>0.05</v>
      </c>
      <c r="S12" s="78">
        <v>0.05</v>
      </c>
      <c r="T12" s="78">
        <v>0.05</v>
      </c>
      <c r="U12" s="78">
        <v>0.05</v>
      </c>
      <c r="V12" s="75"/>
      <c r="W12" s="72"/>
    </row>
    <row r="13" spans="2:23" ht="10.15" x14ac:dyDescent="0.2">
      <c r="B13" s="76" t="s">
        <v>345</v>
      </c>
      <c r="C13" s="72"/>
      <c r="D13" s="154">
        <f>IFERROR(D11/D8,"n/a")</f>
        <v>0.36369492544623955</v>
      </c>
      <c r="E13" s="154">
        <f t="shared" ref="E13:T13" si="2">IFERROR(E11/E8,"n/a")</f>
        <v>0.3656817076389694</v>
      </c>
      <c r="F13" s="154">
        <f t="shared" si="2"/>
        <v>0.34773557150143997</v>
      </c>
      <c r="G13" s="154">
        <f t="shared" si="2"/>
        <v>0.34277377077139004</v>
      </c>
      <c r="H13" s="154">
        <f t="shared" si="2"/>
        <v>0.32853309139686765</v>
      </c>
      <c r="I13" s="154">
        <f t="shared" si="2"/>
        <v>0.33207317476584819</v>
      </c>
      <c r="J13" s="154">
        <f t="shared" si="2"/>
        <v>0.33207317476584819</v>
      </c>
      <c r="K13" s="154">
        <f t="shared" si="2"/>
        <v>0.33207317476584819</v>
      </c>
      <c r="L13" s="154">
        <f t="shared" si="2"/>
        <v>0.33207317476584813</v>
      </c>
      <c r="M13" s="154">
        <f t="shared" si="2"/>
        <v>0.33207317476584813</v>
      </c>
      <c r="N13" s="154">
        <f t="shared" si="2"/>
        <v>0.33207317476584813</v>
      </c>
      <c r="O13" s="154">
        <f t="shared" si="2"/>
        <v>0.33207317476584813</v>
      </c>
      <c r="P13" s="154">
        <f t="shared" si="2"/>
        <v>0.33207317476584813</v>
      </c>
      <c r="Q13" s="154">
        <f t="shared" si="2"/>
        <v>0.33207317476584813</v>
      </c>
      <c r="R13" s="154">
        <f t="shared" si="2"/>
        <v>0.33207317476584813</v>
      </c>
      <c r="S13" s="154">
        <f t="shared" si="2"/>
        <v>0.33207317476584808</v>
      </c>
      <c r="T13" s="154">
        <f t="shared" si="2"/>
        <v>0.33207317476584802</v>
      </c>
      <c r="U13" s="154">
        <f t="shared" ref="U13" si="3">IFERROR(U11/U8,"n/a")</f>
        <v>0.33207317476584802</v>
      </c>
      <c r="V13" s="75"/>
      <c r="W13" s="72"/>
    </row>
    <row r="14" spans="2:23" ht="10.15" x14ac:dyDescent="0.2">
      <c r="B14" s="76"/>
      <c r="C14" s="72"/>
      <c r="D14" s="72"/>
      <c r="E14" s="141"/>
      <c r="F14" s="141"/>
      <c r="G14" s="77"/>
      <c r="H14" s="77"/>
      <c r="I14" s="78"/>
      <c r="J14" s="78"/>
      <c r="K14" s="78"/>
      <c r="L14" s="78"/>
      <c r="M14" s="78"/>
      <c r="N14" s="78"/>
      <c r="O14" s="78"/>
      <c r="P14" s="78"/>
      <c r="Q14" s="78"/>
      <c r="R14" s="78"/>
      <c r="S14" s="78"/>
      <c r="T14" s="78"/>
      <c r="U14" s="78"/>
      <c r="V14" s="75"/>
      <c r="W14" s="72"/>
    </row>
    <row r="15" spans="2:23" ht="10.15" x14ac:dyDescent="0.2">
      <c r="B15" s="71" t="s">
        <v>320</v>
      </c>
      <c r="D15" s="74">
        <f>+E15/(1+E16)</f>
        <v>7332155.9671311956</v>
      </c>
      <c r="E15" s="74">
        <f>+F15/(1+F16)</f>
        <v>8761926.3807217795</v>
      </c>
      <c r="F15" s="74">
        <f>+G15/(1+G16)</f>
        <v>10058691.485068602</v>
      </c>
      <c r="G15" s="74">
        <f>+H15/(1+H16)</f>
        <v>11265734.463276835</v>
      </c>
      <c r="H15" s="136">
        <v>11964210</v>
      </c>
      <c r="I15" s="136">
        <v>13017400</v>
      </c>
      <c r="J15" s="74">
        <f t="shared" ref="J15:U15" si="4">+I15*(1+J16)</f>
        <v>14058792</v>
      </c>
      <c r="K15" s="74">
        <f t="shared" si="4"/>
        <v>15183495.360000001</v>
      </c>
      <c r="L15" s="74">
        <f t="shared" si="4"/>
        <v>16398174.988800002</v>
      </c>
      <c r="M15" s="74">
        <f t="shared" si="4"/>
        <v>17710028.987904005</v>
      </c>
      <c r="N15" s="74">
        <f t="shared" si="4"/>
        <v>19126831.306936327</v>
      </c>
      <c r="O15" s="74">
        <f t="shared" si="4"/>
        <v>20656977.811491236</v>
      </c>
      <c r="P15" s="74">
        <f t="shared" si="4"/>
        <v>22309536.036410537</v>
      </c>
      <c r="Q15" s="74">
        <f t="shared" si="4"/>
        <v>24094298.919323381</v>
      </c>
      <c r="R15" s="74">
        <f t="shared" si="4"/>
        <v>26021842.832869254</v>
      </c>
      <c r="S15" s="74">
        <f t="shared" si="4"/>
        <v>28103590.259498797</v>
      </c>
      <c r="T15" s="74">
        <f t="shared" si="4"/>
        <v>30351877.480258703</v>
      </c>
      <c r="U15" s="74">
        <f t="shared" si="4"/>
        <v>32780027.678679403</v>
      </c>
      <c r="W15" s="75"/>
    </row>
    <row r="16" spans="2:23" ht="10.15" x14ac:dyDescent="0.2">
      <c r="B16" s="76" t="s">
        <v>86</v>
      </c>
      <c r="C16" s="72"/>
      <c r="D16" s="72"/>
      <c r="E16" s="141">
        <v>0.19500000000000001</v>
      </c>
      <c r="F16" s="141">
        <v>0.14799999999999999</v>
      </c>
      <c r="G16" s="141">
        <v>0.12</v>
      </c>
      <c r="H16" s="141">
        <v>6.2E-2</v>
      </c>
      <c r="I16" s="141">
        <v>8.4000000000000005E-2</v>
      </c>
      <c r="J16" s="78">
        <f t="shared" ref="J16:T16" si="5">+J12*1.6</f>
        <v>8.0000000000000016E-2</v>
      </c>
      <c r="K16" s="78">
        <f t="shared" si="5"/>
        <v>8.0000000000000016E-2</v>
      </c>
      <c r="L16" s="78">
        <f t="shared" si="5"/>
        <v>8.0000000000000016E-2</v>
      </c>
      <c r="M16" s="78">
        <f t="shared" si="5"/>
        <v>8.0000000000000016E-2</v>
      </c>
      <c r="N16" s="78">
        <f t="shared" si="5"/>
        <v>8.0000000000000016E-2</v>
      </c>
      <c r="O16" s="78">
        <f t="shared" si="5"/>
        <v>8.0000000000000016E-2</v>
      </c>
      <c r="P16" s="78">
        <f t="shared" si="5"/>
        <v>8.0000000000000016E-2</v>
      </c>
      <c r="Q16" s="78">
        <f t="shared" si="5"/>
        <v>8.0000000000000016E-2</v>
      </c>
      <c r="R16" s="78">
        <f t="shared" si="5"/>
        <v>8.0000000000000016E-2</v>
      </c>
      <c r="S16" s="78">
        <f t="shared" si="5"/>
        <v>8.0000000000000016E-2</v>
      </c>
      <c r="T16" s="78">
        <f t="shared" si="5"/>
        <v>8.0000000000000016E-2</v>
      </c>
      <c r="U16" s="78">
        <f t="shared" ref="U16" si="6">+U12*1.6</f>
        <v>8.0000000000000016E-2</v>
      </c>
      <c r="V16" s="75"/>
      <c r="W16" s="72"/>
    </row>
    <row r="17" spans="2:23" ht="10.15" x14ac:dyDescent="0.2">
      <c r="B17" s="76" t="s">
        <v>346</v>
      </c>
      <c r="D17" s="154">
        <f t="shared" ref="D17:T17" si="7">IFERROR(D15/D11,"n/a")</f>
        <v>0.21930378220031602</v>
      </c>
      <c r="E17" s="154">
        <f t="shared" si="7"/>
        <v>0.24288046314122119</v>
      </c>
      <c r="F17" s="154">
        <f t="shared" si="7"/>
        <v>0.28539075914649126</v>
      </c>
      <c r="G17" s="154">
        <f t="shared" si="7"/>
        <v>0.28598439013589111</v>
      </c>
      <c r="H17" s="154">
        <f t="shared" si="7"/>
        <v>0.30228552038862866</v>
      </c>
      <c r="I17" s="154">
        <f t="shared" si="7"/>
        <v>0.31097059164296692</v>
      </c>
      <c r="J17" s="154">
        <f t="shared" si="7"/>
        <v>0.31985546568990886</v>
      </c>
      <c r="K17" s="154">
        <f t="shared" si="7"/>
        <v>0.32899419328104912</v>
      </c>
      <c r="L17" s="154">
        <f t="shared" si="7"/>
        <v>0.3383940273747934</v>
      </c>
      <c r="M17" s="154">
        <f t="shared" si="7"/>
        <v>0.34806242815693039</v>
      </c>
      <c r="N17" s="154">
        <f t="shared" si="7"/>
        <v>0.35800706896141415</v>
      </c>
      <c r="O17" s="154">
        <f t="shared" si="7"/>
        <v>0.36823584236031176</v>
      </c>
      <c r="P17" s="154">
        <f t="shared" si="7"/>
        <v>0.37875686642774925</v>
      </c>
      <c r="Q17" s="154">
        <f t="shared" si="7"/>
        <v>0.38957849118282778</v>
      </c>
      <c r="R17" s="154">
        <f t="shared" si="7"/>
        <v>0.4007093052166229</v>
      </c>
      <c r="S17" s="154">
        <f t="shared" si="7"/>
        <v>0.41215814250852645</v>
      </c>
      <c r="T17" s="154">
        <f t="shared" si="7"/>
        <v>0.42393408943734157</v>
      </c>
      <c r="U17" s="154">
        <f t="shared" ref="U17" si="8">IFERROR(U15/U11,"n/a")</f>
        <v>0.43604649199269419</v>
      </c>
    </row>
    <row r="18" spans="2:23" ht="12" x14ac:dyDescent="0.35">
      <c r="B18" s="71"/>
      <c r="D18" s="139"/>
      <c r="E18" s="139"/>
      <c r="F18" s="139"/>
      <c r="G18" s="139"/>
      <c r="H18" s="139"/>
      <c r="I18" s="139"/>
      <c r="J18" s="139"/>
      <c r="K18" s="139"/>
      <c r="L18" s="139"/>
      <c r="M18" s="139"/>
      <c r="N18" s="139"/>
      <c r="O18" s="139"/>
      <c r="P18" s="139"/>
      <c r="Q18" s="139"/>
      <c r="R18" s="139"/>
      <c r="S18" s="139"/>
      <c r="T18" s="139"/>
      <c r="U18" s="139"/>
    </row>
    <row r="19" spans="2:23" x14ac:dyDescent="0.2">
      <c r="B19" s="71" t="s">
        <v>321</v>
      </c>
      <c r="D19" s="73">
        <f>+'Historical Financials'!AQ239*1000</f>
        <v>282960.00000000006</v>
      </c>
      <c r="E19" s="73">
        <f>+'Historical Financials'!AR239*1000</f>
        <v>603960</v>
      </c>
      <c r="F19" s="73">
        <f>+'Historical Financials'!AS239*1000</f>
        <v>1004632.4999999998</v>
      </c>
      <c r="G19" s="73">
        <f>+'Historical Financials'!AT239*1000</f>
        <v>1492323.0885635172</v>
      </c>
      <c r="H19" s="73">
        <f>+'Historical Financials'!AU239*1000</f>
        <v>1815609.2337434539</v>
      </c>
      <c r="I19" s="73">
        <f>+'Historical Financials'!AV239*1000</f>
        <v>2265792.1406162223</v>
      </c>
      <c r="J19" s="73">
        <f>+'Historical Financials'!AW239*1000</f>
        <v>2683292.0333148995</v>
      </c>
      <c r="K19" s="73">
        <f>+'Historical Financials'!AX239*1000</f>
        <v>3077454.5878463895</v>
      </c>
      <c r="L19" s="74">
        <f t="shared" ref="L19:T19" si="9">+L23/L25</f>
        <v>3529188.8927420164</v>
      </c>
      <c r="M19" s="74">
        <f t="shared" si="9"/>
        <v>4019569.1473185467</v>
      </c>
      <c r="N19" s="74">
        <f t="shared" si="9"/>
        <v>4548087.6319249952</v>
      </c>
      <c r="O19" s="74">
        <f t="shared" si="9"/>
        <v>5113787.2394059785</v>
      </c>
      <c r="P19" s="74">
        <f t="shared" si="9"/>
        <v>5715275.2319031814</v>
      </c>
      <c r="Q19" s="74">
        <f t="shared" si="9"/>
        <v>6350746.6176767312</v>
      </c>
      <c r="R19" s="74">
        <f t="shared" si="9"/>
        <v>7018015.9936141334</v>
      </c>
      <c r="S19" s="74">
        <f t="shared" si="9"/>
        <v>7714556.4842632404</v>
      </c>
      <c r="T19" s="74">
        <f t="shared" si="9"/>
        <v>8437544.2725339159</v>
      </c>
      <c r="U19" s="74">
        <f t="shared" ref="U19" si="10">+U23/U25</f>
        <v>9183907.1576689463</v>
      </c>
    </row>
    <row r="20" spans="2:23" ht="10.15" x14ac:dyDescent="0.2">
      <c r="B20" s="76" t="s">
        <v>86</v>
      </c>
      <c r="C20" s="72"/>
      <c r="D20" s="72"/>
      <c r="E20" s="77">
        <f t="shared" ref="E20:U20" si="11">+IFERROR(E19/D19-1,"n/a")</f>
        <v>1.1344359626802372</v>
      </c>
      <c r="F20" s="77">
        <f t="shared" si="11"/>
        <v>0.66340900059606556</v>
      </c>
      <c r="G20" s="77">
        <f t="shared" si="11"/>
        <v>0.48544177951989176</v>
      </c>
      <c r="H20" s="77">
        <f t="shared" si="11"/>
        <v>0.21663281072138729</v>
      </c>
      <c r="I20" s="77">
        <f t="shared" si="11"/>
        <v>0.24795143057549551</v>
      </c>
      <c r="J20" s="77">
        <f t="shared" si="11"/>
        <v>0.18426222124026381</v>
      </c>
      <c r="K20" s="77">
        <f t="shared" si="11"/>
        <v>0.14689513837394252</v>
      </c>
      <c r="L20" s="77">
        <f t="shared" si="11"/>
        <v>0.14678829272725413</v>
      </c>
      <c r="M20" s="77">
        <f t="shared" si="11"/>
        <v>0.13894984640380859</v>
      </c>
      <c r="N20" s="77">
        <f t="shared" si="11"/>
        <v>0.13148635220245519</v>
      </c>
      <c r="O20" s="77">
        <f t="shared" si="11"/>
        <v>0.12438186184234734</v>
      </c>
      <c r="P20" s="77">
        <f t="shared" si="11"/>
        <v>0.11762084817730356</v>
      </c>
      <c r="Q20" s="77">
        <f t="shared" si="11"/>
        <v>0.11118823853421644</v>
      </c>
      <c r="R20" s="77">
        <f t="shared" si="11"/>
        <v>0.10506943767526766</v>
      </c>
      <c r="S20" s="77">
        <f t="shared" si="11"/>
        <v>9.9250342444774375E-2</v>
      </c>
      <c r="T20" s="77">
        <f t="shared" si="11"/>
        <v>9.3717349758924318E-2</v>
      </c>
      <c r="U20" s="77">
        <f t="shared" si="11"/>
        <v>8.8457359277462677E-2</v>
      </c>
      <c r="V20" s="77"/>
      <c r="W20" s="77"/>
    </row>
    <row r="21" spans="2:23" ht="10.15" x14ac:dyDescent="0.2">
      <c r="B21" s="76" t="s">
        <v>350</v>
      </c>
      <c r="D21" s="154">
        <f>IFERROR(D19/D15,"n/a")</f>
        <v>3.8591650432486906E-2</v>
      </c>
      <c r="E21" s="154">
        <f>IFERROR(E19/E15,"n/a")</f>
        <v>6.893004731571914E-2</v>
      </c>
      <c r="F21" s="154">
        <f>IFERROR(F19/F15,"n/a")</f>
        <v>9.987705672167238E-2</v>
      </c>
      <c r="G21" s="154">
        <f>IFERROR(G19/G15,"n/a")</f>
        <v>0.13246567220522337</v>
      </c>
      <c r="H21" s="154">
        <f t="shared" ref="H21:T21" si="12">+H19/H15</f>
        <v>0.15175337391632659</v>
      </c>
      <c r="I21" s="154">
        <f t="shared" si="12"/>
        <v>0.1740587322058339</v>
      </c>
      <c r="J21" s="154">
        <f t="shared" si="12"/>
        <v>0.19086220447068991</v>
      </c>
      <c r="K21" s="154">
        <f t="shared" si="12"/>
        <v>0.20268419852478484</v>
      </c>
      <c r="L21" s="154">
        <f t="shared" si="12"/>
        <v>0.21521839443428686</v>
      </c>
      <c r="M21" s="154">
        <f t="shared" si="12"/>
        <v>0.22696570118907894</v>
      </c>
      <c r="N21" s="154">
        <f t="shared" si="12"/>
        <v>0.23778573454954013</v>
      </c>
      <c r="O21" s="154">
        <f t="shared" si="12"/>
        <v>0.24755737678922413</v>
      </c>
      <c r="P21" s="154">
        <f t="shared" si="12"/>
        <v>0.256180819833075</v>
      </c>
      <c r="Q21" s="154">
        <f t="shared" si="12"/>
        <v>0.26357880920052407</v>
      </c>
      <c r="R21" s="154">
        <f t="shared" si="12"/>
        <v>0.26969711709846278</v>
      </c>
      <c r="S21" s="154">
        <f t="shared" si="12"/>
        <v>0.27450430400634596</v>
      </c>
      <c r="T21" s="154">
        <f t="shared" si="12"/>
        <v>0.27799085173633215</v>
      </c>
      <c r="U21" s="154">
        <f t="shared" ref="U21" si="13">+U19/U15</f>
        <v>0.28016776702242657</v>
      </c>
      <c r="V21" s="145"/>
    </row>
    <row r="22" spans="2:23" ht="12" x14ac:dyDescent="0.35">
      <c r="B22" s="71"/>
      <c r="D22" s="139"/>
      <c r="E22" s="139"/>
      <c r="F22" s="139"/>
      <c r="G22" s="139"/>
      <c r="H22" s="139"/>
      <c r="I22" s="139"/>
      <c r="J22" s="139"/>
      <c r="K22" s="139"/>
      <c r="L22" s="139"/>
      <c r="M22" s="139"/>
      <c r="N22" s="139"/>
      <c r="O22" s="139"/>
      <c r="P22" s="139"/>
      <c r="Q22" s="139"/>
      <c r="R22" s="139"/>
      <c r="S22" s="139"/>
      <c r="T22" s="139"/>
      <c r="U22" s="139"/>
      <c r="V22" s="145"/>
    </row>
    <row r="23" spans="2:23" x14ac:dyDescent="0.2">
      <c r="B23" s="71" t="s">
        <v>322</v>
      </c>
      <c r="D23" s="73">
        <f>+'Historical Financials'!AQ217*1000</f>
        <v>471600</v>
      </c>
      <c r="E23" s="73">
        <f>+'Historical Financials'!AR217*1000</f>
        <v>1006600</v>
      </c>
      <c r="F23" s="73">
        <f>+'Historical Financials'!AS217*1000</f>
        <v>1667600</v>
      </c>
      <c r="G23" s="73">
        <f>+'Historical Financials'!AT217*1000</f>
        <v>2441724.4067552658</v>
      </c>
      <c r="H23" s="73">
        <f>+'Historical Financials'!AU217*1000</f>
        <v>2963797.7560784332</v>
      </c>
      <c r="I23" s="73">
        <f>+'Historical Financials'!AV217*1000</f>
        <v>3701315.2687979992</v>
      </c>
      <c r="J23" s="73">
        <f>+'Historical Financials'!AW217*1000</f>
        <v>4390474.4627234116</v>
      </c>
      <c r="K23" s="73">
        <f>+'Historical Financials'!AX217*1000</f>
        <v>5039244.1609957516</v>
      </c>
      <c r="L23" s="74">
        <f t="shared" ref="L23:T23" si="14">+L28-L27</f>
        <v>5778946.2080241013</v>
      </c>
      <c r="M23" s="74">
        <f t="shared" si="14"/>
        <v>6581929.8960049227</v>
      </c>
      <c r="N23" s="74">
        <f t="shared" si="14"/>
        <v>7447363.8484828938</v>
      </c>
      <c r="O23" s="74">
        <f t="shared" si="14"/>
        <v>8373680.8297745856</v>
      </c>
      <c r="P23" s="74">
        <f t="shared" si="14"/>
        <v>9358600.2713386994</v>
      </c>
      <c r="Q23" s="74">
        <f t="shared" si="14"/>
        <v>10399166.550654689</v>
      </c>
      <c r="R23" s="74">
        <f t="shared" si="14"/>
        <v>11491801.132423431</v>
      </c>
      <c r="S23" s="74">
        <f t="shared" si="14"/>
        <v>12632366.330123702</v>
      </c>
      <c r="T23" s="74">
        <f t="shared" si="14"/>
        <v>13816238.223766765</v>
      </c>
      <c r="U23" s="74">
        <f t="shared" ref="U23" si="15">+U28-U27</f>
        <v>15038386.172189513</v>
      </c>
    </row>
    <row r="24" spans="2:23" ht="10.15" x14ac:dyDescent="0.2">
      <c r="B24" s="76" t="s">
        <v>86</v>
      </c>
      <c r="C24" s="72"/>
      <c r="D24" s="72"/>
      <c r="E24" s="77">
        <f t="shared" ref="E24:U24" si="16">+IFERROR(E23/D23-1,"n/a")</f>
        <v>1.1344359626802376</v>
      </c>
      <c r="F24" s="77">
        <f t="shared" si="16"/>
        <v>0.6566660043711503</v>
      </c>
      <c r="G24" s="77">
        <f t="shared" si="16"/>
        <v>0.46421468383021458</v>
      </c>
      <c r="H24" s="77">
        <f t="shared" ref="H24" si="17">+IFERROR(H23/G23-1,"n/a")</f>
        <v>0.21381338036299313</v>
      </c>
      <c r="I24" s="77">
        <f t="shared" ref="I24" si="18">+IFERROR(I23/H23-1,"n/a")</f>
        <v>0.24884205111735302</v>
      </c>
      <c r="J24" s="77">
        <f t="shared" ref="J24:K24" si="19">+IFERROR(J23/I23-1,"n/a")</f>
        <v>0.18619305405702891</v>
      </c>
      <c r="K24" s="77">
        <f t="shared" si="19"/>
        <v>0.14776755992560942</v>
      </c>
      <c r="L24" s="77">
        <f t="shared" si="16"/>
        <v>0.14678829272725391</v>
      </c>
      <c r="M24" s="77">
        <f t="shared" si="16"/>
        <v>0.13894984640380859</v>
      </c>
      <c r="N24" s="77">
        <f t="shared" si="16"/>
        <v>0.13148635220245497</v>
      </c>
      <c r="O24" s="77">
        <f t="shared" si="16"/>
        <v>0.12438186184234734</v>
      </c>
      <c r="P24" s="77">
        <f t="shared" si="16"/>
        <v>0.11762084817730356</v>
      </c>
      <c r="Q24" s="77">
        <f t="shared" si="16"/>
        <v>0.11118823853421644</v>
      </c>
      <c r="R24" s="77">
        <f t="shared" si="16"/>
        <v>0.10506943767526766</v>
      </c>
      <c r="S24" s="77">
        <f t="shared" si="16"/>
        <v>9.9250342444774375E-2</v>
      </c>
      <c r="T24" s="77">
        <f t="shared" si="16"/>
        <v>9.3717349758924318E-2</v>
      </c>
      <c r="U24" s="77">
        <f t="shared" si="16"/>
        <v>8.8457359277462677E-2</v>
      </c>
      <c r="V24" s="77"/>
      <c r="W24" s="77"/>
    </row>
    <row r="25" spans="2:23" x14ac:dyDescent="0.2">
      <c r="B25" s="76" t="s">
        <v>347</v>
      </c>
      <c r="D25" s="77">
        <f>IFERROR(D23/D19,"n/a")</f>
        <v>1.6666666666666663</v>
      </c>
      <c r="E25" s="77">
        <f>IFERROR(E23/E19,"n/a")</f>
        <v>1.6666666666666667</v>
      </c>
      <c r="F25" s="77">
        <f>IFERROR(F23/F19,"n/a")</f>
        <v>1.6599104647719443</v>
      </c>
      <c r="G25" s="77">
        <f>IFERROR(G23/G19,"n/a")</f>
        <v>1.6361901959887419</v>
      </c>
      <c r="H25" s="77">
        <f t="shared" ref="H25:J25" si="20">IFERROR(H23/H19,"n/a")</f>
        <v>1.6323984814549686</v>
      </c>
      <c r="I25" s="77">
        <f t="shared" si="20"/>
        <v>1.6335634687969927</v>
      </c>
      <c r="J25" s="77">
        <f t="shared" si="20"/>
        <v>1.6362268468033589</v>
      </c>
      <c r="K25" s="77">
        <f t="shared" ref="K25" si="21">IFERROR(K23/K19,"n/a")</f>
        <v>1.6374714937783135</v>
      </c>
      <c r="L25" s="78">
        <f t="shared" ref="L25:U25" si="22">+K25</f>
        <v>1.6374714937783135</v>
      </c>
      <c r="M25" s="78">
        <f t="shared" si="22"/>
        <v>1.6374714937783135</v>
      </c>
      <c r="N25" s="78">
        <f t="shared" si="22"/>
        <v>1.6374714937783135</v>
      </c>
      <c r="O25" s="78">
        <f t="shared" si="22"/>
        <v>1.6374714937783135</v>
      </c>
      <c r="P25" s="78">
        <f t="shared" si="22"/>
        <v>1.6374714937783135</v>
      </c>
      <c r="Q25" s="78">
        <f t="shared" si="22"/>
        <v>1.6374714937783135</v>
      </c>
      <c r="R25" s="78">
        <f t="shared" si="22"/>
        <v>1.6374714937783135</v>
      </c>
      <c r="S25" s="78">
        <f t="shared" si="22"/>
        <v>1.6374714937783135</v>
      </c>
      <c r="T25" s="78">
        <f t="shared" si="22"/>
        <v>1.6374714937783135</v>
      </c>
      <c r="U25" s="78">
        <f t="shared" si="22"/>
        <v>1.6374714937783135</v>
      </c>
    </row>
    <row r="26" spans="2:23" ht="12" x14ac:dyDescent="0.35">
      <c r="B26" s="71"/>
      <c r="D26" s="139"/>
      <c r="E26" s="139"/>
      <c r="F26" s="139"/>
      <c r="G26" s="139"/>
      <c r="H26" s="140"/>
      <c r="I26" s="140"/>
      <c r="J26" s="140"/>
      <c r="K26" s="140"/>
      <c r="L26" s="140"/>
      <c r="M26" s="140"/>
      <c r="N26" s="140"/>
      <c r="O26" s="140"/>
      <c r="P26" s="140"/>
      <c r="Q26" s="140"/>
      <c r="R26" s="140"/>
      <c r="S26" s="140"/>
      <c r="T26" s="140"/>
      <c r="U26" s="140"/>
    </row>
    <row r="27" spans="2:23" ht="12" x14ac:dyDescent="0.35">
      <c r="B27" s="71" t="s">
        <v>323</v>
      </c>
      <c r="D27" s="101">
        <f>-D36</f>
        <v>0</v>
      </c>
      <c r="E27" s="101">
        <f>-E36</f>
        <v>0</v>
      </c>
      <c r="F27" s="101">
        <f t="shared" ref="F27:T27" si="23">-F36</f>
        <v>-5750.6710000000003</v>
      </c>
      <c r="G27" s="101">
        <f t="shared" si="23"/>
        <v>-7246.0879999999997</v>
      </c>
      <c r="H27" s="101">
        <f t="shared" si="23"/>
        <v>-209.17099999999999</v>
      </c>
      <c r="I27" s="101">
        <f t="shared" si="23"/>
        <v>0</v>
      </c>
      <c r="J27" s="101">
        <f t="shared" si="23"/>
        <v>0</v>
      </c>
      <c r="K27" s="101">
        <f t="shared" ref="K27" si="24">-K36</f>
        <v>0</v>
      </c>
      <c r="L27" s="101">
        <f t="shared" si="23"/>
        <v>0</v>
      </c>
      <c r="M27" s="101">
        <f t="shared" si="23"/>
        <v>0</v>
      </c>
      <c r="N27" s="101">
        <f t="shared" si="23"/>
        <v>0</v>
      </c>
      <c r="O27" s="101">
        <f t="shared" si="23"/>
        <v>0</v>
      </c>
      <c r="P27" s="101">
        <f t="shared" si="23"/>
        <v>0</v>
      </c>
      <c r="Q27" s="101">
        <f t="shared" si="23"/>
        <v>0</v>
      </c>
      <c r="R27" s="101">
        <f t="shared" si="23"/>
        <v>0</v>
      </c>
      <c r="S27" s="101">
        <f t="shared" si="23"/>
        <v>0</v>
      </c>
      <c r="T27" s="101">
        <f t="shared" si="23"/>
        <v>0</v>
      </c>
      <c r="U27" s="101">
        <f t="shared" ref="U27" si="25">-U36</f>
        <v>0</v>
      </c>
    </row>
    <row r="28" spans="2:23" ht="10.15" x14ac:dyDescent="0.2">
      <c r="B28" s="132" t="s">
        <v>324</v>
      </c>
      <c r="D28" s="137">
        <f>+D23+D27</f>
        <v>471600</v>
      </c>
      <c r="E28" s="137">
        <f>+E23+E27</f>
        <v>1006600</v>
      </c>
      <c r="F28" s="137">
        <f t="shared" ref="F28:J28" si="26">+F23+F27</f>
        <v>1661849.3289999999</v>
      </c>
      <c r="G28" s="137">
        <f t="shared" si="26"/>
        <v>2434478.3187552658</v>
      </c>
      <c r="H28" s="137">
        <f t="shared" si="26"/>
        <v>2963588.5850784332</v>
      </c>
      <c r="I28" s="137">
        <f t="shared" si="26"/>
        <v>3701315.2687979992</v>
      </c>
      <c r="J28" s="137">
        <f t="shared" si="26"/>
        <v>4390474.4627234116</v>
      </c>
      <c r="K28" s="137">
        <f t="shared" ref="K28" si="27">+K23+K27</f>
        <v>5039244.1609957516</v>
      </c>
      <c r="L28" s="137">
        <f t="shared" ref="L28:T28" si="28">+L31/L33</f>
        <v>5778946.2080241013</v>
      </c>
      <c r="M28" s="137">
        <f t="shared" si="28"/>
        <v>6581929.8960049227</v>
      </c>
      <c r="N28" s="137">
        <f t="shared" si="28"/>
        <v>7447363.8484828938</v>
      </c>
      <c r="O28" s="137">
        <f t="shared" si="28"/>
        <v>8373680.8297745856</v>
      </c>
      <c r="P28" s="137">
        <f t="shared" si="28"/>
        <v>9358600.2713386994</v>
      </c>
      <c r="Q28" s="137">
        <f t="shared" si="28"/>
        <v>10399166.550654689</v>
      </c>
      <c r="R28" s="137">
        <f t="shared" si="28"/>
        <v>11491801.132423431</v>
      </c>
      <c r="S28" s="137">
        <f t="shared" si="28"/>
        <v>12632366.330123702</v>
      </c>
      <c r="T28" s="137">
        <f t="shared" si="28"/>
        <v>13816238.223766765</v>
      </c>
      <c r="U28" s="137">
        <f t="shared" ref="U28" si="29">+U31/U33</f>
        <v>15038386.172189513</v>
      </c>
    </row>
    <row r="29" spans="2:23" ht="10.15" x14ac:dyDescent="0.2">
      <c r="B29" s="92" t="s">
        <v>86</v>
      </c>
      <c r="C29" s="72"/>
      <c r="D29" s="72"/>
      <c r="E29" s="77">
        <f t="shared" ref="E29:U29" si="30">+IFERROR(E28/D28-1,"n/a")</f>
        <v>1.1344359626802376</v>
      </c>
      <c r="F29" s="77">
        <f t="shared" si="30"/>
        <v>0.65095303894297629</v>
      </c>
      <c r="G29" s="77">
        <f t="shared" si="30"/>
        <v>0.46492120330799613</v>
      </c>
      <c r="H29" s="77">
        <f t="shared" si="30"/>
        <v>0.21734030746829491</v>
      </c>
      <c r="I29" s="77">
        <f t="shared" si="30"/>
        <v>0.24893019477602074</v>
      </c>
      <c r="J29" s="77">
        <f t="shared" si="30"/>
        <v>0.18619305405702891</v>
      </c>
      <c r="K29" s="77">
        <f t="shared" si="30"/>
        <v>0.14776755992560942</v>
      </c>
      <c r="L29" s="77">
        <f t="shared" si="30"/>
        <v>0.14678829272725391</v>
      </c>
      <c r="M29" s="77">
        <f t="shared" si="30"/>
        <v>0.13894984640380859</v>
      </c>
      <c r="N29" s="77">
        <f t="shared" si="30"/>
        <v>0.13148635220245497</v>
      </c>
      <c r="O29" s="77">
        <f t="shared" si="30"/>
        <v>0.12438186184234734</v>
      </c>
      <c r="P29" s="77">
        <f t="shared" si="30"/>
        <v>0.11762084817730356</v>
      </c>
      <c r="Q29" s="77">
        <f t="shared" si="30"/>
        <v>0.11118823853421644</v>
      </c>
      <c r="R29" s="77">
        <f t="shared" si="30"/>
        <v>0.10506943767526766</v>
      </c>
      <c r="S29" s="77">
        <f t="shared" si="30"/>
        <v>9.9250342444774375E-2</v>
      </c>
      <c r="T29" s="77">
        <f t="shared" si="30"/>
        <v>9.3717349758924318E-2</v>
      </c>
      <c r="U29" s="77">
        <f t="shared" si="30"/>
        <v>8.8457359277462677E-2</v>
      </c>
      <c r="V29" s="77"/>
      <c r="W29" s="77"/>
    </row>
    <row r="30" spans="2:23" ht="10.15" x14ac:dyDescent="0.2">
      <c r="B30" s="71"/>
      <c r="D30" s="137"/>
      <c r="E30" s="137"/>
      <c r="F30" s="137"/>
      <c r="G30" s="137"/>
      <c r="H30" s="137"/>
      <c r="I30" s="137"/>
      <c r="J30" s="137"/>
      <c r="K30" s="137"/>
      <c r="L30" s="137"/>
      <c r="M30" s="137"/>
      <c r="N30" s="137"/>
      <c r="O30" s="137"/>
      <c r="P30" s="137"/>
      <c r="Q30" s="137"/>
      <c r="R30" s="137"/>
      <c r="S30" s="137"/>
      <c r="T30" s="137"/>
      <c r="U30" s="137"/>
    </row>
    <row r="31" spans="2:23" ht="10.15" x14ac:dyDescent="0.2">
      <c r="B31" s="71" t="s">
        <v>315</v>
      </c>
      <c r="D31" s="74">
        <f>+D35</f>
        <v>13119.990000000002</v>
      </c>
      <c r="E31" s="74">
        <f>+E35</f>
        <v>30141.885999999999</v>
      </c>
      <c r="F31" s="74">
        <f t="shared" ref="F31:T31" si="31">+F35</f>
        <v>53741.194000000003</v>
      </c>
      <c r="G31" s="74">
        <f t="shared" si="31"/>
        <v>86703.850999999995</v>
      </c>
      <c r="H31" s="74">
        <f t="shared" si="31"/>
        <v>129913.15793149809</v>
      </c>
      <c r="I31" s="74">
        <f t="shared" si="31"/>
        <v>196165.52928097005</v>
      </c>
      <c r="J31" s="74">
        <f t="shared" si="31"/>
        <v>244391.54123328999</v>
      </c>
      <c r="K31" s="74">
        <f t="shared" ref="K31" si="32">+K35</f>
        <v>272861.63328127441</v>
      </c>
      <c r="L31" s="74">
        <f t="shared" si="31"/>
        <v>312914.52658140275</v>
      </c>
      <c r="M31" s="74">
        <f t="shared" si="31"/>
        <v>356393.95198740915</v>
      </c>
      <c r="N31" s="74">
        <f t="shared" si="31"/>
        <v>403254.89268125047</v>
      </c>
      <c r="O31" s="74">
        <f t="shared" si="31"/>
        <v>453412.4870299804</v>
      </c>
      <c r="P31" s="74">
        <f t="shared" si="31"/>
        <v>506743.24832862732</v>
      </c>
      <c r="Q31" s="74">
        <f t="shared" si="31"/>
        <v>563087.13749939436</v>
      </c>
      <c r="R31" s="74">
        <f t="shared" si="31"/>
        <v>622250.38639863196</v>
      </c>
      <c r="S31" s="74">
        <f t="shared" si="31"/>
        <v>684008.95033508935</v>
      </c>
      <c r="T31" s="74">
        <f t="shared" si="31"/>
        <v>748112.45637187758</v>
      </c>
      <c r="U31" s="74">
        <f t="shared" ref="U31" si="33">+U35</f>
        <v>814288.50870510982</v>
      </c>
      <c r="V31" s="143"/>
    </row>
    <row r="32" spans="2:23" ht="10.15" x14ac:dyDescent="0.2">
      <c r="B32" s="76" t="s">
        <v>86</v>
      </c>
      <c r="C32" s="72"/>
      <c r="D32" s="72"/>
      <c r="E32" s="77">
        <f t="shared" ref="E32:U32" si="34">+IFERROR(E31/D31-1,"n/a")</f>
        <v>1.2974015986292669</v>
      </c>
      <c r="F32" s="77">
        <f t="shared" si="34"/>
        <v>0.78294065606909946</v>
      </c>
      <c r="G32" s="77">
        <f t="shared" si="34"/>
        <v>0.6133592230942988</v>
      </c>
      <c r="H32" s="77">
        <f t="shared" si="34"/>
        <v>0.49835510687406614</v>
      </c>
      <c r="I32" s="77">
        <f t="shared" si="34"/>
        <v>0.50997429670985417</v>
      </c>
      <c r="J32" s="77">
        <f t="shared" si="34"/>
        <v>0.24584345745701985</v>
      </c>
      <c r="K32" s="77">
        <f t="shared" si="34"/>
        <v>0.11649377021935292</v>
      </c>
      <c r="L32" s="77">
        <f t="shared" si="34"/>
        <v>0.14678829272725391</v>
      </c>
      <c r="M32" s="77">
        <f t="shared" si="34"/>
        <v>0.13894984640380859</v>
      </c>
      <c r="N32" s="77">
        <f t="shared" si="34"/>
        <v>0.13148635220245497</v>
      </c>
      <c r="O32" s="77">
        <f t="shared" si="34"/>
        <v>0.12438186184234734</v>
      </c>
      <c r="P32" s="77">
        <f t="shared" si="34"/>
        <v>0.11762084817730356</v>
      </c>
      <c r="Q32" s="77">
        <f t="shared" si="34"/>
        <v>0.11118823853421644</v>
      </c>
      <c r="R32" s="77">
        <f t="shared" si="34"/>
        <v>0.10506943767526788</v>
      </c>
      <c r="S32" s="77">
        <f t="shared" si="34"/>
        <v>9.9250342444774375E-2</v>
      </c>
      <c r="T32" s="77">
        <f t="shared" si="34"/>
        <v>9.3717349758924318E-2</v>
      </c>
      <c r="U32" s="77">
        <f t="shared" si="34"/>
        <v>8.8457359277462677E-2</v>
      </c>
      <c r="V32" s="75"/>
      <c r="W32" s="72"/>
    </row>
    <row r="33" spans="2:23" x14ac:dyDescent="0.2">
      <c r="B33" s="76" t="s">
        <v>348</v>
      </c>
      <c r="D33" s="153">
        <f t="shared" ref="D33:J33" si="35">IFERROR(D31/D28,"n/a")</f>
        <v>2.782016539440204E-2</v>
      </c>
      <c r="E33" s="154">
        <f t="shared" si="35"/>
        <v>2.9944253924100932E-2</v>
      </c>
      <c r="F33" s="154">
        <f t="shared" si="35"/>
        <v>3.2338186779145732E-2</v>
      </c>
      <c r="G33" s="154">
        <f t="shared" si="35"/>
        <v>3.5614961255572467E-2</v>
      </c>
      <c r="H33" s="154">
        <f t="shared" si="35"/>
        <v>4.3836434849832524E-2</v>
      </c>
      <c r="I33" s="154">
        <f t="shared" si="35"/>
        <v>5.2998870681090271E-2</v>
      </c>
      <c r="J33" s="154">
        <f t="shared" si="35"/>
        <v>5.566403888879333E-2</v>
      </c>
      <c r="K33" s="154">
        <f t="shared" ref="K33" si="36">IFERROR(K31/K28,"n/a")</f>
        <v>5.4147333322971419E-2</v>
      </c>
      <c r="L33" s="85">
        <f>+K33</f>
        <v>5.4147333322971419E-2</v>
      </c>
      <c r="M33" s="85">
        <f t="shared" ref="M33:U33" si="37">+L33</f>
        <v>5.4147333322971419E-2</v>
      </c>
      <c r="N33" s="85">
        <f t="shared" si="37"/>
        <v>5.4147333322971419E-2</v>
      </c>
      <c r="O33" s="85">
        <f t="shared" si="37"/>
        <v>5.4147333322971419E-2</v>
      </c>
      <c r="P33" s="85">
        <f t="shared" si="37"/>
        <v>5.4147333322971419E-2</v>
      </c>
      <c r="Q33" s="85">
        <f t="shared" si="37"/>
        <v>5.4147333322971419E-2</v>
      </c>
      <c r="R33" s="85">
        <f t="shared" si="37"/>
        <v>5.4147333322971419E-2</v>
      </c>
      <c r="S33" s="85">
        <f t="shared" si="37"/>
        <v>5.4147333322971419E-2</v>
      </c>
      <c r="T33" s="85">
        <f t="shared" si="37"/>
        <v>5.4147333322971419E-2</v>
      </c>
      <c r="U33" s="85">
        <f t="shared" si="37"/>
        <v>5.4147333322971419E-2</v>
      </c>
    </row>
    <row r="34" spans="2:23" ht="10.15" x14ac:dyDescent="0.2">
      <c r="B34" s="132"/>
      <c r="D34" s="73"/>
      <c r="E34" s="73"/>
      <c r="F34" s="73"/>
      <c r="G34" s="73"/>
      <c r="H34" s="73"/>
      <c r="I34" s="73"/>
      <c r="J34" s="73"/>
      <c r="K34" s="73"/>
      <c r="L34" s="73"/>
      <c r="M34" s="73"/>
      <c r="N34" s="73"/>
      <c r="O34" s="73"/>
      <c r="P34" s="73"/>
      <c r="Q34" s="73"/>
      <c r="R34" s="73"/>
      <c r="S34" s="73"/>
      <c r="T34" s="73"/>
      <c r="U34" s="73"/>
      <c r="V34" s="143"/>
    </row>
    <row r="35" spans="2:23" ht="10.15" x14ac:dyDescent="0.2">
      <c r="B35" s="71" t="s">
        <v>315</v>
      </c>
      <c r="D35" s="74">
        <f>+D37-D36</f>
        <v>13119.990000000002</v>
      </c>
      <c r="E35" s="74">
        <f>+E37-E36</f>
        <v>30141.885999999999</v>
      </c>
      <c r="F35" s="74">
        <f t="shared" ref="F35:T35" si="38">+F37-F36</f>
        <v>53741.194000000003</v>
      </c>
      <c r="G35" s="74">
        <f t="shared" si="38"/>
        <v>86703.850999999995</v>
      </c>
      <c r="H35" s="74">
        <f t="shared" si="38"/>
        <v>129913.15793149809</v>
      </c>
      <c r="I35" s="74">
        <f t="shared" si="38"/>
        <v>196165.52928097005</v>
      </c>
      <c r="J35" s="74">
        <f t="shared" si="38"/>
        <v>244391.54123328999</v>
      </c>
      <c r="K35" s="74">
        <f t="shared" ref="K35" si="39">+K37-K36</f>
        <v>272861.63328127441</v>
      </c>
      <c r="L35" s="74">
        <f t="shared" si="38"/>
        <v>312914.52658140275</v>
      </c>
      <c r="M35" s="74">
        <f t="shared" si="38"/>
        <v>356393.95198740915</v>
      </c>
      <c r="N35" s="74">
        <f t="shared" si="38"/>
        <v>403254.89268125047</v>
      </c>
      <c r="O35" s="74">
        <f t="shared" si="38"/>
        <v>453412.4870299804</v>
      </c>
      <c r="P35" s="74">
        <f t="shared" si="38"/>
        <v>506743.24832862732</v>
      </c>
      <c r="Q35" s="74">
        <f t="shared" si="38"/>
        <v>563087.13749939436</v>
      </c>
      <c r="R35" s="74">
        <f t="shared" si="38"/>
        <v>622250.38639863196</v>
      </c>
      <c r="S35" s="74">
        <f t="shared" si="38"/>
        <v>684008.95033508935</v>
      </c>
      <c r="T35" s="74">
        <f t="shared" si="38"/>
        <v>748112.45637187758</v>
      </c>
      <c r="U35" s="74">
        <f t="shared" ref="U35" si="40">+U37-U36</f>
        <v>814288.50870510982</v>
      </c>
      <c r="V35" s="143"/>
    </row>
    <row r="36" spans="2:23" ht="12" x14ac:dyDescent="0.35">
      <c r="B36" s="71" t="s">
        <v>316</v>
      </c>
      <c r="D36" s="88">
        <f>+'Simple Model - Case 1'!D12</f>
        <v>0</v>
      </c>
      <c r="E36" s="88">
        <f>+'Simple Model - Case 1'!E12</f>
        <v>0</v>
      </c>
      <c r="F36" s="88">
        <f>+'Simple Model - Case 1'!F12</f>
        <v>5750.6710000000003</v>
      </c>
      <c r="G36" s="88">
        <f>+'Simple Model - Case 1'!G12</f>
        <v>7246.0879999999997</v>
      </c>
      <c r="H36" s="88">
        <f>+'Simple Model - Case 1'!H12</f>
        <v>209.17099999999999</v>
      </c>
      <c r="I36" s="88">
        <f>+'Simple Model - Case 1'!I12</f>
        <v>0</v>
      </c>
      <c r="J36" s="88">
        <f>+'Simple Model - Case 1'!J12</f>
        <v>0</v>
      </c>
      <c r="K36" s="88">
        <f>+'Simple Model - Case 1'!K12</f>
        <v>0</v>
      </c>
      <c r="L36" s="88">
        <f>+'Simple Model - Case 1'!L12</f>
        <v>0</v>
      </c>
      <c r="M36" s="88">
        <f>+'Simple Model - Case 1'!M12</f>
        <v>0</v>
      </c>
      <c r="N36" s="88">
        <f>+'Simple Model - Case 1'!N12</f>
        <v>0</v>
      </c>
      <c r="O36" s="88">
        <f>+'Simple Model - Case 1'!O12</f>
        <v>0</v>
      </c>
      <c r="P36" s="88">
        <f>+'Simple Model - Case 1'!P12</f>
        <v>0</v>
      </c>
      <c r="Q36" s="88">
        <f>+'Simple Model - Case 1'!Q12</f>
        <v>0</v>
      </c>
      <c r="R36" s="88">
        <f>+'Simple Model - Case 1'!R12</f>
        <v>0</v>
      </c>
      <c r="S36" s="88">
        <f>+'Simple Model - Case 1'!S12</f>
        <v>0</v>
      </c>
      <c r="T36" s="88">
        <f>+'Simple Model - Case 1'!T12</f>
        <v>0</v>
      </c>
      <c r="U36" s="88">
        <f>+'Simple Model - Case 1'!U12</f>
        <v>0</v>
      </c>
    </row>
    <row r="37" spans="2:23" ht="10.15" x14ac:dyDescent="0.2">
      <c r="B37" s="132" t="s">
        <v>317</v>
      </c>
      <c r="D37" s="74">
        <f>+D44</f>
        <v>13119.990000000002</v>
      </c>
      <c r="E37" s="74">
        <f>+E44</f>
        <v>30141.885999999999</v>
      </c>
      <c r="F37" s="74">
        <f t="shared" ref="F37:T37" si="41">+F44</f>
        <v>59491.865000000005</v>
      </c>
      <c r="G37" s="74">
        <f t="shared" si="41"/>
        <v>93949.938999999998</v>
      </c>
      <c r="H37" s="74">
        <f t="shared" si="41"/>
        <v>130122.32893149809</v>
      </c>
      <c r="I37" s="74">
        <f t="shared" si="41"/>
        <v>196165.52928097005</v>
      </c>
      <c r="J37" s="74">
        <f t="shared" si="41"/>
        <v>244391.54123328999</v>
      </c>
      <c r="K37" s="74">
        <f t="shared" ref="K37" si="42">+K44</f>
        <v>272861.63328127441</v>
      </c>
      <c r="L37" s="74">
        <f t="shared" si="41"/>
        <v>312914.52658140275</v>
      </c>
      <c r="M37" s="74">
        <f t="shared" si="41"/>
        <v>356393.95198740915</v>
      </c>
      <c r="N37" s="74">
        <f t="shared" si="41"/>
        <v>403254.89268125047</v>
      </c>
      <c r="O37" s="74">
        <f t="shared" si="41"/>
        <v>453412.4870299804</v>
      </c>
      <c r="P37" s="74">
        <f t="shared" si="41"/>
        <v>506743.24832862732</v>
      </c>
      <c r="Q37" s="74">
        <f t="shared" si="41"/>
        <v>563087.13749939436</v>
      </c>
      <c r="R37" s="74">
        <f t="shared" si="41"/>
        <v>622250.38639863196</v>
      </c>
      <c r="S37" s="74">
        <f t="shared" si="41"/>
        <v>684008.95033508935</v>
      </c>
      <c r="T37" s="74">
        <f t="shared" si="41"/>
        <v>748112.45637187758</v>
      </c>
      <c r="U37" s="74">
        <f t="shared" ref="U37" si="43">+U44</f>
        <v>814288.50870510982</v>
      </c>
    </row>
    <row r="38" spans="2:23" ht="10.15" x14ac:dyDescent="0.2">
      <c r="B38" s="92" t="s">
        <v>86</v>
      </c>
      <c r="C38" s="72"/>
      <c r="D38" s="72"/>
      <c r="E38" s="77">
        <f t="shared" ref="E38:U38" si="44">+IFERROR(E37/D37-1,"n/a")</f>
        <v>1.2974015986292669</v>
      </c>
      <c r="F38" s="77">
        <f t="shared" si="44"/>
        <v>0.97372735733921911</v>
      </c>
      <c r="G38" s="77">
        <f t="shared" si="44"/>
        <v>0.57920648478577674</v>
      </c>
      <c r="H38" s="77">
        <f t="shared" si="44"/>
        <v>0.38501770534942126</v>
      </c>
      <c r="I38" s="77">
        <f t="shared" si="44"/>
        <v>0.50754702049822598</v>
      </c>
      <c r="J38" s="77">
        <f t="shared" si="44"/>
        <v>0.24584345745701985</v>
      </c>
      <c r="K38" s="77">
        <f t="shared" si="44"/>
        <v>0.11649377021935292</v>
      </c>
      <c r="L38" s="77">
        <f t="shared" si="44"/>
        <v>0.14678829272725391</v>
      </c>
      <c r="M38" s="77">
        <f t="shared" si="44"/>
        <v>0.13894984640380859</v>
      </c>
      <c r="N38" s="77">
        <f t="shared" si="44"/>
        <v>0.13148635220245497</v>
      </c>
      <c r="O38" s="77">
        <f t="shared" si="44"/>
        <v>0.12438186184234734</v>
      </c>
      <c r="P38" s="77">
        <f t="shared" si="44"/>
        <v>0.11762084817730356</v>
      </c>
      <c r="Q38" s="77">
        <f t="shared" si="44"/>
        <v>0.11118823853421644</v>
      </c>
      <c r="R38" s="77">
        <f t="shared" si="44"/>
        <v>0.10506943767526788</v>
      </c>
      <c r="S38" s="77">
        <f t="shared" si="44"/>
        <v>9.9250342444774375E-2</v>
      </c>
      <c r="T38" s="77">
        <f t="shared" si="44"/>
        <v>9.3717349758924318E-2</v>
      </c>
      <c r="U38" s="77">
        <f t="shared" si="44"/>
        <v>8.8457359277462677E-2</v>
      </c>
      <c r="V38" s="75"/>
      <c r="W38" s="72"/>
    </row>
    <row r="39" spans="2:23" ht="10.15" x14ac:dyDescent="0.2">
      <c r="B39" s="132"/>
      <c r="D39" s="73"/>
      <c r="E39" s="73"/>
      <c r="F39" s="73"/>
      <c r="G39" s="73"/>
      <c r="H39" s="73"/>
      <c r="I39" s="73"/>
      <c r="J39" s="73"/>
      <c r="K39" s="73"/>
      <c r="L39" s="73"/>
      <c r="M39" s="73"/>
      <c r="N39" s="73"/>
      <c r="O39" s="73"/>
      <c r="P39" s="73"/>
      <c r="Q39" s="73"/>
      <c r="R39" s="73"/>
      <c r="S39" s="73"/>
      <c r="T39" s="73"/>
      <c r="U39" s="73"/>
    </row>
    <row r="40" spans="2:23" ht="10.15" x14ac:dyDescent="0.2">
      <c r="B40" s="61" t="s">
        <v>318</v>
      </c>
      <c r="D40" s="74">
        <f>+D45</f>
        <v>0</v>
      </c>
      <c r="E40" s="74">
        <f>+E45</f>
        <v>0</v>
      </c>
      <c r="F40" s="74">
        <f t="shared" ref="F40:T40" si="45">+F45</f>
        <v>0</v>
      </c>
      <c r="G40" s="74">
        <f t="shared" si="45"/>
        <v>0</v>
      </c>
      <c r="H40" s="74">
        <f t="shared" si="45"/>
        <v>435.26006850191163</v>
      </c>
      <c r="I40" s="74">
        <f t="shared" si="45"/>
        <v>51473.675719029954</v>
      </c>
      <c r="J40" s="74">
        <f t="shared" si="45"/>
        <v>147464.90490244667</v>
      </c>
      <c r="K40" s="74">
        <f t="shared" ref="K40" si="46">+K45</f>
        <v>187457.56443467212</v>
      </c>
      <c r="L40" s="74">
        <f t="shared" si="45"/>
        <v>187457.56443467212</v>
      </c>
      <c r="M40" s="74">
        <f t="shared" si="45"/>
        <v>187457.56443467212</v>
      </c>
      <c r="N40" s="74">
        <f t="shared" si="45"/>
        <v>187457.56443467212</v>
      </c>
      <c r="O40" s="74">
        <f t="shared" si="45"/>
        <v>187457.56443467212</v>
      </c>
      <c r="P40" s="74">
        <f t="shared" si="45"/>
        <v>187457.56443467212</v>
      </c>
      <c r="Q40" s="74">
        <f t="shared" si="45"/>
        <v>187457.56443467212</v>
      </c>
      <c r="R40" s="74">
        <f t="shared" si="45"/>
        <v>187457.56443467212</v>
      </c>
      <c r="S40" s="74">
        <f t="shared" si="45"/>
        <v>187457.56443467212</v>
      </c>
      <c r="T40" s="74">
        <f t="shared" si="45"/>
        <v>187457.56443467212</v>
      </c>
      <c r="U40" s="74">
        <f t="shared" ref="U40" si="47">+U45</f>
        <v>187457.56443467212</v>
      </c>
    </row>
    <row r="41" spans="2:23" ht="10.15" x14ac:dyDescent="0.2">
      <c r="B41" s="76" t="s">
        <v>86</v>
      </c>
      <c r="C41" s="72"/>
      <c r="D41" s="72"/>
      <c r="E41" s="142" t="str">
        <f t="shared" ref="E41:U41" si="48">+IFERROR(E40/D40-1,"n/a")</f>
        <v>n/a</v>
      </c>
      <c r="F41" s="142" t="str">
        <f t="shared" si="48"/>
        <v>n/a</v>
      </c>
      <c r="G41" s="142" t="str">
        <f t="shared" si="48"/>
        <v>n/a</v>
      </c>
      <c r="H41" s="142" t="str">
        <f t="shared" si="48"/>
        <v>n/a</v>
      </c>
      <c r="I41" s="142">
        <f t="shared" si="48"/>
        <v>117.25958649547904</v>
      </c>
      <c r="J41" s="142">
        <f t="shared" si="48"/>
        <v>1.8648605883012257</v>
      </c>
      <c r="K41" s="142">
        <f t="shared" si="48"/>
        <v>0.27120120247378199</v>
      </c>
      <c r="L41" s="142">
        <f t="shared" si="48"/>
        <v>0</v>
      </c>
      <c r="M41" s="142">
        <f t="shared" si="48"/>
        <v>0</v>
      </c>
      <c r="N41" s="142">
        <f t="shared" si="48"/>
        <v>0</v>
      </c>
      <c r="O41" s="142">
        <f t="shared" si="48"/>
        <v>0</v>
      </c>
      <c r="P41" s="142">
        <f t="shared" si="48"/>
        <v>0</v>
      </c>
      <c r="Q41" s="142">
        <f t="shared" si="48"/>
        <v>0</v>
      </c>
      <c r="R41" s="142">
        <f t="shared" si="48"/>
        <v>0</v>
      </c>
      <c r="S41" s="142">
        <f t="shared" si="48"/>
        <v>0</v>
      </c>
      <c r="T41" s="142">
        <f t="shared" si="48"/>
        <v>0</v>
      </c>
      <c r="U41" s="142">
        <f t="shared" si="48"/>
        <v>0</v>
      </c>
      <c r="V41" s="75"/>
      <c r="W41" s="72"/>
    </row>
    <row r="42" spans="2:23" x14ac:dyDescent="0.2">
      <c r="B42" s="76" t="s">
        <v>474</v>
      </c>
      <c r="C42" s="72"/>
      <c r="D42" s="72"/>
      <c r="E42" s="98">
        <f>+'Historical Financials'!AR218*1000</f>
        <v>0</v>
      </c>
      <c r="F42" s="98">
        <f>+'Historical Financials'!AS218*1000</f>
        <v>0</v>
      </c>
      <c r="G42" s="98">
        <f>+'Historical Financials'!AT218*1000</f>
        <v>0</v>
      </c>
      <c r="H42" s="98">
        <f>+'Historical Financials'!AU218*1000</f>
        <v>2203.7044209301966</v>
      </c>
      <c r="I42" s="98">
        <f>+'Historical Financials'!AV218*1000</f>
        <v>128324.07413545038</v>
      </c>
      <c r="J42" s="98">
        <f>+'Historical Financials'!AW218*1000</f>
        <v>320440.28108490957</v>
      </c>
      <c r="K42" s="98">
        <f>+'Historical Financials'!AX218*1000</f>
        <v>416572.36541038239</v>
      </c>
      <c r="L42" s="189">
        <f t="shared" ref="L42:U42" si="49">+L40/0.45</f>
        <v>416572.36541038251</v>
      </c>
      <c r="M42" s="189">
        <f t="shared" si="49"/>
        <v>416572.36541038251</v>
      </c>
      <c r="N42" s="189">
        <f t="shared" si="49"/>
        <v>416572.36541038251</v>
      </c>
      <c r="O42" s="189">
        <f t="shared" si="49"/>
        <v>416572.36541038251</v>
      </c>
      <c r="P42" s="189">
        <f t="shared" si="49"/>
        <v>416572.36541038251</v>
      </c>
      <c r="Q42" s="189">
        <f t="shared" si="49"/>
        <v>416572.36541038251</v>
      </c>
      <c r="R42" s="189">
        <f t="shared" si="49"/>
        <v>416572.36541038251</v>
      </c>
      <c r="S42" s="189">
        <f t="shared" si="49"/>
        <v>416572.36541038251</v>
      </c>
      <c r="T42" s="189">
        <f t="shared" si="49"/>
        <v>416572.36541038251</v>
      </c>
      <c r="U42" s="189">
        <f t="shared" si="49"/>
        <v>416572.36541038251</v>
      </c>
      <c r="V42" s="75"/>
      <c r="W42" s="72"/>
    </row>
    <row r="43" spans="2:23" ht="12" x14ac:dyDescent="0.35">
      <c r="B43" s="71"/>
      <c r="D43" s="88"/>
      <c r="E43" s="88"/>
      <c r="F43" s="88"/>
      <c r="G43" s="88"/>
      <c r="H43" s="88"/>
      <c r="I43" s="88"/>
      <c r="J43" s="88"/>
      <c r="K43" s="88"/>
      <c r="L43" s="88"/>
      <c r="M43" s="88"/>
      <c r="N43" s="88"/>
      <c r="O43" s="88"/>
      <c r="P43" s="88"/>
      <c r="Q43" s="88"/>
      <c r="R43" s="88"/>
      <c r="S43" s="88"/>
      <c r="T43" s="88"/>
      <c r="U43" s="88"/>
    </row>
    <row r="44" spans="2:23" ht="10.15" x14ac:dyDescent="0.2">
      <c r="B44" s="61" t="s">
        <v>317</v>
      </c>
      <c r="D44" s="74">
        <f>+D46-D45</f>
        <v>13119.990000000002</v>
      </c>
      <c r="E44" s="74">
        <f>+E46-E45</f>
        <v>30141.885999999999</v>
      </c>
      <c r="F44" s="74">
        <f t="shared" ref="F44:T44" si="50">+F46-F45</f>
        <v>59491.865000000005</v>
      </c>
      <c r="G44" s="74">
        <f t="shared" si="50"/>
        <v>93949.938999999998</v>
      </c>
      <c r="H44" s="74">
        <f t="shared" si="50"/>
        <v>130122.32893149809</v>
      </c>
      <c r="I44" s="74">
        <f t="shared" si="50"/>
        <v>196165.52928097005</v>
      </c>
      <c r="J44" s="74">
        <f t="shared" si="50"/>
        <v>244391.54123328999</v>
      </c>
      <c r="K44" s="74">
        <f t="shared" ref="K44" si="51">+K46-K45</f>
        <v>272861.63328127441</v>
      </c>
      <c r="L44" s="74">
        <f t="shared" si="50"/>
        <v>312914.52658140275</v>
      </c>
      <c r="M44" s="74">
        <f t="shared" si="50"/>
        <v>356393.95198740915</v>
      </c>
      <c r="N44" s="74">
        <f t="shared" si="50"/>
        <v>403254.89268125047</v>
      </c>
      <c r="O44" s="74">
        <f t="shared" si="50"/>
        <v>453412.4870299804</v>
      </c>
      <c r="P44" s="74">
        <f t="shared" si="50"/>
        <v>506743.24832862732</v>
      </c>
      <c r="Q44" s="74">
        <f t="shared" si="50"/>
        <v>563087.13749939436</v>
      </c>
      <c r="R44" s="74">
        <f t="shared" si="50"/>
        <v>622250.38639863196</v>
      </c>
      <c r="S44" s="74">
        <f t="shared" si="50"/>
        <v>684008.95033508935</v>
      </c>
      <c r="T44" s="74">
        <f t="shared" si="50"/>
        <v>748112.45637187758</v>
      </c>
      <c r="U44" s="74">
        <f t="shared" ref="U44" si="52">+U46-U45</f>
        <v>814288.50870510982</v>
      </c>
    </row>
    <row r="45" spans="2:23" ht="12" x14ac:dyDescent="0.35">
      <c r="B45" s="61" t="s">
        <v>318</v>
      </c>
      <c r="D45" s="88">
        <f>+'Simple Model - Case 1'!D14</f>
        <v>0</v>
      </c>
      <c r="E45" s="88">
        <f>+'Simple Model - Case 1'!E14</f>
        <v>0</v>
      </c>
      <c r="F45" s="88">
        <f>+'Simple Model - Case 1'!F14</f>
        <v>0</v>
      </c>
      <c r="G45" s="88">
        <f>+'Simple Model - Case 1'!G14</f>
        <v>0</v>
      </c>
      <c r="H45" s="88">
        <f>+'Simple Model - Case 1'!H14</f>
        <v>435.26006850191163</v>
      </c>
      <c r="I45" s="88">
        <f>+'Simple Model - Case 1'!I14</f>
        <v>51473.675719029954</v>
      </c>
      <c r="J45" s="88">
        <f>+'Simple Model - Case 1'!J14</f>
        <v>147464.90490244667</v>
      </c>
      <c r="K45" s="88">
        <f>+'Simple Model - Case 1'!K14</f>
        <v>187457.56443467212</v>
      </c>
      <c r="L45" s="88">
        <f>+'Simple Model - Case 1'!L14</f>
        <v>187457.56443467212</v>
      </c>
      <c r="M45" s="88">
        <f>+'Simple Model - Case 1'!M14</f>
        <v>187457.56443467212</v>
      </c>
      <c r="N45" s="88">
        <f>+'Simple Model - Case 1'!N14</f>
        <v>187457.56443467212</v>
      </c>
      <c r="O45" s="88">
        <f>+'Simple Model - Case 1'!O14</f>
        <v>187457.56443467212</v>
      </c>
      <c r="P45" s="88">
        <f>+'Simple Model - Case 1'!P14</f>
        <v>187457.56443467212</v>
      </c>
      <c r="Q45" s="88">
        <f>+'Simple Model - Case 1'!Q14</f>
        <v>187457.56443467212</v>
      </c>
      <c r="R45" s="88">
        <f>+'Simple Model - Case 1'!R14</f>
        <v>187457.56443467212</v>
      </c>
      <c r="S45" s="88">
        <f>+'Simple Model - Case 1'!S14</f>
        <v>187457.56443467212</v>
      </c>
      <c r="T45" s="88">
        <f>+'Simple Model - Case 1'!T14</f>
        <v>187457.56443467212</v>
      </c>
      <c r="U45" s="88">
        <f>+'Simple Model - Case 1'!U14</f>
        <v>187457.56443467212</v>
      </c>
    </row>
    <row r="46" spans="2:23" ht="10.15" x14ac:dyDescent="0.2">
      <c r="B46" s="132" t="s">
        <v>319</v>
      </c>
      <c r="D46" s="73">
        <f>+'Simple Model - Case 1'!D15</f>
        <v>13119.990000000002</v>
      </c>
      <c r="E46" s="73">
        <f>+'Simple Model - Case 1'!E15</f>
        <v>30141.885999999999</v>
      </c>
      <c r="F46" s="73">
        <f>+'Simple Model - Case 1'!F15</f>
        <v>59491.865000000005</v>
      </c>
      <c r="G46" s="73">
        <f>+'Simple Model - Case 1'!G15</f>
        <v>93949.938999999998</v>
      </c>
      <c r="H46" s="73">
        <f>+'Simple Model - Case 1'!H15</f>
        <v>130557.58900000001</v>
      </c>
      <c r="I46" s="73">
        <f>+'Simple Model - Case 1'!I15</f>
        <v>247639.20499999999</v>
      </c>
      <c r="J46" s="73">
        <f>+'Simple Model - Case 1'!J15</f>
        <v>391856.44613573665</v>
      </c>
      <c r="K46" s="73">
        <f>+'Simple Model - Case 1'!K15</f>
        <v>460319.19771594653</v>
      </c>
      <c r="L46" s="73">
        <f>+'Simple Model - Case 1'!L15</f>
        <v>500372.09101607488</v>
      </c>
      <c r="M46" s="73">
        <f>+'Simple Model - Case 1'!M15</f>
        <v>543851.51642208127</v>
      </c>
      <c r="N46" s="73">
        <f>+'Simple Model - Case 1'!N15</f>
        <v>590712.45711592259</v>
      </c>
      <c r="O46" s="73">
        <f>+'Simple Model - Case 1'!O15</f>
        <v>640870.05146465253</v>
      </c>
      <c r="P46" s="73">
        <f>+'Simple Model - Case 1'!P15</f>
        <v>694200.81276329944</v>
      </c>
      <c r="Q46" s="73">
        <f>+'Simple Model - Case 1'!Q15</f>
        <v>750544.70193406648</v>
      </c>
      <c r="R46" s="73">
        <f>+'Simple Model - Case 1'!R15</f>
        <v>809707.95083330409</v>
      </c>
      <c r="S46" s="73">
        <f>+'Simple Model - Case 1'!S15</f>
        <v>871466.51476976147</v>
      </c>
      <c r="T46" s="73">
        <f>+'Simple Model - Case 1'!T15</f>
        <v>935570.0208065497</v>
      </c>
      <c r="U46" s="73">
        <f>+'Simple Model - Case 1'!U15</f>
        <v>1001746.0731397819</v>
      </c>
      <c r="V46" s="75"/>
      <c r="W46" s="72"/>
    </row>
    <row r="47" spans="2:23" ht="10.15" x14ac:dyDescent="0.2">
      <c r="B47" s="92" t="s">
        <v>86</v>
      </c>
      <c r="C47" s="72"/>
      <c r="D47" s="72"/>
      <c r="E47" s="142">
        <f t="shared" ref="E47:U47" si="53">+IFERROR(E46/D46-1,"n/a")</f>
        <v>1.2974015986292669</v>
      </c>
      <c r="F47" s="142">
        <f t="shared" si="53"/>
        <v>0.97372735733921911</v>
      </c>
      <c r="G47" s="142">
        <f t="shared" si="53"/>
        <v>0.57920648478577674</v>
      </c>
      <c r="H47" s="142">
        <f t="shared" si="53"/>
        <v>0.38965059892162368</v>
      </c>
      <c r="I47" s="142">
        <f t="shared" si="53"/>
        <v>0.89678138893940496</v>
      </c>
      <c r="J47" s="142">
        <f t="shared" si="53"/>
        <v>0.58236837392422047</v>
      </c>
      <c r="K47" s="142">
        <f t="shared" si="53"/>
        <v>0.17471385823903174</v>
      </c>
      <c r="L47" s="142">
        <f t="shared" si="53"/>
        <v>8.7011129448579139E-2</v>
      </c>
      <c r="M47" s="142">
        <f t="shared" si="53"/>
        <v>8.6894185720301387E-2</v>
      </c>
      <c r="N47" s="142">
        <f t="shared" si="53"/>
        <v>8.6164953629499053E-2</v>
      </c>
      <c r="O47" s="142">
        <f t="shared" si="53"/>
        <v>8.4910337922477375E-2</v>
      </c>
      <c r="P47" s="142">
        <f t="shared" si="53"/>
        <v>8.3216185834810164E-2</v>
      </c>
      <c r="Q47" s="142">
        <f t="shared" si="53"/>
        <v>8.1163675027241089E-2</v>
      </c>
      <c r="R47" s="142">
        <f t="shared" si="53"/>
        <v>7.8827082180156438E-2</v>
      </c>
      <c r="S47" s="142">
        <f t="shared" si="53"/>
        <v>7.6272641108314554E-2</v>
      </c>
      <c r="T47" s="142">
        <f t="shared" si="53"/>
        <v>7.3558197532953118E-2</v>
      </c>
      <c r="U47" s="142">
        <f t="shared" si="53"/>
        <v>7.07334040868286E-2</v>
      </c>
      <c r="V47" s="75"/>
      <c r="W47" s="72"/>
    </row>
    <row r="48" spans="2:23" ht="10.15" x14ac:dyDescent="0.2">
      <c r="B48" s="92"/>
      <c r="C48" s="72"/>
      <c r="D48" s="72"/>
      <c r="E48" s="142"/>
      <c r="F48" s="142"/>
      <c r="G48" s="142"/>
      <c r="H48" s="142"/>
      <c r="I48" s="142"/>
      <c r="J48" s="142"/>
      <c r="K48" s="142"/>
      <c r="L48" s="142"/>
      <c r="M48" s="142"/>
      <c r="N48" s="142"/>
      <c r="O48" s="142"/>
      <c r="P48" s="142"/>
      <c r="Q48" s="142"/>
      <c r="R48" s="142"/>
      <c r="S48" s="142"/>
      <c r="T48" s="142"/>
      <c r="U48" s="142"/>
      <c r="V48" s="75"/>
      <c r="W48" s="72"/>
    </row>
    <row r="49" spans="2:23" ht="10.15" x14ac:dyDescent="0.2">
      <c r="B49" s="97" t="s">
        <v>66</v>
      </c>
      <c r="V49" s="75"/>
      <c r="W49" s="72"/>
    </row>
    <row r="50" spans="2:23" ht="10.15" x14ac:dyDescent="0.2">
      <c r="B50" s="76" t="s">
        <v>351</v>
      </c>
      <c r="D50" s="79">
        <f>+D23</f>
        <v>471600</v>
      </c>
      <c r="E50" s="79">
        <f>+E23</f>
        <v>1006600</v>
      </c>
      <c r="F50" s="79">
        <f t="shared" ref="F50:T50" si="54">+F23</f>
        <v>1667600</v>
      </c>
      <c r="G50" s="79">
        <f t="shared" si="54"/>
        <v>2441724.4067552658</v>
      </c>
      <c r="H50" s="79">
        <f t="shared" si="54"/>
        <v>2963797.7560784332</v>
      </c>
      <c r="I50" s="79">
        <f t="shared" si="54"/>
        <v>3701315.2687979992</v>
      </c>
      <c r="J50" s="79">
        <f t="shared" si="54"/>
        <v>4390474.4627234116</v>
      </c>
      <c r="K50" s="79">
        <f t="shared" ref="K50" si="55">+K23</f>
        <v>5039244.1609957516</v>
      </c>
      <c r="L50" s="79">
        <f t="shared" si="54"/>
        <v>5778946.2080241013</v>
      </c>
      <c r="M50" s="79">
        <f t="shared" si="54"/>
        <v>6581929.8960049227</v>
      </c>
      <c r="N50" s="79">
        <f t="shared" si="54"/>
        <v>7447363.8484828938</v>
      </c>
      <c r="O50" s="79">
        <f t="shared" si="54"/>
        <v>8373680.8297745856</v>
      </c>
      <c r="P50" s="79">
        <f t="shared" si="54"/>
        <v>9358600.2713386994</v>
      </c>
      <c r="Q50" s="79">
        <f t="shared" si="54"/>
        <v>10399166.550654689</v>
      </c>
      <c r="R50" s="79">
        <f t="shared" si="54"/>
        <v>11491801.132423431</v>
      </c>
      <c r="S50" s="79">
        <f t="shared" si="54"/>
        <v>12632366.330123702</v>
      </c>
      <c r="T50" s="79">
        <f t="shared" si="54"/>
        <v>13816238.223766765</v>
      </c>
      <c r="U50" s="79">
        <f t="shared" ref="U50" si="56">+U23</f>
        <v>15038386.172189513</v>
      </c>
      <c r="V50" s="75"/>
      <c r="W50" s="72"/>
    </row>
    <row r="51" spans="2:23" ht="12" x14ac:dyDescent="0.35">
      <c r="B51" s="76" t="s">
        <v>352</v>
      </c>
      <c r="D51" s="155">
        <f>+D42</f>
        <v>0</v>
      </c>
      <c r="E51" s="155">
        <f>+E42</f>
        <v>0</v>
      </c>
      <c r="F51" s="155">
        <f t="shared" ref="F51:T51" si="57">+F42</f>
        <v>0</v>
      </c>
      <c r="G51" s="155">
        <f t="shared" si="57"/>
        <v>0</v>
      </c>
      <c r="H51" s="155">
        <f t="shared" si="57"/>
        <v>2203.7044209301966</v>
      </c>
      <c r="I51" s="155">
        <f t="shared" si="57"/>
        <v>128324.07413545038</v>
      </c>
      <c r="J51" s="155">
        <f t="shared" si="57"/>
        <v>320440.28108490957</v>
      </c>
      <c r="K51" s="155">
        <f t="shared" ref="K51" si="58">+K42</f>
        <v>416572.36541038239</v>
      </c>
      <c r="L51" s="155">
        <f t="shared" si="57"/>
        <v>416572.36541038251</v>
      </c>
      <c r="M51" s="155">
        <f t="shared" si="57"/>
        <v>416572.36541038251</v>
      </c>
      <c r="N51" s="155">
        <f t="shared" si="57"/>
        <v>416572.36541038251</v>
      </c>
      <c r="O51" s="155">
        <f t="shared" si="57"/>
        <v>416572.36541038251</v>
      </c>
      <c r="P51" s="155">
        <f t="shared" si="57"/>
        <v>416572.36541038251</v>
      </c>
      <c r="Q51" s="155">
        <f t="shared" si="57"/>
        <v>416572.36541038251</v>
      </c>
      <c r="R51" s="155">
        <f t="shared" si="57"/>
        <v>416572.36541038251</v>
      </c>
      <c r="S51" s="155">
        <f t="shared" si="57"/>
        <v>416572.36541038251</v>
      </c>
      <c r="T51" s="155">
        <f t="shared" si="57"/>
        <v>416572.36541038251</v>
      </c>
      <c r="U51" s="155">
        <f t="shared" ref="U51" si="59">+U42</f>
        <v>416572.36541038251</v>
      </c>
      <c r="V51" s="75"/>
      <c r="W51" s="72"/>
    </row>
    <row r="52" spans="2:23" ht="10.15" x14ac:dyDescent="0.2">
      <c r="B52" s="92" t="s">
        <v>353</v>
      </c>
      <c r="D52" s="79">
        <f t="shared" ref="D52:T52" si="60">+D42+D23</f>
        <v>471600</v>
      </c>
      <c r="E52" s="79">
        <f t="shared" si="60"/>
        <v>1006600</v>
      </c>
      <c r="F52" s="79">
        <f t="shared" si="60"/>
        <v>1667600</v>
      </c>
      <c r="G52" s="79">
        <f t="shared" si="60"/>
        <v>2441724.4067552658</v>
      </c>
      <c r="H52" s="79">
        <f t="shared" si="60"/>
        <v>2966001.4604993635</v>
      </c>
      <c r="I52" s="79">
        <f t="shared" si="60"/>
        <v>3829639.3429334494</v>
      </c>
      <c r="J52" s="79">
        <f t="shared" si="60"/>
        <v>4710914.7438083217</v>
      </c>
      <c r="K52" s="79">
        <f t="shared" ref="K52" si="61">+K42+K23</f>
        <v>5455816.5264061335</v>
      </c>
      <c r="L52" s="79">
        <f t="shared" si="60"/>
        <v>6195518.5734344842</v>
      </c>
      <c r="M52" s="79">
        <f t="shared" si="60"/>
        <v>6998502.2614153055</v>
      </c>
      <c r="N52" s="79">
        <f t="shared" si="60"/>
        <v>7863936.2138932766</v>
      </c>
      <c r="O52" s="79">
        <f t="shared" si="60"/>
        <v>8790253.1951849684</v>
      </c>
      <c r="P52" s="79">
        <f t="shared" si="60"/>
        <v>9775172.6367490813</v>
      </c>
      <c r="Q52" s="79">
        <f t="shared" si="60"/>
        <v>10815738.916065071</v>
      </c>
      <c r="R52" s="79">
        <f t="shared" si="60"/>
        <v>11908373.497833813</v>
      </c>
      <c r="S52" s="79">
        <f t="shared" si="60"/>
        <v>13048938.695534084</v>
      </c>
      <c r="T52" s="79">
        <f t="shared" si="60"/>
        <v>14232810.589177147</v>
      </c>
      <c r="U52" s="79">
        <f t="shared" ref="U52" si="62">+U42+U23</f>
        <v>15454958.537599895</v>
      </c>
      <c r="V52" s="75"/>
      <c r="W52" s="72"/>
    </row>
    <row r="53" spans="2:23" ht="10.15" x14ac:dyDescent="0.2">
      <c r="B53" s="156" t="s">
        <v>86</v>
      </c>
      <c r="C53" s="72"/>
      <c r="D53" s="72"/>
      <c r="E53" s="142">
        <f t="shared" ref="E53" si="63">+IFERROR(E52/D52-1,"n/a")</f>
        <v>1.1344359626802376</v>
      </c>
      <c r="F53" s="142">
        <f t="shared" ref="F53" si="64">+IFERROR(F52/E52-1,"n/a")</f>
        <v>0.6566660043711503</v>
      </c>
      <c r="G53" s="142">
        <f t="shared" ref="G53" si="65">+IFERROR(G52/F52-1,"n/a")</f>
        <v>0.46421468383021458</v>
      </c>
      <c r="H53" s="142">
        <f t="shared" ref="H53" si="66">+IFERROR(H52/G52-1,"n/a")</f>
        <v>0.21471590008013797</v>
      </c>
      <c r="I53" s="142">
        <f t="shared" ref="I53" si="67">+IFERROR(I52/H52-1,"n/a")</f>
        <v>0.29117918313117808</v>
      </c>
      <c r="J53" s="142">
        <f t="shared" ref="J53:K53" si="68">+IFERROR(J52/I52-1,"n/a")</f>
        <v>0.23011968542182037</v>
      </c>
      <c r="K53" s="142">
        <f t="shared" si="68"/>
        <v>0.15812253524155917</v>
      </c>
      <c r="L53" s="142">
        <f t="shared" ref="L53" si="69">+IFERROR(L52/K52-1,"n/a")</f>
        <v>0.13558044766501864</v>
      </c>
      <c r="M53" s="142">
        <f t="shared" ref="M53" si="70">+IFERROR(M52/L52-1,"n/a")</f>
        <v>0.12960717952229261</v>
      </c>
      <c r="N53" s="142">
        <f t="shared" ref="N53" si="71">+IFERROR(N52/M52-1,"n/a")</f>
        <v>0.12365988037888465</v>
      </c>
      <c r="O53" s="142">
        <f t="shared" ref="O53" si="72">+IFERROR(O52/N52-1,"n/a")</f>
        <v>0.11779304359757647</v>
      </c>
      <c r="P53" s="142">
        <f t="shared" ref="P53" si="73">+IFERROR(P52/O52-1,"n/a")</f>
        <v>0.11204676585466511</v>
      </c>
      <c r="Q53" s="142">
        <f t="shared" ref="Q53" si="74">+IFERROR(Q52/P52-1,"n/a")</f>
        <v>0.1064499132633272</v>
      </c>
      <c r="R53" s="142">
        <f t="shared" ref="R53" si="75">+IFERROR(R52/Q52-1,"n/a")</f>
        <v>0.10102264766633806</v>
      </c>
      <c r="S53" s="142">
        <f t="shared" ref="S53" si="76">+IFERROR(S52/R52-1,"n/a")</f>
        <v>9.5778419941879189E-2</v>
      </c>
      <c r="T53" s="142">
        <f t="shared" ref="T53:U53" si="77">+IFERROR(T52/S52-1,"n/a")</f>
        <v>9.0725531115280367E-2</v>
      </c>
      <c r="U53" s="142">
        <f t="shared" si="77"/>
        <v>8.5868349105417741E-2</v>
      </c>
    </row>
    <row r="54" spans="2:23" ht="10.15" x14ac:dyDescent="0.2">
      <c r="B54" s="71"/>
      <c r="F54" s="127"/>
    </row>
    <row r="55" spans="2:23" x14ac:dyDescent="0.2">
      <c r="B55" s="71"/>
      <c r="F55" s="127"/>
    </row>
    <row r="114" spans="5:6" x14ac:dyDescent="0.2">
      <c r="E114" s="72"/>
    </row>
    <row r="117" spans="5:6" x14ac:dyDescent="0.2">
      <c r="F117" s="72"/>
    </row>
  </sheetData>
  <pageMargins left="0.3" right="0.3" top="0.3" bottom="0.4" header="0.3" footer="0.3"/>
  <pageSetup scale="51" orientation="portrait" r:id="rId1"/>
  <headerFooter>
    <oddFooter>&amp;C&amp;10Page &amp;P of &amp;N</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DA28D-08AA-491E-978E-B1793D37D5DA}">
  <dimension ref="A1:BC843"/>
  <sheetViews>
    <sheetView view="pageBreakPreview" zoomScaleNormal="100" zoomScaleSheetLayoutView="100" workbookViewId="0">
      <pane xSplit="3" ySplit="6" topLeftCell="Q419" activePane="bottomRight" state="frozen"/>
      <selection activeCell="F112" sqref="F112"/>
      <selection pane="topRight" activeCell="F112" sqref="F112"/>
      <selection pane="bottomLeft" activeCell="F112" sqref="F112"/>
      <selection pane="bottomRight" activeCell="AH449" sqref="AH449"/>
    </sheetView>
  </sheetViews>
  <sheetFormatPr defaultRowHeight="11.25" outlineLevelRow="1" outlineLevelCol="1" x14ac:dyDescent="0.2"/>
  <cols>
    <col min="1" max="1" width="2.6640625" customWidth="1"/>
    <col min="2" max="2" width="25.83203125" customWidth="1"/>
    <col min="3" max="3" width="2.6640625" customWidth="1"/>
    <col min="4" max="11" width="9.33203125" hidden="1" customWidth="1" outlineLevel="1"/>
    <col min="12" max="12" width="9.6640625" customWidth="1" collapsed="1"/>
    <col min="13" max="39" width="9.6640625" customWidth="1"/>
    <col min="40" max="40" width="2.6640625" customWidth="1"/>
    <col min="41" max="50" width="9.6640625" customWidth="1"/>
    <col min="52" max="52" width="12.33203125" bestFit="1" customWidth="1"/>
  </cols>
  <sheetData>
    <row r="1" spans="2:52" x14ac:dyDescent="0.2">
      <c r="AE1" t="s">
        <v>241</v>
      </c>
      <c r="AF1" t="s">
        <v>242</v>
      </c>
      <c r="AG1" t="s">
        <v>243</v>
      </c>
      <c r="AH1" t="s">
        <v>244</v>
      </c>
      <c r="AI1" t="s">
        <v>245</v>
      </c>
      <c r="AV1" t="s">
        <v>260</v>
      </c>
      <c r="AW1" t="s">
        <v>261</v>
      </c>
      <c r="AY1" s="159">
        <v>45352</v>
      </c>
    </row>
    <row r="2" spans="2:52" s="1" customFormat="1" x14ac:dyDescent="0.2">
      <c r="B2" s="1" t="s">
        <v>0</v>
      </c>
      <c r="AX2" s="59">
        <f ca="1">TODAY()</f>
        <v>45796</v>
      </c>
    </row>
    <row r="3" spans="2:52" s="2" customFormat="1" x14ac:dyDescent="0.2">
      <c r="B3" s="2" t="s">
        <v>1</v>
      </c>
    </row>
    <row r="4" spans="2:52" x14ac:dyDescent="0.2">
      <c r="B4" s="3" t="s">
        <v>109</v>
      </c>
      <c r="AE4" s="163"/>
      <c r="AF4" s="171"/>
      <c r="AG4" s="171"/>
      <c r="AH4" s="172"/>
      <c r="AI4" s="172"/>
      <c r="AJ4" s="172"/>
      <c r="AK4" s="172"/>
      <c r="AL4" s="172"/>
      <c r="AM4" s="172"/>
      <c r="AV4" s="164"/>
      <c r="AW4" s="171"/>
      <c r="AX4" s="171"/>
    </row>
    <row r="5" spans="2:52" x14ac:dyDescent="0.2">
      <c r="H5" s="8" t="s">
        <v>60</v>
      </c>
      <c r="I5" s="9"/>
      <c r="J5" s="9"/>
      <c r="K5" s="9"/>
      <c r="L5" s="8" t="s">
        <v>60</v>
      </c>
      <c r="M5" s="9"/>
      <c r="N5" s="9"/>
      <c r="O5" s="9"/>
      <c r="P5" s="9"/>
      <c r="Q5" s="9"/>
      <c r="R5" s="9"/>
      <c r="S5" s="9"/>
      <c r="T5" s="9"/>
      <c r="U5" s="9"/>
      <c r="V5" s="9"/>
      <c r="W5" s="9"/>
      <c r="X5" s="9"/>
      <c r="Y5" s="9"/>
      <c r="Z5" s="9"/>
      <c r="AA5" s="9"/>
      <c r="AB5" s="9"/>
      <c r="AC5" s="9"/>
      <c r="AD5" s="9"/>
      <c r="AE5" s="9"/>
      <c r="AF5" s="9"/>
      <c r="AG5" s="9"/>
      <c r="AH5" s="9"/>
      <c r="AI5" s="9"/>
      <c r="AJ5" s="9"/>
      <c r="AK5" s="9"/>
      <c r="AL5" s="9"/>
      <c r="AM5" s="9"/>
      <c r="AO5" s="8" t="s">
        <v>59</v>
      </c>
      <c r="AP5" s="9"/>
      <c r="AQ5" s="9"/>
      <c r="AR5" s="9"/>
      <c r="AS5" s="9"/>
      <c r="AT5" s="9"/>
      <c r="AU5" s="9"/>
      <c r="AV5" s="9"/>
      <c r="AW5" s="9"/>
      <c r="AX5" s="9"/>
    </row>
    <row r="6" spans="2:52" ht="13.5" x14ac:dyDescent="0.35">
      <c r="D6" s="7" t="s">
        <v>364</v>
      </c>
      <c r="E6" s="7" t="s">
        <v>365</v>
      </c>
      <c r="F6" s="7" t="s">
        <v>366</v>
      </c>
      <c r="G6" s="7" t="s">
        <v>367</v>
      </c>
      <c r="H6" s="7" t="s">
        <v>26</v>
      </c>
      <c r="I6" s="7" t="s">
        <v>27</v>
      </c>
      <c r="J6" s="7" t="s">
        <v>28</v>
      </c>
      <c r="K6" s="7" t="s">
        <v>29</v>
      </c>
      <c r="L6" s="7" t="s">
        <v>30</v>
      </c>
      <c r="M6" s="7" t="s">
        <v>31</v>
      </c>
      <c r="N6" s="7" t="s">
        <v>32</v>
      </c>
      <c r="O6" s="7" t="s">
        <v>33</v>
      </c>
      <c r="P6" s="7" t="s">
        <v>34</v>
      </c>
      <c r="Q6" s="7" t="s">
        <v>35</v>
      </c>
      <c r="R6" s="7" t="s">
        <v>36</v>
      </c>
      <c r="S6" s="7" t="s">
        <v>37</v>
      </c>
      <c r="T6" s="7" t="s">
        <v>38</v>
      </c>
      <c r="U6" s="7" t="s">
        <v>39</v>
      </c>
      <c r="V6" s="7" t="s">
        <v>40</v>
      </c>
      <c r="W6" s="7" t="s">
        <v>41</v>
      </c>
      <c r="X6" s="7" t="s">
        <v>42</v>
      </c>
      <c r="Y6" s="7" t="s">
        <v>43</v>
      </c>
      <c r="Z6" s="7" t="s">
        <v>44</v>
      </c>
      <c r="AA6" s="7" t="s">
        <v>45</v>
      </c>
      <c r="AB6" s="7" t="s">
        <v>46</v>
      </c>
      <c r="AC6" s="7" t="s">
        <v>47</v>
      </c>
      <c r="AD6" s="7" t="s">
        <v>48</v>
      </c>
      <c r="AE6" s="7" t="s">
        <v>241</v>
      </c>
      <c r="AF6" s="7" t="s">
        <v>242</v>
      </c>
      <c r="AG6" s="7" t="s">
        <v>243</v>
      </c>
      <c r="AH6" s="7" t="s">
        <v>49</v>
      </c>
      <c r="AI6" s="7" t="s">
        <v>50</v>
      </c>
      <c r="AJ6" s="7" t="s">
        <v>467</v>
      </c>
      <c r="AK6" s="7" t="s">
        <v>468</v>
      </c>
      <c r="AL6" s="7" t="s">
        <v>465</v>
      </c>
      <c r="AM6" s="7" t="s">
        <v>466</v>
      </c>
      <c r="AO6" s="7" t="s">
        <v>51</v>
      </c>
      <c r="AP6" s="7" t="s">
        <v>52</v>
      </c>
      <c r="AQ6" s="7" t="s">
        <v>53</v>
      </c>
      <c r="AR6" s="7" t="s">
        <v>54</v>
      </c>
      <c r="AS6" s="7" t="s">
        <v>55</v>
      </c>
      <c r="AT6" s="7" t="s">
        <v>56</v>
      </c>
      <c r="AU6" s="7" t="s">
        <v>57</v>
      </c>
      <c r="AV6" s="7" t="s">
        <v>260</v>
      </c>
      <c r="AW6" s="7" t="s">
        <v>58</v>
      </c>
      <c r="AX6" s="7" t="s">
        <v>268</v>
      </c>
    </row>
    <row r="7" spans="2:52" ht="10.15" hidden="1" outlineLevel="1" x14ac:dyDescent="0.2">
      <c r="B7" t="s">
        <v>375</v>
      </c>
      <c r="D7" s="175">
        <v>42736</v>
      </c>
      <c r="E7" s="176">
        <f t="shared" ref="E7:H7" si="0">+D8+1</f>
        <v>42826</v>
      </c>
      <c r="F7" s="176">
        <f t="shared" si="0"/>
        <v>42917</v>
      </c>
      <c r="G7" s="176">
        <f t="shared" si="0"/>
        <v>43009</v>
      </c>
      <c r="H7" s="176">
        <f t="shared" si="0"/>
        <v>43101</v>
      </c>
      <c r="I7" s="176">
        <f>+H8+1</f>
        <v>43191</v>
      </c>
      <c r="J7" s="176">
        <f t="shared" ref="J7:AI7" si="1">+I8+1</f>
        <v>43282</v>
      </c>
      <c r="K7" s="176">
        <f t="shared" si="1"/>
        <v>43374</v>
      </c>
      <c r="L7" s="176">
        <f t="shared" si="1"/>
        <v>43466</v>
      </c>
      <c r="M7" s="176">
        <f t="shared" si="1"/>
        <v>43556</v>
      </c>
      <c r="N7" s="176">
        <f t="shared" si="1"/>
        <v>43647</v>
      </c>
      <c r="O7" s="176">
        <f t="shared" si="1"/>
        <v>43739</v>
      </c>
      <c r="P7" s="176">
        <f t="shared" si="1"/>
        <v>43831</v>
      </c>
      <c r="Q7" s="176">
        <f t="shared" si="1"/>
        <v>43922</v>
      </c>
      <c r="R7" s="176">
        <f t="shared" si="1"/>
        <v>44013</v>
      </c>
      <c r="S7" s="176">
        <f t="shared" si="1"/>
        <v>44105</v>
      </c>
      <c r="T7" s="176">
        <f t="shared" si="1"/>
        <v>44197</v>
      </c>
      <c r="U7" s="176">
        <f t="shared" si="1"/>
        <v>44287</v>
      </c>
      <c r="V7" s="176">
        <f t="shared" si="1"/>
        <v>44378</v>
      </c>
      <c r="W7" s="176">
        <f t="shared" si="1"/>
        <v>44470</v>
      </c>
      <c r="X7" s="176">
        <f t="shared" si="1"/>
        <v>44562</v>
      </c>
      <c r="Y7" s="176">
        <f t="shared" si="1"/>
        <v>44652</v>
      </c>
      <c r="Z7" s="176">
        <f t="shared" si="1"/>
        <v>44743</v>
      </c>
      <c r="AA7" s="176">
        <f t="shared" si="1"/>
        <v>44835</v>
      </c>
      <c r="AB7" s="176">
        <f t="shared" si="1"/>
        <v>44927</v>
      </c>
      <c r="AC7" s="176">
        <f t="shared" si="1"/>
        <v>45017</v>
      </c>
      <c r="AD7" s="176">
        <f t="shared" si="1"/>
        <v>45108</v>
      </c>
      <c r="AE7" s="176">
        <f t="shared" si="1"/>
        <v>45200</v>
      </c>
      <c r="AF7" s="176">
        <f t="shared" si="1"/>
        <v>45292</v>
      </c>
      <c r="AG7" s="176">
        <f t="shared" si="1"/>
        <v>45383</v>
      </c>
      <c r="AH7" s="176">
        <f t="shared" si="1"/>
        <v>45474</v>
      </c>
      <c r="AI7" s="176">
        <f t="shared" si="1"/>
        <v>45566</v>
      </c>
      <c r="AJ7" s="176">
        <f t="shared" ref="AJ7" si="2">+AI8+1</f>
        <v>45658</v>
      </c>
      <c r="AK7" s="176">
        <f t="shared" ref="AK7" si="3">+AJ8+1</f>
        <v>45748</v>
      </c>
      <c r="AL7" s="176">
        <f t="shared" ref="AL7" si="4">+AK8+1</f>
        <v>45839</v>
      </c>
      <c r="AM7" s="176">
        <f t="shared" ref="AM7" si="5">+AL8+1</f>
        <v>45931</v>
      </c>
      <c r="AO7" s="175">
        <v>42370</v>
      </c>
      <c r="AP7" s="176">
        <f t="shared" ref="AP7:AX7" si="6">+AO8+1</f>
        <v>42736</v>
      </c>
      <c r="AQ7" s="176">
        <f t="shared" si="6"/>
        <v>43101</v>
      </c>
      <c r="AR7" s="176">
        <f t="shared" si="6"/>
        <v>43466</v>
      </c>
      <c r="AS7" s="176">
        <f t="shared" si="6"/>
        <v>43831</v>
      </c>
      <c r="AT7" s="176">
        <f t="shared" si="6"/>
        <v>44197</v>
      </c>
      <c r="AU7" s="176">
        <f t="shared" si="6"/>
        <v>44562</v>
      </c>
      <c r="AV7" s="176">
        <f t="shared" si="6"/>
        <v>44927</v>
      </c>
      <c r="AW7" s="176">
        <f t="shared" si="6"/>
        <v>45292</v>
      </c>
      <c r="AX7" s="176">
        <f t="shared" si="6"/>
        <v>45658</v>
      </c>
    </row>
    <row r="8" spans="2:52" ht="10.15" hidden="1" outlineLevel="1" x14ac:dyDescent="0.2">
      <c r="B8" t="s">
        <v>376</v>
      </c>
      <c r="D8" s="175">
        <v>42825</v>
      </c>
      <c r="E8" s="175">
        <v>42916</v>
      </c>
      <c r="F8" s="175">
        <v>43008</v>
      </c>
      <c r="G8" s="175">
        <v>43100</v>
      </c>
      <c r="H8" s="175">
        <v>43190</v>
      </c>
      <c r="I8" s="175">
        <v>43281</v>
      </c>
      <c r="J8" s="175">
        <v>43373</v>
      </c>
      <c r="K8" s="175">
        <v>43465</v>
      </c>
      <c r="L8" s="175">
        <v>43555</v>
      </c>
      <c r="M8" s="175">
        <v>43646</v>
      </c>
      <c r="N8" s="175">
        <v>43738</v>
      </c>
      <c r="O8" s="175">
        <v>43830</v>
      </c>
      <c r="P8" s="175">
        <v>43921</v>
      </c>
      <c r="Q8" s="175">
        <v>44012</v>
      </c>
      <c r="R8" s="175">
        <v>44104</v>
      </c>
      <c r="S8" s="175">
        <v>44196</v>
      </c>
      <c r="T8" s="175">
        <v>44286</v>
      </c>
      <c r="U8" s="175">
        <v>44377</v>
      </c>
      <c r="V8" s="175">
        <v>44469</v>
      </c>
      <c r="W8" s="175">
        <v>44561</v>
      </c>
      <c r="X8" s="175">
        <v>44651</v>
      </c>
      <c r="Y8" s="175">
        <v>44742</v>
      </c>
      <c r="Z8" s="175">
        <v>44834</v>
      </c>
      <c r="AA8" s="175">
        <v>44926</v>
      </c>
      <c r="AB8" s="175">
        <v>45016</v>
      </c>
      <c r="AC8" s="175">
        <v>45107</v>
      </c>
      <c r="AD8" s="175">
        <v>45199</v>
      </c>
      <c r="AE8" s="175">
        <v>45291</v>
      </c>
      <c r="AF8" s="175">
        <v>45382</v>
      </c>
      <c r="AG8" s="175">
        <v>45473</v>
      </c>
      <c r="AH8" s="175">
        <v>45565</v>
      </c>
      <c r="AI8" s="175">
        <v>45657</v>
      </c>
      <c r="AJ8" s="175">
        <v>45747</v>
      </c>
      <c r="AK8" s="175">
        <v>45838</v>
      </c>
      <c r="AL8" s="175">
        <v>45930</v>
      </c>
      <c r="AM8" s="175">
        <v>46022</v>
      </c>
      <c r="AO8" s="175">
        <v>42735</v>
      </c>
      <c r="AP8" s="175">
        <v>43100</v>
      </c>
      <c r="AQ8" s="175">
        <v>43465</v>
      </c>
      <c r="AR8" s="175">
        <v>43830</v>
      </c>
      <c r="AS8" s="175">
        <v>44196</v>
      </c>
      <c r="AT8" s="175">
        <v>44561</v>
      </c>
      <c r="AU8" s="175">
        <v>44926</v>
      </c>
      <c r="AV8" s="175">
        <v>45291</v>
      </c>
      <c r="AW8" s="175">
        <v>45657</v>
      </c>
      <c r="AX8" s="175">
        <v>46022</v>
      </c>
    </row>
    <row r="9" spans="2:52" collapsed="1" x14ac:dyDescent="0.2"/>
    <row r="10" spans="2:52" x14ac:dyDescent="0.2">
      <c r="B10" s="6" t="s">
        <v>85</v>
      </c>
      <c r="C10" s="5"/>
    </row>
    <row r="11" spans="2:52" x14ac:dyDescent="0.2">
      <c r="AE11" s="10"/>
    </row>
    <row r="12" spans="2:52" x14ac:dyDescent="0.2">
      <c r="B12" t="s">
        <v>226</v>
      </c>
      <c r="H12" s="10">
        <f>+H118</f>
        <v>1108.0999999999999</v>
      </c>
      <c r="I12" s="10">
        <f t="shared" ref="I12:AI12" si="7">+I118</f>
        <v>2370.9520000000002</v>
      </c>
      <c r="J12" s="10">
        <f t="shared" si="7"/>
        <v>2974.145</v>
      </c>
      <c r="K12" s="10">
        <f t="shared" si="7"/>
        <v>5062.3779999999997</v>
      </c>
      <c r="L12" s="10">
        <f t="shared" si="7"/>
        <v>3948.4140000000002</v>
      </c>
      <c r="M12" s="10">
        <f t="shared" si="7"/>
        <v>6467.0730000000003</v>
      </c>
      <c r="N12" s="10">
        <f t="shared" si="7"/>
        <v>6711.4549999999999</v>
      </c>
      <c r="O12" s="10">
        <f t="shared" si="7"/>
        <v>9686.6990000000005</v>
      </c>
      <c r="P12" s="10">
        <f t="shared" si="7"/>
        <v>5492.27</v>
      </c>
      <c r="Q12" s="10">
        <f t="shared" si="7"/>
        <v>11054.698</v>
      </c>
      <c r="R12" s="10">
        <f t="shared" si="7"/>
        <v>12484.835999999999</v>
      </c>
      <c r="S12" s="10">
        <f t="shared" si="7"/>
        <v>18921.974999999999</v>
      </c>
      <c r="T12" s="10">
        <f t="shared" si="7"/>
        <v>14111.486000000001</v>
      </c>
      <c r="U12" s="10">
        <f t="shared" si="7"/>
        <v>18080.419000000002</v>
      </c>
      <c r="V12" s="10">
        <f t="shared" si="7"/>
        <v>17946.495999999999</v>
      </c>
      <c r="W12" s="10">
        <f t="shared" si="7"/>
        <v>22425.001000000004</v>
      </c>
      <c r="X12" s="10">
        <f t="shared" si="7"/>
        <v>18158.424999999999</v>
      </c>
      <c r="Y12" s="10">
        <f t="shared" si="7"/>
        <v>25172.651000000002</v>
      </c>
      <c r="Z12" s="10">
        <f t="shared" si="7"/>
        <v>28425.645</v>
      </c>
      <c r="AA12" s="10">
        <f t="shared" si="7"/>
        <v>30965.202999999994</v>
      </c>
      <c r="AB12" s="10">
        <f t="shared" si="7"/>
        <v>27244.425999999999</v>
      </c>
      <c r="AC12" s="10">
        <f t="shared" si="7"/>
        <v>37932.830999999998</v>
      </c>
      <c r="AD12" s="10">
        <f t="shared" si="7"/>
        <v>39687.678</v>
      </c>
      <c r="AE12" s="10">
        <f t="shared" ref="AE12:AF12" si="8">+AE118</f>
        <v>48675.618000000002</v>
      </c>
      <c r="AF12" s="10">
        <f t="shared" si="8"/>
        <v>42456.243000000002</v>
      </c>
      <c r="AG12" s="10">
        <f t="shared" ref="AG12" si="9">+AG118</f>
        <v>49115.866000000002</v>
      </c>
      <c r="AH12" s="10">
        <f t="shared" si="7"/>
        <v>48156.01129980883</v>
      </c>
      <c r="AI12" s="10">
        <f t="shared" si="7"/>
        <v>57505.364976837387</v>
      </c>
      <c r="AJ12" s="10">
        <f t="shared" ref="AJ12:AM12" si="10">+AJ118</f>
        <v>47730.348550340503</v>
      </c>
      <c r="AK12" s="10">
        <f t="shared" si="10"/>
        <v>55788.38336061361</v>
      </c>
      <c r="AL12" s="10">
        <f t="shared" si="10"/>
        <v>55273.899706789445</v>
      </c>
      <c r="AM12" s="10">
        <f t="shared" si="10"/>
        <v>67927.652046612813</v>
      </c>
      <c r="AO12" s="10">
        <f t="shared" ref="AO12:AW12" si="11">+AO118</f>
        <v>0</v>
      </c>
      <c r="AP12" s="10">
        <f t="shared" si="11"/>
        <v>1209.2750000000001</v>
      </c>
      <c r="AQ12" s="10">
        <f t="shared" si="11"/>
        <v>11515.575000000001</v>
      </c>
      <c r="AR12" s="10">
        <f t="shared" si="11"/>
        <v>26813.641</v>
      </c>
      <c r="AS12" s="10">
        <f t="shared" si="11"/>
        <v>47953.779000000002</v>
      </c>
      <c r="AT12" s="10">
        <f t="shared" si="11"/>
        <v>72563.402000000002</v>
      </c>
      <c r="AU12" s="10">
        <f t="shared" si="11"/>
        <v>102721.924</v>
      </c>
      <c r="AV12" s="10">
        <f t="shared" ref="AV12" si="12">+AV118</f>
        <v>153540.55300000001</v>
      </c>
      <c r="AW12" s="10">
        <f t="shared" si="11"/>
        <v>197233.48527664621</v>
      </c>
      <c r="AX12" s="10">
        <f>+SUM(AJ12:AM12)</f>
        <v>226720.28366435636</v>
      </c>
    </row>
    <row r="13" spans="2:52" ht="13.5" x14ac:dyDescent="0.35">
      <c r="B13" t="s">
        <v>227</v>
      </c>
      <c r="H13" s="25">
        <f>+H119</f>
        <v>276.50400000000002</v>
      </c>
      <c r="I13" s="25">
        <f t="shared" ref="I13:AI13" si="13">+I119</f>
        <v>338.09399999999999</v>
      </c>
      <c r="J13" s="25">
        <f t="shared" si="13"/>
        <v>398.27300000000002</v>
      </c>
      <c r="K13" s="25">
        <f t="shared" si="13"/>
        <v>591.54399999999998</v>
      </c>
      <c r="L13" s="25">
        <f t="shared" si="13"/>
        <v>596.79</v>
      </c>
      <c r="M13" s="25">
        <f t="shared" si="13"/>
        <v>822.93499999999995</v>
      </c>
      <c r="N13" s="25">
        <f t="shared" si="13"/>
        <v>802.49300000000005</v>
      </c>
      <c r="O13" s="25">
        <f t="shared" si="13"/>
        <v>1106.027</v>
      </c>
      <c r="P13" s="25">
        <f t="shared" si="13"/>
        <v>1048.789</v>
      </c>
      <c r="Q13" s="25">
        <f t="shared" si="13"/>
        <v>1138.617</v>
      </c>
      <c r="R13" s="25">
        <f t="shared" si="13"/>
        <v>1332.124</v>
      </c>
      <c r="S13" s="25">
        <f t="shared" si="13"/>
        <v>2267.8850000000002</v>
      </c>
      <c r="T13" s="25">
        <f t="shared" si="13"/>
        <v>2931.4749999999999</v>
      </c>
      <c r="U13" s="25">
        <f t="shared" si="13"/>
        <v>3007.6379999999999</v>
      </c>
      <c r="V13" s="25">
        <f t="shared" si="13"/>
        <v>3477.1469999999999</v>
      </c>
      <c r="W13" s="25">
        <f t="shared" si="13"/>
        <v>4724.1890000000021</v>
      </c>
      <c r="X13" s="25">
        <f t="shared" si="13"/>
        <v>5591.4070000000002</v>
      </c>
      <c r="Y13" s="25">
        <f t="shared" si="13"/>
        <v>6216.2070000000003</v>
      </c>
      <c r="Z13" s="25">
        <f t="shared" si="13"/>
        <v>7022.2520000000004</v>
      </c>
      <c r="AA13" s="25">
        <f t="shared" si="13"/>
        <v>8796.627999999997</v>
      </c>
      <c r="AB13" s="25">
        <f t="shared" si="13"/>
        <v>10392.624</v>
      </c>
      <c r="AC13" s="25">
        <f t="shared" si="13"/>
        <v>14347.916999999999</v>
      </c>
      <c r="AD13" s="25">
        <f t="shared" si="13"/>
        <v>29152.692999999999</v>
      </c>
      <c r="AE13" s="25">
        <f t="shared" ref="AE13:AF13" si="14">+AE119</f>
        <v>40205.417999999998</v>
      </c>
      <c r="AF13" s="25">
        <f t="shared" si="14"/>
        <v>44355.815999999999</v>
      </c>
      <c r="AG13" s="25">
        <f t="shared" ref="AG13" si="15">+AG119</f>
        <v>47943.665000000001</v>
      </c>
      <c r="AH13" s="25">
        <f t="shared" si="13"/>
        <v>49469.165636813108</v>
      </c>
      <c r="AI13" s="25">
        <f t="shared" si="13"/>
        <v>52854.314222277295</v>
      </c>
      <c r="AJ13" s="25">
        <f t="shared" ref="AJ13:AM13" si="16">+AJ119</f>
        <v>48429.175981943954</v>
      </c>
      <c r="AK13" s="25">
        <f t="shared" si="16"/>
        <v>57392.667858095207</v>
      </c>
      <c r="AL13" s="25">
        <f t="shared" si="16"/>
        <v>61123.32610270202</v>
      </c>
      <c r="AM13" s="25">
        <f t="shared" si="16"/>
        <v>66653.744108848987</v>
      </c>
      <c r="AO13" s="25">
        <f t="shared" ref="AO13:AW13" si="17">+AO119</f>
        <v>48.276000000000003</v>
      </c>
      <c r="AP13" s="25">
        <f t="shared" si="17"/>
        <v>531.41600000000005</v>
      </c>
      <c r="AQ13" s="25">
        <f t="shared" si="17"/>
        <v>1604.415</v>
      </c>
      <c r="AR13" s="25">
        <f t="shared" si="17"/>
        <v>3328.2449999999999</v>
      </c>
      <c r="AS13" s="25">
        <f t="shared" si="17"/>
        <v>5787.415</v>
      </c>
      <c r="AT13" s="25">
        <f t="shared" si="17"/>
        <v>14140.449000000001</v>
      </c>
      <c r="AU13" s="25">
        <f t="shared" si="17"/>
        <v>27626.493999999999</v>
      </c>
      <c r="AV13" s="25">
        <f t="shared" ref="AV13" si="18">+AV119</f>
        <v>94098.652000000002</v>
      </c>
      <c r="AW13" s="25">
        <f t="shared" si="17"/>
        <v>194622.96085909041</v>
      </c>
      <c r="AX13" s="25">
        <f t="shared" ref="AX13:AX16" si="19">+SUM(AJ13:AM13)</f>
        <v>233598.91405159014</v>
      </c>
      <c r="AY13" s="157"/>
    </row>
    <row r="14" spans="2:52" x14ac:dyDescent="0.2">
      <c r="B14" s="4" t="s">
        <v>224</v>
      </c>
      <c r="H14" s="10">
        <f>+H120</f>
        <v>1384.6039999999998</v>
      </c>
      <c r="I14" s="10">
        <f t="shared" ref="I14:AI14" si="20">+I120</f>
        <v>2709.0460000000003</v>
      </c>
      <c r="J14" s="10">
        <f t="shared" si="20"/>
        <v>3372.4180000000001</v>
      </c>
      <c r="K14" s="10">
        <f t="shared" si="20"/>
        <v>5653.9219999999996</v>
      </c>
      <c r="L14" s="10">
        <f t="shared" si="20"/>
        <v>4545.2039999999997</v>
      </c>
      <c r="M14" s="10">
        <f t="shared" si="20"/>
        <v>7290.0079999999998</v>
      </c>
      <c r="N14" s="10">
        <f t="shared" si="20"/>
        <v>7513.9480000000003</v>
      </c>
      <c r="O14" s="10">
        <f t="shared" si="20"/>
        <v>10792.726000000001</v>
      </c>
      <c r="P14" s="10">
        <f t="shared" si="20"/>
        <v>6541.0590000000002</v>
      </c>
      <c r="Q14" s="10">
        <f t="shared" si="20"/>
        <v>12193.315000000001</v>
      </c>
      <c r="R14" s="10">
        <f t="shared" si="20"/>
        <v>13816.96</v>
      </c>
      <c r="S14" s="10">
        <f t="shared" si="20"/>
        <v>21189.86</v>
      </c>
      <c r="T14" s="10">
        <f t="shared" si="20"/>
        <v>17042.960999999999</v>
      </c>
      <c r="U14" s="10">
        <f t="shared" si="20"/>
        <v>21088.057000000001</v>
      </c>
      <c r="V14" s="10">
        <f t="shared" si="20"/>
        <v>21423.643</v>
      </c>
      <c r="W14" s="10">
        <f t="shared" si="20"/>
        <v>27149.190000000006</v>
      </c>
      <c r="X14" s="10">
        <f t="shared" si="20"/>
        <v>23749.831999999999</v>
      </c>
      <c r="Y14" s="10">
        <f t="shared" si="20"/>
        <v>31388.858</v>
      </c>
      <c r="Z14" s="10">
        <f t="shared" si="20"/>
        <v>35447.896999999997</v>
      </c>
      <c r="AA14" s="10">
        <f t="shared" si="20"/>
        <v>39761.830999999991</v>
      </c>
      <c r="AB14" s="10">
        <f t="shared" si="20"/>
        <v>37637.050000000003</v>
      </c>
      <c r="AC14" s="10">
        <f t="shared" si="20"/>
        <v>52280.748</v>
      </c>
      <c r="AD14" s="10">
        <f t="shared" si="20"/>
        <v>68840.370999999999</v>
      </c>
      <c r="AE14" s="10">
        <f t="shared" ref="AE14:AF14" si="21">+AE120</f>
        <v>88881.035999999993</v>
      </c>
      <c r="AF14" s="10">
        <f t="shared" si="21"/>
        <v>86812.059000000008</v>
      </c>
      <c r="AG14" s="10">
        <f t="shared" ref="AG14" si="22">+AG120</f>
        <v>97059.531000000003</v>
      </c>
      <c r="AH14" s="10">
        <f t="shared" si="20"/>
        <v>97625.176936621938</v>
      </c>
      <c r="AI14" s="10">
        <f t="shared" si="20"/>
        <v>110359.67919911467</v>
      </c>
      <c r="AJ14" s="10">
        <f t="shared" ref="AJ14:AM14" si="23">+AJ120</f>
        <v>96159.524532284457</v>
      </c>
      <c r="AK14" s="10">
        <f t="shared" si="23"/>
        <v>113181.05121870882</v>
      </c>
      <c r="AL14" s="10">
        <f t="shared" si="23"/>
        <v>116397.22580949147</v>
      </c>
      <c r="AM14" s="10">
        <f t="shared" si="23"/>
        <v>134581.39615546179</v>
      </c>
      <c r="AO14" s="10">
        <f t="shared" ref="AO14:AU14" si="24">+AO120</f>
        <v>48.276000000000003</v>
      </c>
      <c r="AP14" s="10">
        <f t="shared" si="24"/>
        <v>1740.6910000000003</v>
      </c>
      <c r="AQ14" s="10">
        <f t="shared" si="24"/>
        <v>13119.990000000002</v>
      </c>
      <c r="AR14" s="10">
        <f t="shared" si="24"/>
        <v>30141.885999999999</v>
      </c>
      <c r="AS14" s="10">
        <f t="shared" si="24"/>
        <v>53741.194000000003</v>
      </c>
      <c r="AT14" s="10">
        <f t="shared" si="24"/>
        <v>86703.850999999995</v>
      </c>
      <c r="AU14" s="10">
        <f t="shared" si="24"/>
        <v>130348.41800000001</v>
      </c>
      <c r="AV14" s="10">
        <f t="shared" ref="AV14" si="25">+AV120</f>
        <v>247639.20500000002</v>
      </c>
      <c r="AW14" s="10">
        <f>+SUM(AF14:AI14)</f>
        <v>391856.44613573665</v>
      </c>
      <c r="AX14" s="10">
        <f t="shared" si="19"/>
        <v>460319.19771594653</v>
      </c>
    </row>
    <row r="15" spans="2:52" ht="13.5" x14ac:dyDescent="0.35">
      <c r="B15" t="s">
        <v>223</v>
      </c>
      <c r="H15" s="25">
        <f>+H121</f>
        <v>0</v>
      </c>
      <c r="I15" s="25">
        <f t="shared" ref="I15:AI15" si="26">+I121</f>
        <v>0</v>
      </c>
      <c r="J15" s="25">
        <f t="shared" si="26"/>
        <v>0</v>
      </c>
      <c r="K15" s="25">
        <f t="shared" si="26"/>
        <v>0</v>
      </c>
      <c r="L15" s="25">
        <f t="shared" si="26"/>
        <v>0</v>
      </c>
      <c r="M15" s="25">
        <f t="shared" si="26"/>
        <v>0</v>
      </c>
      <c r="N15" s="25">
        <f t="shared" si="26"/>
        <v>0</v>
      </c>
      <c r="O15" s="25">
        <f t="shared" si="26"/>
        <v>0</v>
      </c>
      <c r="P15" s="25">
        <f t="shared" si="26"/>
        <v>0</v>
      </c>
      <c r="Q15" s="25">
        <f t="shared" si="26"/>
        <v>0</v>
      </c>
      <c r="R15" s="25">
        <f t="shared" si="26"/>
        <v>392.822</v>
      </c>
      <c r="S15" s="25">
        <f t="shared" si="26"/>
        <v>5357.8490000000002</v>
      </c>
      <c r="T15" s="25">
        <f t="shared" si="26"/>
        <v>5124.1379999999999</v>
      </c>
      <c r="U15" s="25">
        <f t="shared" si="26"/>
        <v>1958.163</v>
      </c>
      <c r="V15" s="25">
        <f t="shared" si="26"/>
        <v>82.114999999999995</v>
      </c>
      <c r="W15" s="25">
        <f t="shared" si="26"/>
        <v>81.67200000000048</v>
      </c>
      <c r="X15" s="25">
        <f t="shared" si="26"/>
        <v>43.856999999999999</v>
      </c>
      <c r="Y15" s="25">
        <f t="shared" si="26"/>
        <v>50.71</v>
      </c>
      <c r="Z15" s="25">
        <f t="shared" si="26"/>
        <v>56.406999999999996</v>
      </c>
      <c r="AA15" s="25">
        <f t="shared" si="26"/>
        <v>58.197000000000003</v>
      </c>
      <c r="AB15" s="25">
        <f t="shared" si="26"/>
        <v>0</v>
      </c>
      <c r="AC15" s="25">
        <f t="shared" si="26"/>
        <v>0</v>
      </c>
      <c r="AD15" s="25">
        <f t="shared" si="26"/>
        <v>0</v>
      </c>
      <c r="AE15" s="25">
        <f t="shared" ref="AE15:AF15" si="27">+AE121</f>
        <v>0</v>
      </c>
      <c r="AF15" s="25">
        <f t="shared" si="27"/>
        <v>0</v>
      </c>
      <c r="AG15" s="25">
        <f t="shared" ref="AG15" si="28">+AG121</f>
        <v>0</v>
      </c>
      <c r="AH15" s="25">
        <f t="shared" si="26"/>
        <v>0</v>
      </c>
      <c r="AI15" s="25">
        <f t="shared" si="26"/>
        <v>0</v>
      </c>
      <c r="AJ15" s="25">
        <f t="shared" ref="AJ15:AM15" si="29">+AJ121</f>
        <v>0</v>
      </c>
      <c r="AK15" s="25">
        <f t="shared" si="29"/>
        <v>0</v>
      </c>
      <c r="AL15" s="25">
        <f t="shared" si="29"/>
        <v>0</v>
      </c>
      <c r="AM15" s="25">
        <f t="shared" si="29"/>
        <v>0</v>
      </c>
      <c r="AO15" s="25">
        <f t="shared" ref="AO15:AU15" si="30">+AO121</f>
        <v>456.58800000000002</v>
      </c>
      <c r="AP15" s="25">
        <f t="shared" si="30"/>
        <v>3.3849999999999998</v>
      </c>
      <c r="AQ15" s="25">
        <f t="shared" si="30"/>
        <v>0</v>
      </c>
      <c r="AR15" s="25">
        <f t="shared" si="30"/>
        <v>0</v>
      </c>
      <c r="AS15" s="25">
        <f t="shared" si="30"/>
        <v>5750.6710000000003</v>
      </c>
      <c r="AT15" s="25">
        <f t="shared" si="30"/>
        <v>7246.0879999999997</v>
      </c>
      <c r="AU15" s="25">
        <f t="shared" si="30"/>
        <v>209.17099999999999</v>
      </c>
      <c r="AV15" s="25">
        <f t="shared" ref="AV15" si="31">+AV121</f>
        <v>0</v>
      </c>
      <c r="AW15" s="25">
        <f>+SUM(AF15:AI15)</f>
        <v>0</v>
      </c>
      <c r="AX15" s="25">
        <f t="shared" si="19"/>
        <v>0</v>
      </c>
    </row>
    <row r="16" spans="2:52" s="1" customFormat="1" x14ac:dyDescent="0.2">
      <c r="B16" s="38" t="s">
        <v>225</v>
      </c>
      <c r="H16" s="42">
        <f>+H551</f>
        <v>1384.6039999999998</v>
      </c>
      <c r="I16" s="42">
        <f t="shared" ref="I16:AD16" si="32">+I551</f>
        <v>2709.0460000000003</v>
      </c>
      <c r="J16" s="42">
        <f t="shared" si="32"/>
        <v>3372.4180000000001</v>
      </c>
      <c r="K16" s="42">
        <f t="shared" si="32"/>
        <v>5653.9219999999996</v>
      </c>
      <c r="L16" s="42">
        <f t="shared" si="32"/>
        <v>4545.2039999999997</v>
      </c>
      <c r="M16" s="42">
        <f t="shared" si="32"/>
        <v>7290.0079999999998</v>
      </c>
      <c r="N16" s="42">
        <f t="shared" si="32"/>
        <v>7513.9480000000003</v>
      </c>
      <c r="O16" s="42">
        <f t="shared" si="32"/>
        <v>10792.726000000001</v>
      </c>
      <c r="P16" s="42">
        <f t="shared" si="32"/>
        <v>6541.0590000000002</v>
      </c>
      <c r="Q16" s="42">
        <f t="shared" si="32"/>
        <v>12193.315000000001</v>
      </c>
      <c r="R16" s="42">
        <f t="shared" si="32"/>
        <v>14209.781999999999</v>
      </c>
      <c r="S16" s="42">
        <f t="shared" si="32"/>
        <v>26547.709000000003</v>
      </c>
      <c r="T16" s="42">
        <f t="shared" si="32"/>
        <v>22167.098999999998</v>
      </c>
      <c r="U16" s="42">
        <f t="shared" si="32"/>
        <v>23046.22</v>
      </c>
      <c r="V16" s="42">
        <f t="shared" si="32"/>
        <v>21505.758000000002</v>
      </c>
      <c r="W16" s="42">
        <f t="shared" si="32"/>
        <v>27230.862000000008</v>
      </c>
      <c r="X16" s="42">
        <f t="shared" si="32"/>
        <v>23793.688999999998</v>
      </c>
      <c r="Y16" s="42">
        <f t="shared" si="32"/>
        <v>31439.567999999999</v>
      </c>
      <c r="Z16" s="42">
        <f t="shared" si="32"/>
        <v>35504.303999999996</v>
      </c>
      <c r="AA16" s="42">
        <f t="shared" si="32"/>
        <v>39820.027999999991</v>
      </c>
      <c r="AB16" s="42">
        <f t="shared" si="32"/>
        <v>37637.050000000003</v>
      </c>
      <c r="AC16" s="42">
        <f t="shared" si="32"/>
        <v>52280.748</v>
      </c>
      <c r="AD16" s="42">
        <f t="shared" si="32"/>
        <v>68840.370999999999</v>
      </c>
      <c r="AE16" s="42">
        <f t="shared" ref="AE16:AF16" si="33">+AE551</f>
        <v>88881.035999999993</v>
      </c>
      <c r="AF16" s="42">
        <f t="shared" si="33"/>
        <v>86812.059000000008</v>
      </c>
      <c r="AG16" s="42">
        <f t="shared" ref="AG16" si="34">+AG551</f>
        <v>97059.531000000003</v>
      </c>
      <c r="AH16" s="42">
        <f t="shared" ref="AH16:AI16" si="35">+AH122</f>
        <v>97625.176936621938</v>
      </c>
      <c r="AI16" s="42">
        <f t="shared" si="35"/>
        <v>110359.67919911467</v>
      </c>
      <c r="AJ16" s="42">
        <f t="shared" ref="AJ16:AM16" si="36">+AJ122</f>
        <v>96159.524532284457</v>
      </c>
      <c r="AK16" s="42">
        <f t="shared" si="36"/>
        <v>113181.05121870882</v>
      </c>
      <c r="AL16" s="42">
        <f t="shared" si="36"/>
        <v>116397.22580949147</v>
      </c>
      <c r="AM16" s="42">
        <f t="shared" si="36"/>
        <v>134581.39615546179</v>
      </c>
      <c r="AO16" s="42">
        <f t="shared" ref="AO16:AU16" si="37">+AO551</f>
        <v>504.86400000000003</v>
      </c>
      <c r="AP16" s="42">
        <f t="shared" si="37"/>
        <v>1744.0760000000002</v>
      </c>
      <c r="AQ16" s="42">
        <f t="shared" si="37"/>
        <v>13119.990000000002</v>
      </c>
      <c r="AR16" s="42">
        <f t="shared" si="37"/>
        <v>30141.885999999999</v>
      </c>
      <c r="AS16" s="42">
        <f t="shared" si="37"/>
        <v>59491.865000000005</v>
      </c>
      <c r="AT16" s="42">
        <f t="shared" si="37"/>
        <v>93949.938999999998</v>
      </c>
      <c r="AU16" s="42">
        <f t="shared" si="37"/>
        <v>130557.58900000001</v>
      </c>
      <c r="AV16" s="42">
        <f t="shared" ref="AV16" si="38">+AV551</f>
        <v>247639.20499999999</v>
      </c>
      <c r="AW16" s="42">
        <f>+SUM(AF16:AI16)</f>
        <v>391856.44613573665</v>
      </c>
      <c r="AX16" s="42">
        <f t="shared" si="19"/>
        <v>460319.19771594653</v>
      </c>
      <c r="AZ16" s="42"/>
    </row>
    <row r="17" spans="2:55" s="1" customFormat="1" x14ac:dyDescent="0.2">
      <c r="B17" s="38"/>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O17" s="42"/>
      <c r="AP17" s="42"/>
      <c r="AQ17" s="42"/>
      <c r="AR17" s="42"/>
      <c r="AS17" s="42"/>
      <c r="AT17" s="42"/>
      <c r="AU17" s="42"/>
      <c r="AV17" s="42"/>
    </row>
    <row r="18" spans="2:55" x14ac:dyDescent="0.2">
      <c r="B18" s="19" t="s">
        <v>86</v>
      </c>
      <c r="O18" s="33"/>
      <c r="R18" s="33"/>
      <c r="S18" s="33"/>
      <c r="U18" s="33"/>
      <c r="V18" s="33"/>
      <c r="W18" s="33"/>
      <c r="Z18" s="33"/>
      <c r="AA18" s="33"/>
      <c r="BC18" s="1"/>
    </row>
    <row r="19" spans="2:55" x14ac:dyDescent="0.2">
      <c r="B19" s="20" t="s">
        <v>226</v>
      </c>
      <c r="L19" s="46">
        <f t="shared" ref="L19:U23" si="39">IFERROR(L12/H12-1,"n/a")</f>
        <v>2.5632289504557355</v>
      </c>
      <c r="M19" s="46">
        <f t="shared" si="39"/>
        <v>1.7276271303678858</v>
      </c>
      <c r="N19" s="46">
        <f t="shared" si="39"/>
        <v>1.2565997959077313</v>
      </c>
      <c r="O19" s="46">
        <f t="shared" si="39"/>
        <v>0.91346813691115147</v>
      </c>
      <c r="P19" s="46">
        <f t="shared" si="39"/>
        <v>0.39100661683399962</v>
      </c>
      <c r="Q19" s="46">
        <f t="shared" si="39"/>
        <v>0.7093819723389545</v>
      </c>
      <c r="R19" s="46">
        <f t="shared" si="39"/>
        <v>0.86022792375125801</v>
      </c>
      <c r="S19" s="46">
        <f t="shared" si="39"/>
        <v>0.95339764351096257</v>
      </c>
      <c r="T19" s="46">
        <f t="shared" si="39"/>
        <v>1.5693358119684575</v>
      </c>
      <c r="U19" s="46">
        <f t="shared" si="39"/>
        <v>0.63554164935125335</v>
      </c>
      <c r="V19" s="46">
        <f t="shared" ref="V19:AG23" si="40">IFERROR(V12/R12-1,"n/a")</f>
        <v>0.43746349571592291</v>
      </c>
      <c r="W19" s="46">
        <f t="shared" si="40"/>
        <v>0.18513004060094174</v>
      </c>
      <c r="X19" s="46">
        <f t="shared" si="40"/>
        <v>0.28678333380339938</v>
      </c>
      <c r="Y19" s="46">
        <f t="shared" si="40"/>
        <v>0.39226037847906059</v>
      </c>
      <c r="Z19" s="46">
        <f t="shared" si="40"/>
        <v>0.58391058622251402</v>
      </c>
      <c r="AA19" s="46">
        <f t="shared" si="40"/>
        <v>0.3808339629505475</v>
      </c>
      <c r="AB19" s="46">
        <f t="shared" si="40"/>
        <v>0.50037384850282995</v>
      </c>
      <c r="AC19" s="46">
        <f t="shared" si="40"/>
        <v>0.50690648354835566</v>
      </c>
      <c r="AD19" s="46">
        <f t="shared" si="40"/>
        <v>0.39619269852979588</v>
      </c>
      <c r="AE19" s="46">
        <f t="shared" si="40"/>
        <v>0.57194570951141555</v>
      </c>
      <c r="AF19" s="46">
        <f t="shared" si="40"/>
        <v>0.55834602644959386</v>
      </c>
      <c r="AG19" s="46">
        <f t="shared" si="40"/>
        <v>0.29481150510490517</v>
      </c>
      <c r="AH19" s="46">
        <f t="shared" ref="AH19:AJ23" si="41">IFERROR(AH12/AD12-1,"n/a")</f>
        <v>0.21337437024682648</v>
      </c>
      <c r="AI19" s="46">
        <f t="shared" si="41"/>
        <v>0.18139979192123223</v>
      </c>
      <c r="AJ19" s="46">
        <f t="shared" si="41"/>
        <v>0.12422449980655381</v>
      </c>
      <c r="AK19" s="46">
        <f t="shared" ref="AK19:AK23" si="42">IFERROR(AK12/AG12-1,"n/a")</f>
        <v>0.13585258499999986</v>
      </c>
      <c r="AL19" s="46">
        <f t="shared" ref="AL19:AL23" si="43">IFERROR(AL12/AH12-1,"n/a")</f>
        <v>0.14780892799999967</v>
      </c>
      <c r="AM19" s="46">
        <f t="shared" ref="AM19:AM23" si="44">IFERROR(AM12/AI12-1,"n/a")</f>
        <v>0.18124025599999971</v>
      </c>
      <c r="AN19" s="55"/>
      <c r="AO19" s="55"/>
      <c r="AP19" s="46" t="str">
        <f t="shared" ref="AP19:AV23" si="45">IFERROR(AP12/AO12-1,"n/a")</f>
        <v>n/a</v>
      </c>
      <c r="AQ19" s="46">
        <f t="shared" si="45"/>
        <v>8.5227098881561272</v>
      </c>
      <c r="AR19" s="46">
        <f t="shared" si="45"/>
        <v>1.3284674017580538</v>
      </c>
      <c r="AS19" s="46">
        <f t="shared" si="45"/>
        <v>0.7884098246858755</v>
      </c>
      <c r="AT19" s="46">
        <f t="shared" si="45"/>
        <v>0.51319465354336313</v>
      </c>
      <c r="AU19" s="46">
        <f t="shared" si="45"/>
        <v>0.41561615316768075</v>
      </c>
      <c r="AV19" s="46">
        <f t="shared" si="45"/>
        <v>0.49472037731692042</v>
      </c>
      <c r="AW19" s="46">
        <f t="shared" ref="AW19:AX19" si="46">IFERROR(AW12/AV12-1,"n/a")</f>
        <v>0.28456932988020567</v>
      </c>
      <c r="AX19" s="46">
        <f t="shared" si="46"/>
        <v>0.14950198921015367</v>
      </c>
    </row>
    <row r="20" spans="2:55" ht="13.5" x14ac:dyDescent="0.35">
      <c r="B20" s="20" t="s">
        <v>227</v>
      </c>
      <c r="L20" s="47">
        <f t="shared" si="39"/>
        <v>1.1583412898185919</v>
      </c>
      <c r="M20" s="47">
        <f t="shared" si="39"/>
        <v>1.4340420119848325</v>
      </c>
      <c r="N20" s="47">
        <f t="shared" si="39"/>
        <v>1.014931968775187</v>
      </c>
      <c r="O20" s="47">
        <f t="shared" si="39"/>
        <v>0.86972904805052553</v>
      </c>
      <c r="P20" s="47">
        <f t="shared" si="39"/>
        <v>0.75738366929740786</v>
      </c>
      <c r="Q20" s="47">
        <f t="shared" si="39"/>
        <v>0.38360502348302128</v>
      </c>
      <c r="R20" s="47">
        <f t="shared" si="39"/>
        <v>0.65998208084058052</v>
      </c>
      <c r="S20" s="47">
        <f t="shared" si="39"/>
        <v>1.0504788761938002</v>
      </c>
      <c r="T20" s="47">
        <f t="shared" si="39"/>
        <v>1.7951046397321102</v>
      </c>
      <c r="U20" s="47">
        <f t="shared" si="39"/>
        <v>1.6414834839107444</v>
      </c>
      <c r="V20" s="47">
        <f t="shared" si="40"/>
        <v>1.6102277265479787</v>
      </c>
      <c r="W20" s="47">
        <f t="shared" si="40"/>
        <v>1.0830813731736848</v>
      </c>
      <c r="X20" s="47">
        <f t="shared" si="40"/>
        <v>0.90736983941531157</v>
      </c>
      <c r="Y20" s="47">
        <f t="shared" si="40"/>
        <v>1.0668069096081378</v>
      </c>
      <c r="Z20" s="47">
        <f t="shared" si="40"/>
        <v>1.0195441837805537</v>
      </c>
      <c r="AA20" s="47">
        <f t="shared" si="40"/>
        <v>0.86203981254771844</v>
      </c>
      <c r="AB20" s="47">
        <f t="shared" si="40"/>
        <v>0.85867778897154134</v>
      </c>
      <c r="AC20" s="47">
        <f t="shared" si="40"/>
        <v>1.3081465916434247</v>
      </c>
      <c r="AD20" s="47">
        <f t="shared" si="40"/>
        <v>3.1514734874225532</v>
      </c>
      <c r="AE20" s="47">
        <f t="shared" si="40"/>
        <v>3.5705488512189003</v>
      </c>
      <c r="AF20" s="47">
        <f t="shared" si="40"/>
        <v>3.2680093112191875</v>
      </c>
      <c r="AG20" s="47">
        <f t="shared" si="40"/>
        <v>2.3415069936632618</v>
      </c>
      <c r="AH20" s="47">
        <f t="shared" si="41"/>
        <v>0.69689865827534736</v>
      </c>
      <c r="AI20" s="47">
        <f t="shared" si="41"/>
        <v>0.31460675828012286</v>
      </c>
      <c r="AJ20" s="47">
        <f t="shared" si="41"/>
        <v>9.183372890589947E-2</v>
      </c>
      <c r="AK20" s="47">
        <f t="shared" si="42"/>
        <v>0.1970855348270768</v>
      </c>
      <c r="AL20" s="47">
        <f t="shared" si="43"/>
        <v>0.23558433452163019</v>
      </c>
      <c r="AM20" s="47">
        <f t="shared" si="44"/>
        <v>0.26108426700114928</v>
      </c>
      <c r="AN20" s="56"/>
      <c r="AO20" s="56"/>
      <c r="AP20" s="47">
        <f t="shared" si="45"/>
        <v>10.007871406081698</v>
      </c>
      <c r="AQ20" s="47">
        <f t="shared" si="45"/>
        <v>2.0191319041955826</v>
      </c>
      <c r="AR20" s="47">
        <f t="shared" si="45"/>
        <v>1.0744289974850645</v>
      </c>
      <c r="AS20" s="47">
        <f t="shared" si="45"/>
        <v>0.73887889863877221</v>
      </c>
      <c r="AT20" s="47">
        <f t="shared" si="45"/>
        <v>1.4433100097366443</v>
      </c>
      <c r="AU20" s="47">
        <f t="shared" si="45"/>
        <v>0.95372113007161219</v>
      </c>
      <c r="AV20" s="47">
        <f t="shared" si="45"/>
        <v>2.4061018383295401</v>
      </c>
      <c r="AW20" s="47">
        <f t="shared" ref="AW20:AX20" si="47">IFERROR(AW13/AV13-1,"n/a")</f>
        <v>1.0682863858569451</v>
      </c>
      <c r="AX20" s="47">
        <f t="shared" si="47"/>
        <v>0.20026390010949857</v>
      </c>
    </row>
    <row r="21" spans="2:55" x14ac:dyDescent="0.2">
      <c r="B21" s="30" t="s">
        <v>224</v>
      </c>
      <c r="L21" s="46">
        <f t="shared" si="39"/>
        <v>2.2826743242111105</v>
      </c>
      <c r="M21" s="46">
        <f t="shared" si="39"/>
        <v>1.6909871593173387</v>
      </c>
      <c r="N21" s="46">
        <f t="shared" si="39"/>
        <v>1.228059511009608</v>
      </c>
      <c r="O21" s="46">
        <f t="shared" si="39"/>
        <v>0.90889191608939801</v>
      </c>
      <c r="P21" s="46">
        <f t="shared" si="39"/>
        <v>0.4391123038701894</v>
      </c>
      <c r="Q21" s="46">
        <f t="shared" si="39"/>
        <v>0.67260653211903199</v>
      </c>
      <c r="R21" s="46">
        <f t="shared" si="39"/>
        <v>0.83884157835534645</v>
      </c>
      <c r="S21" s="46">
        <f t="shared" si="39"/>
        <v>0.9633464242490728</v>
      </c>
      <c r="T21" s="46">
        <f t="shared" si="39"/>
        <v>1.6055354339412009</v>
      </c>
      <c r="U21" s="46">
        <f t="shared" si="39"/>
        <v>0.72947693059680652</v>
      </c>
      <c r="V21" s="46">
        <f t="shared" si="40"/>
        <v>0.55053231680485437</v>
      </c>
      <c r="W21" s="46">
        <f t="shared" si="40"/>
        <v>0.28123498692299087</v>
      </c>
      <c r="X21" s="46">
        <f t="shared" si="40"/>
        <v>0.39352733365991965</v>
      </c>
      <c r="Y21" s="46">
        <f t="shared" si="40"/>
        <v>0.48846610192679196</v>
      </c>
      <c r="Z21" s="46">
        <f t="shared" si="40"/>
        <v>0.65461574392366395</v>
      </c>
      <c r="AA21" s="46">
        <f t="shared" si="40"/>
        <v>0.46456785635225151</v>
      </c>
      <c r="AB21" s="46">
        <f t="shared" si="40"/>
        <v>0.58472910461008754</v>
      </c>
      <c r="AC21" s="46">
        <f t="shared" si="40"/>
        <v>0.66558299126397014</v>
      </c>
      <c r="AD21" s="46">
        <f t="shared" si="40"/>
        <v>0.94201565751559269</v>
      </c>
      <c r="AE21" s="46">
        <f t="shared" si="40"/>
        <v>1.2353355910596777</v>
      </c>
      <c r="AF21" s="46">
        <f t="shared" si="40"/>
        <v>1.3065585373986539</v>
      </c>
      <c r="AG21" s="46">
        <f t="shared" si="40"/>
        <v>0.85650616552004966</v>
      </c>
      <c r="AH21" s="46">
        <f t="shared" si="41"/>
        <v>0.41813844868183447</v>
      </c>
      <c r="AI21" s="46">
        <f t="shared" si="41"/>
        <v>0.24165608509687808</v>
      </c>
      <c r="AJ21" s="46">
        <f t="shared" si="41"/>
        <v>0.10767473597515353</v>
      </c>
      <c r="AK21" s="46">
        <f t="shared" si="42"/>
        <v>0.16609930063137046</v>
      </c>
      <c r="AL21" s="46">
        <f t="shared" si="43"/>
        <v>0.19228696389514677</v>
      </c>
      <c r="AM21" s="46">
        <f t="shared" si="44"/>
        <v>0.21947976953290582</v>
      </c>
      <c r="AN21" s="55"/>
      <c r="AO21" s="55"/>
      <c r="AP21" s="46">
        <f t="shared" si="45"/>
        <v>35.057067694092304</v>
      </c>
      <c r="AQ21" s="46">
        <f t="shared" si="45"/>
        <v>6.5372309042788181</v>
      </c>
      <c r="AR21" s="46">
        <f t="shared" si="45"/>
        <v>1.2974015986292669</v>
      </c>
      <c r="AS21" s="46">
        <f t="shared" si="45"/>
        <v>0.78294065606909946</v>
      </c>
      <c r="AT21" s="46">
        <f t="shared" si="45"/>
        <v>0.6133592230942988</v>
      </c>
      <c r="AU21" s="46">
        <f t="shared" si="45"/>
        <v>0.50337518456936836</v>
      </c>
      <c r="AV21" s="46">
        <f t="shared" si="45"/>
        <v>0.89982516703808413</v>
      </c>
      <c r="AW21" s="46">
        <f t="shared" ref="AW21:AX21" si="48">IFERROR(AW14/AV14-1,"n/a")</f>
        <v>0.58236837392422025</v>
      </c>
      <c r="AX21" s="46">
        <f t="shared" si="48"/>
        <v>0.17471385823903174</v>
      </c>
    </row>
    <row r="22" spans="2:55" ht="13.5" x14ac:dyDescent="0.35">
      <c r="B22" s="20" t="s">
        <v>223</v>
      </c>
      <c r="L22" s="47" t="str">
        <f t="shared" si="39"/>
        <v>n/a</v>
      </c>
      <c r="M22" s="47" t="str">
        <f t="shared" si="39"/>
        <v>n/a</v>
      </c>
      <c r="N22" s="47" t="str">
        <f t="shared" si="39"/>
        <v>n/a</v>
      </c>
      <c r="O22" s="47" t="str">
        <f t="shared" si="39"/>
        <v>n/a</v>
      </c>
      <c r="P22" s="47" t="str">
        <f t="shared" si="39"/>
        <v>n/a</v>
      </c>
      <c r="Q22" s="47" t="str">
        <f t="shared" si="39"/>
        <v>n/a</v>
      </c>
      <c r="R22" s="47" t="str">
        <f t="shared" si="39"/>
        <v>n/a</v>
      </c>
      <c r="S22" s="47" t="str">
        <f t="shared" si="39"/>
        <v>n/a</v>
      </c>
      <c r="T22" s="47" t="str">
        <f t="shared" si="39"/>
        <v>n/a</v>
      </c>
      <c r="U22" s="47" t="str">
        <f t="shared" si="39"/>
        <v>n/a</v>
      </c>
      <c r="V22" s="47">
        <f t="shared" si="40"/>
        <v>-0.79096130053815727</v>
      </c>
      <c r="W22" s="47">
        <f t="shared" si="40"/>
        <v>-0.98475656928741362</v>
      </c>
      <c r="X22" s="47">
        <f t="shared" si="40"/>
        <v>-0.99144109701963534</v>
      </c>
      <c r="Y22" s="47">
        <f t="shared" si="40"/>
        <v>-0.9741032794511999</v>
      </c>
      <c r="Z22" s="47">
        <f t="shared" si="40"/>
        <v>-0.31307312914814589</v>
      </c>
      <c r="AA22" s="47">
        <f t="shared" si="40"/>
        <v>-0.28743020863943991</v>
      </c>
      <c r="AB22" s="47">
        <f t="shared" si="40"/>
        <v>-1</v>
      </c>
      <c r="AC22" s="47">
        <f t="shared" si="40"/>
        <v>-1</v>
      </c>
      <c r="AD22" s="47">
        <f t="shared" si="40"/>
        <v>-1</v>
      </c>
      <c r="AE22" s="47">
        <f t="shared" si="40"/>
        <v>-1</v>
      </c>
      <c r="AF22" s="47" t="str">
        <f t="shared" si="40"/>
        <v>n/a</v>
      </c>
      <c r="AG22" s="47" t="str">
        <f t="shared" si="40"/>
        <v>n/a</v>
      </c>
      <c r="AH22" s="47" t="str">
        <f t="shared" si="41"/>
        <v>n/a</v>
      </c>
      <c r="AI22" s="47" t="str">
        <f t="shared" si="41"/>
        <v>n/a</v>
      </c>
      <c r="AJ22" s="47" t="str">
        <f t="shared" si="41"/>
        <v>n/a</v>
      </c>
      <c r="AK22" s="47" t="str">
        <f t="shared" si="42"/>
        <v>n/a</v>
      </c>
      <c r="AL22" s="47" t="str">
        <f t="shared" si="43"/>
        <v>n/a</v>
      </c>
      <c r="AM22" s="47" t="str">
        <f t="shared" si="44"/>
        <v>n/a</v>
      </c>
      <c r="AN22" s="56"/>
      <c r="AO22" s="56"/>
      <c r="AP22" s="47">
        <f t="shared" si="45"/>
        <v>-0.99258631413878595</v>
      </c>
      <c r="AQ22" s="47">
        <f t="shared" si="45"/>
        <v>-1</v>
      </c>
      <c r="AR22" s="47" t="str">
        <f t="shared" si="45"/>
        <v>n/a</v>
      </c>
      <c r="AS22" s="47" t="str">
        <f t="shared" si="45"/>
        <v>n/a</v>
      </c>
      <c r="AT22" s="47">
        <f t="shared" si="45"/>
        <v>0.26004217594781531</v>
      </c>
      <c r="AU22" s="47">
        <f t="shared" si="45"/>
        <v>-0.97113325148687124</v>
      </c>
      <c r="AV22" s="47">
        <f t="shared" si="45"/>
        <v>-1</v>
      </c>
      <c r="AW22" s="47" t="str">
        <f t="shared" ref="AW22:AX22" si="49">IFERROR(AW15/AV15-1,"n/a")</f>
        <v>n/a</v>
      </c>
      <c r="AX22" s="47" t="str">
        <f t="shared" si="49"/>
        <v>n/a</v>
      </c>
    </row>
    <row r="23" spans="2:55" x14ac:dyDescent="0.2">
      <c r="B23" s="30" t="s">
        <v>225</v>
      </c>
      <c r="L23" s="46">
        <f t="shared" si="39"/>
        <v>2.2826743242111105</v>
      </c>
      <c r="M23" s="46">
        <f t="shared" si="39"/>
        <v>1.6909871593173387</v>
      </c>
      <c r="N23" s="46">
        <f t="shared" si="39"/>
        <v>1.228059511009608</v>
      </c>
      <c r="O23" s="46">
        <f t="shared" si="39"/>
        <v>0.90889191608939801</v>
      </c>
      <c r="P23" s="46">
        <f t="shared" si="39"/>
        <v>0.4391123038701894</v>
      </c>
      <c r="Q23" s="46">
        <f t="shared" si="39"/>
        <v>0.67260653211903199</v>
      </c>
      <c r="R23" s="46">
        <f t="shared" si="39"/>
        <v>0.89112061994573266</v>
      </c>
      <c r="S23" s="46">
        <f t="shared" si="39"/>
        <v>1.4597779096773142</v>
      </c>
      <c r="T23" s="46">
        <f t="shared" si="39"/>
        <v>2.3889159232472905</v>
      </c>
      <c r="U23" s="46">
        <f t="shared" si="39"/>
        <v>0.89007009168548512</v>
      </c>
      <c r="V23" s="46">
        <f t="shared" si="40"/>
        <v>0.51344742656854292</v>
      </c>
      <c r="W23" s="46">
        <f t="shared" si="40"/>
        <v>2.573303029651286E-2</v>
      </c>
      <c r="X23" s="46">
        <f t="shared" si="40"/>
        <v>7.3378568842048297E-2</v>
      </c>
      <c r="Y23" s="46">
        <f t="shared" si="40"/>
        <v>0.36419629770088102</v>
      </c>
      <c r="Z23" s="46">
        <f t="shared" si="40"/>
        <v>0.6509208371079036</v>
      </c>
      <c r="AA23" s="46">
        <f t="shared" si="40"/>
        <v>0.46231243065313099</v>
      </c>
      <c r="AB23" s="46">
        <f t="shared" si="40"/>
        <v>0.58180810045890752</v>
      </c>
      <c r="AC23" s="46">
        <f t="shared" si="40"/>
        <v>0.66289651308185915</v>
      </c>
      <c r="AD23" s="46">
        <f t="shared" si="40"/>
        <v>0.93893030546381095</v>
      </c>
      <c r="AE23" s="46">
        <f t="shared" si="40"/>
        <v>1.2320686464610224</v>
      </c>
      <c r="AF23" s="46">
        <f t="shared" si="40"/>
        <v>1.3065585373986539</v>
      </c>
      <c r="AG23" s="46">
        <f t="shared" si="40"/>
        <v>0.85650616552004966</v>
      </c>
      <c r="AH23" s="46">
        <f t="shared" si="41"/>
        <v>0.41813844868183447</v>
      </c>
      <c r="AI23" s="46">
        <f t="shared" si="41"/>
        <v>0.24165608509687808</v>
      </c>
      <c r="AJ23" s="46">
        <f t="shared" si="41"/>
        <v>0.10767473597515353</v>
      </c>
      <c r="AK23" s="46">
        <f t="shared" si="42"/>
        <v>0.16609930063137046</v>
      </c>
      <c r="AL23" s="46">
        <f t="shared" si="43"/>
        <v>0.19228696389514677</v>
      </c>
      <c r="AM23" s="46">
        <f t="shared" si="44"/>
        <v>0.21947976953290582</v>
      </c>
      <c r="AN23" s="55"/>
      <c r="AO23" s="55"/>
      <c r="AP23" s="46">
        <f t="shared" si="45"/>
        <v>2.4545461748114348</v>
      </c>
      <c r="AQ23" s="46">
        <f t="shared" si="45"/>
        <v>6.5226022260497825</v>
      </c>
      <c r="AR23" s="46">
        <f t="shared" si="45"/>
        <v>1.2974015986292669</v>
      </c>
      <c r="AS23" s="46">
        <f t="shared" si="45"/>
        <v>0.97372735733921911</v>
      </c>
      <c r="AT23" s="46">
        <f t="shared" si="45"/>
        <v>0.57920648478577674</v>
      </c>
      <c r="AU23" s="46">
        <f t="shared" si="45"/>
        <v>0.38965059892162368</v>
      </c>
      <c r="AV23" s="46">
        <f t="shared" si="45"/>
        <v>0.89678138893940496</v>
      </c>
      <c r="AW23" s="46">
        <f t="shared" ref="AW23:AX23" si="50">IFERROR(AW16/AV16-1,"n/a")</f>
        <v>0.58236837392422047</v>
      </c>
      <c r="AX23" s="46">
        <f t="shared" si="50"/>
        <v>0.17471385823903174</v>
      </c>
      <c r="BC23" s="1"/>
    </row>
    <row r="24" spans="2:55" x14ac:dyDescent="0.2">
      <c r="B24" s="30"/>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55"/>
      <c r="AO24" s="55"/>
      <c r="AP24" s="46"/>
      <c r="AQ24" s="46"/>
      <c r="AR24" s="46"/>
      <c r="AS24" s="46"/>
      <c r="AT24" s="46"/>
      <c r="AU24" s="46"/>
      <c r="AV24" s="46"/>
      <c r="AW24" s="46"/>
      <c r="AX24" s="46"/>
      <c r="BC24" s="1"/>
    </row>
    <row r="25" spans="2:55" x14ac:dyDescent="0.2">
      <c r="B25" s="19" t="s">
        <v>262</v>
      </c>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55"/>
      <c r="AO25" s="55"/>
      <c r="AP25" s="46"/>
      <c r="AQ25" s="46"/>
      <c r="AR25" s="46"/>
      <c r="AS25" s="46"/>
      <c r="AT25" s="46"/>
      <c r="AU25" s="46"/>
      <c r="AV25" s="46"/>
      <c r="AW25" s="46"/>
      <c r="AX25" s="46"/>
      <c r="BC25" s="1"/>
    </row>
    <row r="26" spans="2:55" x14ac:dyDescent="0.2">
      <c r="B26" s="20" t="s">
        <v>226</v>
      </c>
      <c r="I26" s="46">
        <f>IFERROR(I12/H12-1,"n/a")</f>
        <v>1.1396552657702377</v>
      </c>
      <c r="J26" s="46">
        <f t="shared" ref="J26" si="51">IFERROR(J12/I12-1,"n/a")</f>
        <v>0.25440962111421905</v>
      </c>
      <c r="K26" s="46">
        <f t="shared" ref="K26" si="52">IFERROR(K12/J12-1,"n/a")</f>
        <v>0.70212884711404455</v>
      </c>
      <c r="L26" s="46">
        <f t="shared" ref="L26" si="53">IFERROR(L12/K12-1,"n/a")</f>
        <v>-0.22004757447981949</v>
      </c>
      <c r="M26" s="46">
        <f t="shared" ref="M26" si="54">IFERROR(M12/L12-1,"n/a")</f>
        <v>0.6378913153483905</v>
      </c>
      <c r="N26" s="46">
        <f t="shared" ref="N26" si="55">IFERROR(N12/M12-1,"n/a")</f>
        <v>3.7788656475657545E-2</v>
      </c>
      <c r="O26" s="46">
        <f t="shared" ref="O26" si="56">IFERROR(O12/N12-1,"n/a")</f>
        <v>0.44330834371980443</v>
      </c>
      <c r="P26" s="46">
        <f t="shared" ref="P26" si="57">IFERROR(P12/O12-1,"n/a")</f>
        <v>-0.4330091189991554</v>
      </c>
      <c r="Q26" s="46">
        <f t="shared" ref="Q26" si="58">IFERROR(Q12/P12-1,"n/a")</f>
        <v>1.012773953210603</v>
      </c>
      <c r="R26" s="46">
        <f t="shared" ref="R26" si="59">IFERROR(R12/Q12-1,"n/a")</f>
        <v>0.12936925097365837</v>
      </c>
      <c r="S26" s="46">
        <f t="shared" ref="S26" si="60">IFERROR(S12/R12-1,"n/a")</f>
        <v>0.51559660054805678</v>
      </c>
      <c r="T26" s="46">
        <f t="shared" ref="T26" si="61">IFERROR(T12/S12-1,"n/a")</f>
        <v>-0.25422763744270871</v>
      </c>
      <c r="U26" s="46">
        <f t="shared" ref="U26" si="62">IFERROR(U12/T12-1,"n/a")</f>
        <v>0.28125549640909542</v>
      </c>
      <c r="V26" s="46">
        <f t="shared" ref="V26" si="63">IFERROR(V12/U12-1,"n/a")</f>
        <v>-7.4070739179220579E-3</v>
      </c>
      <c r="W26" s="46">
        <f t="shared" ref="W26" si="64">IFERROR(W12/V12-1,"n/a")</f>
        <v>0.24954759970971518</v>
      </c>
      <c r="X26" s="46">
        <f t="shared" ref="X26" si="65">IFERROR(X12/W12-1,"n/a")</f>
        <v>-0.1902597908468322</v>
      </c>
      <c r="Y26" s="46">
        <f t="shared" ref="Y26" si="66">IFERROR(Y12/X12-1,"n/a")</f>
        <v>0.38627942676746474</v>
      </c>
      <c r="Z26" s="46">
        <f t="shared" ref="Z26" si="67">IFERROR(Z12/Y12-1,"n/a")</f>
        <v>0.12922731102099649</v>
      </c>
      <c r="AA26" s="46">
        <f t="shared" ref="AA26" si="68">IFERROR(AA12/Z12-1,"n/a")</f>
        <v>8.93403826016963E-2</v>
      </c>
      <c r="AB26" s="46">
        <f t="shared" ref="AB26" si="69">IFERROR(AB12/AA12-1,"n/a")</f>
        <v>-0.12015994211308723</v>
      </c>
      <c r="AC26" s="46">
        <f t="shared" ref="AC26" si="70">IFERROR(AC12/AB12-1,"n/a")</f>
        <v>0.39231529414493815</v>
      </c>
      <c r="AD26" s="46">
        <f t="shared" ref="AD26:AG27" si="71">IFERROR(AD12/AC12-1,"n/a")</f>
        <v>4.6261957089361427E-2</v>
      </c>
      <c r="AE26" s="46">
        <f t="shared" si="71"/>
        <v>0.22646676381520736</v>
      </c>
      <c r="AF26" s="46">
        <f t="shared" si="71"/>
        <v>-0.12777187543874635</v>
      </c>
      <c r="AG26" s="46">
        <f t="shared" si="71"/>
        <v>0.15685850959539693</v>
      </c>
      <c r="AH26" s="46">
        <f t="shared" ref="AH26" si="72">IFERROR(AH12/AG12-1,"n/a")</f>
        <v>-1.9542660617878016E-2</v>
      </c>
      <c r="AI26" s="46">
        <f t="shared" ref="AI26:AJ26" si="73">IFERROR(AI12/AH12-1,"n/a")</f>
        <v>0.19414717757294131</v>
      </c>
      <c r="AJ26" s="46">
        <f t="shared" si="73"/>
        <v>-0.16998442546072301</v>
      </c>
      <c r="AK26" s="46">
        <f t="shared" ref="AK26:AK30" si="74">IFERROR(AK12/AJ12-1,"n/a")</f>
        <v>0.16882413506313321</v>
      </c>
      <c r="AL26" s="46">
        <f t="shared" ref="AL26:AL30" si="75">IFERROR(AL12/AK12-1,"n/a")</f>
        <v>-9.2220570454347728E-3</v>
      </c>
      <c r="AM26" s="46">
        <f t="shared" ref="AM26:AM30" si="76">IFERROR(AM12/AL12-1,"n/a")</f>
        <v>0.22892816332749311</v>
      </c>
      <c r="AN26" s="55"/>
      <c r="AO26" s="55"/>
      <c r="AP26" s="46"/>
      <c r="AQ26" s="46"/>
      <c r="AR26" s="46"/>
      <c r="AS26" s="46"/>
      <c r="AT26" s="46"/>
      <c r="AU26" s="46"/>
      <c r="AV26" s="46"/>
      <c r="AW26" s="46"/>
      <c r="AX26" s="46"/>
    </row>
    <row r="27" spans="2:55" ht="13.5" x14ac:dyDescent="0.35">
      <c r="B27" s="20" t="s">
        <v>227</v>
      </c>
      <c r="I27" s="47">
        <f>IFERROR(I13/H13-1,"n/a")</f>
        <v>0.2227454214043918</v>
      </c>
      <c r="J27" s="47">
        <f t="shared" ref="J27" si="77">IFERROR(J13/I13-1,"n/a")</f>
        <v>0.17799487716433893</v>
      </c>
      <c r="K27" s="47">
        <f t="shared" ref="K27" si="78">IFERROR(K13/J13-1,"n/a")</f>
        <v>0.48527266472997144</v>
      </c>
      <c r="L27" s="47">
        <f t="shared" ref="L27" si="79">IFERROR(L13/K13-1,"n/a")</f>
        <v>8.8683174877945969E-3</v>
      </c>
      <c r="M27" s="47">
        <f t="shared" ref="M27" si="80">IFERROR(M13/L13-1,"n/a")</f>
        <v>0.37893563900199401</v>
      </c>
      <c r="N27" s="47">
        <f t="shared" ref="N27" si="81">IFERROR(N13/M13-1,"n/a")</f>
        <v>-2.4840357986961159E-2</v>
      </c>
      <c r="O27" s="47">
        <f t="shared" ref="O27" si="82">IFERROR(O13/N13-1,"n/a")</f>
        <v>0.37823881329805986</v>
      </c>
      <c r="P27" s="47">
        <f t="shared" ref="P27" si="83">IFERROR(P13/O13-1,"n/a")</f>
        <v>-5.1750997037142921E-2</v>
      </c>
      <c r="Q27" s="47">
        <f t="shared" ref="Q27" si="84">IFERROR(Q13/P13-1,"n/a")</f>
        <v>8.5649258335089407E-2</v>
      </c>
      <c r="R27" s="47">
        <f t="shared" ref="R27" si="85">IFERROR(R13/Q13-1,"n/a")</f>
        <v>0.16994915761840912</v>
      </c>
      <c r="S27" s="47">
        <f t="shared" ref="S27" si="86">IFERROR(S13/R13-1,"n/a")</f>
        <v>0.70245787929652215</v>
      </c>
      <c r="T27" s="47">
        <f t="shared" ref="T27" si="87">IFERROR(T13/S13-1,"n/a")</f>
        <v>0.29260301999439986</v>
      </c>
      <c r="U27" s="47">
        <f t="shared" ref="U27" si="88">IFERROR(U13/T13-1,"n/a")</f>
        <v>2.5981118720098229E-2</v>
      </c>
      <c r="V27" s="47">
        <f t="shared" ref="V27" si="89">IFERROR(V13/U13-1,"n/a")</f>
        <v>0.15610555525631753</v>
      </c>
      <c r="W27" s="47">
        <f t="shared" ref="W27" si="90">IFERROR(W13/V13-1,"n/a")</f>
        <v>0.35863942479279776</v>
      </c>
      <c r="X27" s="47">
        <f t="shared" ref="X27" si="91">IFERROR(X13/W13-1,"n/a")</f>
        <v>0.18356970900190439</v>
      </c>
      <c r="Y27" s="47">
        <f t="shared" ref="Y27" si="92">IFERROR(Y13/X13-1,"n/a")</f>
        <v>0.11174289405153304</v>
      </c>
      <c r="Z27" s="47">
        <f t="shared" ref="Z27" si="93">IFERROR(Z13/Y13-1,"n/a")</f>
        <v>0.12966830094300263</v>
      </c>
      <c r="AA27" s="47">
        <f t="shared" ref="AA27" si="94">IFERROR(AA13/Z13-1,"n/a")</f>
        <v>0.25267905509514565</v>
      </c>
      <c r="AB27" s="47">
        <f t="shared" ref="AB27" si="95">IFERROR(AB13/AA13-1,"n/a")</f>
        <v>0.18143270353139895</v>
      </c>
      <c r="AC27" s="47">
        <f t="shared" ref="AC27" si="96">IFERROR(AC13/AB13-1,"n/a")</f>
        <v>0.38058655831289578</v>
      </c>
      <c r="AD27" s="47">
        <f t="shared" ref="AD27:AE27" si="97">IFERROR(AD13/AC13-1,"n/a")</f>
        <v>1.0318414861195531</v>
      </c>
      <c r="AE27" s="47">
        <f t="shared" si="97"/>
        <v>0.37913221258838758</v>
      </c>
      <c r="AF27" s="47">
        <f t="shared" si="71"/>
        <v>0.10322981842894907</v>
      </c>
      <c r="AG27" s="47">
        <f t="shared" si="71"/>
        <v>8.0887904305491753E-2</v>
      </c>
      <c r="AH27" s="47">
        <f t="shared" ref="AH27" si="98">IFERROR(AH13/AG13-1,"n/a")</f>
        <v>3.181860704251771E-2</v>
      </c>
      <c r="AI27" s="47">
        <f t="shared" ref="AI27:AJ27" si="99">IFERROR(AI13/AH13-1,"n/a")</f>
        <v>6.8429465948887769E-2</v>
      </c>
      <c r="AJ27" s="47">
        <f t="shared" si="99"/>
        <v>-8.3723312002943584E-2</v>
      </c>
      <c r="AK27" s="47">
        <f t="shared" si="74"/>
        <v>0.18508454241495143</v>
      </c>
      <c r="AL27" s="47">
        <f t="shared" si="75"/>
        <v>6.5002349321536368E-2</v>
      </c>
      <c r="AM27" s="47">
        <f t="shared" si="76"/>
        <v>9.0479663964204482E-2</v>
      </c>
      <c r="AN27" s="55"/>
      <c r="AO27" s="55"/>
      <c r="AP27" s="46"/>
      <c r="AQ27" s="46"/>
      <c r="AR27" s="46"/>
      <c r="AS27" s="46"/>
      <c r="AT27" s="46"/>
      <c r="AU27" s="46"/>
      <c r="AV27" s="46"/>
      <c r="AW27" s="46"/>
      <c r="AX27" s="46"/>
    </row>
    <row r="28" spans="2:55" x14ac:dyDescent="0.2">
      <c r="B28" s="30" t="s">
        <v>224</v>
      </c>
      <c r="I28" s="46">
        <f>IFERROR(I14/H14-1,"n/a")</f>
        <v>0.95654930940543337</v>
      </c>
      <c r="J28" s="46">
        <f t="shared" ref="J28:AJ28" si="100">IFERROR(J14/I14-1,"n/a")</f>
        <v>0.24487291836314329</v>
      </c>
      <c r="K28" s="46">
        <f t="shared" si="100"/>
        <v>0.67651874708295345</v>
      </c>
      <c r="L28" s="46">
        <f t="shared" si="100"/>
        <v>-0.19609715167630537</v>
      </c>
      <c r="M28" s="46">
        <f t="shared" si="100"/>
        <v>0.60389016642597348</v>
      </c>
      <c r="N28" s="46">
        <f t="shared" si="100"/>
        <v>3.071875915636868E-2</v>
      </c>
      <c r="O28" s="46">
        <f t="shared" si="100"/>
        <v>0.43635888882914808</v>
      </c>
      <c r="P28" s="46">
        <f t="shared" si="100"/>
        <v>-0.39393819503988148</v>
      </c>
      <c r="Q28" s="46">
        <f t="shared" si="100"/>
        <v>0.86411940329539916</v>
      </c>
      <c r="R28" s="46">
        <f t="shared" si="100"/>
        <v>0.13315862011274193</v>
      </c>
      <c r="S28" s="46">
        <f t="shared" si="100"/>
        <v>0.53361231414146104</v>
      </c>
      <c r="T28" s="46">
        <f t="shared" si="100"/>
        <v>-0.19570204805506031</v>
      </c>
      <c r="U28" s="46">
        <f t="shared" si="100"/>
        <v>0.23734701968748273</v>
      </c>
      <c r="V28" s="46">
        <f t="shared" si="100"/>
        <v>1.5913557138051981E-2</v>
      </c>
      <c r="W28" s="46">
        <f t="shared" si="100"/>
        <v>0.26725365989341809</v>
      </c>
      <c r="X28" s="46">
        <f t="shared" si="100"/>
        <v>-0.12521029172509412</v>
      </c>
      <c r="Y28" s="46">
        <f t="shared" si="100"/>
        <v>0.32164547521851961</v>
      </c>
      <c r="Z28" s="46">
        <f t="shared" si="100"/>
        <v>0.1293146440689239</v>
      </c>
      <c r="AA28" s="46">
        <f t="shared" si="100"/>
        <v>0.1216978823877759</v>
      </c>
      <c r="AB28" s="46">
        <f t="shared" si="100"/>
        <v>-5.3437705119766421E-2</v>
      </c>
      <c r="AC28" s="46">
        <f t="shared" si="100"/>
        <v>0.38907666780472949</v>
      </c>
      <c r="AD28" s="46">
        <f t="shared" si="100"/>
        <v>0.31674418659809533</v>
      </c>
      <c r="AE28" s="46">
        <f t="shared" si="100"/>
        <v>0.29111791102927076</v>
      </c>
      <c r="AF28" s="46">
        <f t="shared" si="100"/>
        <v>-2.3278047749128228E-2</v>
      </c>
      <c r="AG28" s="46">
        <f t="shared" si="100"/>
        <v>0.11804203376860345</v>
      </c>
      <c r="AH28" s="46">
        <f t="shared" si="100"/>
        <v>5.8278247462573152E-3</v>
      </c>
      <c r="AI28" s="46">
        <f t="shared" si="100"/>
        <v>0.13044280852632872</v>
      </c>
      <c r="AJ28" s="46">
        <f t="shared" si="100"/>
        <v>-0.12867158340692364</v>
      </c>
      <c r="AK28" s="46">
        <f t="shared" si="74"/>
        <v>0.17701342398702868</v>
      </c>
      <c r="AL28" s="46">
        <f t="shared" si="75"/>
        <v>2.8416192959436204E-2</v>
      </c>
      <c r="AM28" s="46">
        <f t="shared" si="76"/>
        <v>0.15622511807740613</v>
      </c>
      <c r="AN28" s="55"/>
      <c r="AO28" s="55"/>
      <c r="AP28" s="46"/>
      <c r="AQ28" s="46"/>
      <c r="AR28" s="46"/>
      <c r="AS28" s="46"/>
      <c r="AT28" s="46"/>
      <c r="AU28" s="46"/>
      <c r="AV28" s="46"/>
      <c r="AW28" s="46"/>
      <c r="AX28" s="46"/>
    </row>
    <row r="29" spans="2:55" ht="13.5" x14ac:dyDescent="0.35">
      <c r="B29" s="20" t="s">
        <v>223</v>
      </c>
      <c r="I29" s="47" t="str">
        <f>IFERROR(I15/H15-1,"n/a")</f>
        <v>n/a</v>
      </c>
      <c r="J29" s="47" t="str">
        <f t="shared" ref="J29:AJ29" si="101">IFERROR(J15/I15-1,"n/a")</f>
        <v>n/a</v>
      </c>
      <c r="K29" s="47" t="str">
        <f t="shared" si="101"/>
        <v>n/a</v>
      </c>
      <c r="L29" s="47" t="str">
        <f t="shared" si="101"/>
        <v>n/a</v>
      </c>
      <c r="M29" s="47" t="str">
        <f t="shared" si="101"/>
        <v>n/a</v>
      </c>
      <c r="N29" s="47" t="str">
        <f t="shared" si="101"/>
        <v>n/a</v>
      </c>
      <c r="O29" s="47" t="str">
        <f t="shared" si="101"/>
        <v>n/a</v>
      </c>
      <c r="P29" s="47" t="str">
        <f t="shared" si="101"/>
        <v>n/a</v>
      </c>
      <c r="Q29" s="47" t="str">
        <f t="shared" si="101"/>
        <v>n/a</v>
      </c>
      <c r="R29" s="47" t="str">
        <f t="shared" si="101"/>
        <v>n/a</v>
      </c>
      <c r="S29" s="47">
        <f t="shared" si="101"/>
        <v>12.63938119555422</v>
      </c>
      <c r="T29" s="47">
        <f t="shared" si="101"/>
        <v>-4.3620303595715448E-2</v>
      </c>
      <c r="U29" s="47">
        <f t="shared" si="101"/>
        <v>-0.61785513973277073</v>
      </c>
      <c r="V29" s="47">
        <f t="shared" si="101"/>
        <v>-0.95806528874256125</v>
      </c>
      <c r="W29" s="47">
        <f t="shared" si="101"/>
        <v>-5.3948730438959647E-3</v>
      </c>
      <c r="X29" s="47">
        <f t="shared" si="101"/>
        <v>-0.46301057890097286</v>
      </c>
      <c r="Y29" s="47">
        <f t="shared" si="101"/>
        <v>0.15625783797341364</v>
      </c>
      <c r="Z29" s="47">
        <f t="shared" si="101"/>
        <v>0.11234470518635375</v>
      </c>
      <c r="AA29" s="47">
        <f t="shared" si="101"/>
        <v>3.1733650078890951E-2</v>
      </c>
      <c r="AB29" s="47">
        <f t="shared" si="101"/>
        <v>-1</v>
      </c>
      <c r="AC29" s="47" t="str">
        <f t="shared" si="101"/>
        <v>n/a</v>
      </c>
      <c r="AD29" s="47" t="str">
        <f t="shared" si="101"/>
        <v>n/a</v>
      </c>
      <c r="AE29" s="47" t="str">
        <f t="shared" si="101"/>
        <v>n/a</v>
      </c>
      <c r="AF29" s="47" t="str">
        <f t="shared" si="101"/>
        <v>n/a</v>
      </c>
      <c r="AG29" s="47" t="str">
        <f t="shared" si="101"/>
        <v>n/a</v>
      </c>
      <c r="AH29" s="47" t="str">
        <f t="shared" si="101"/>
        <v>n/a</v>
      </c>
      <c r="AI29" s="47" t="str">
        <f t="shared" si="101"/>
        <v>n/a</v>
      </c>
      <c r="AJ29" s="47" t="str">
        <f t="shared" si="101"/>
        <v>n/a</v>
      </c>
      <c r="AK29" s="47" t="str">
        <f t="shared" si="74"/>
        <v>n/a</v>
      </c>
      <c r="AL29" s="47" t="str">
        <f t="shared" si="75"/>
        <v>n/a</v>
      </c>
      <c r="AM29" s="47" t="str">
        <f t="shared" si="76"/>
        <v>n/a</v>
      </c>
      <c r="AN29" s="55"/>
      <c r="AO29" s="55"/>
      <c r="AP29" s="46"/>
      <c r="AQ29" s="46"/>
      <c r="AR29" s="46"/>
      <c r="AS29" s="46"/>
      <c r="AT29" s="46"/>
      <c r="AU29" s="46"/>
      <c r="AV29" s="46"/>
      <c r="AW29" s="46"/>
      <c r="AX29" s="46"/>
    </row>
    <row r="30" spans="2:55" x14ac:dyDescent="0.2">
      <c r="B30" s="30" t="s">
        <v>225</v>
      </c>
      <c r="I30" s="46">
        <f>IFERROR(I16/H16-1,"n/a")</f>
        <v>0.95654930940543337</v>
      </c>
      <c r="J30" s="46">
        <f t="shared" ref="J30:AJ30" si="102">IFERROR(J16/I16-1,"n/a")</f>
        <v>0.24487291836314329</v>
      </c>
      <c r="K30" s="46">
        <f t="shared" si="102"/>
        <v>0.67651874708295345</v>
      </c>
      <c r="L30" s="46">
        <f t="shared" si="102"/>
        <v>-0.19609715167630537</v>
      </c>
      <c r="M30" s="46">
        <f t="shared" si="102"/>
        <v>0.60389016642597348</v>
      </c>
      <c r="N30" s="46">
        <f t="shared" si="102"/>
        <v>3.071875915636868E-2</v>
      </c>
      <c r="O30" s="46">
        <f t="shared" si="102"/>
        <v>0.43635888882914808</v>
      </c>
      <c r="P30" s="46">
        <f t="shared" si="102"/>
        <v>-0.39393819503988148</v>
      </c>
      <c r="Q30" s="46">
        <f t="shared" si="102"/>
        <v>0.86411940329539916</v>
      </c>
      <c r="R30" s="46">
        <f t="shared" si="102"/>
        <v>0.16537479758375784</v>
      </c>
      <c r="S30" s="46">
        <f t="shared" si="102"/>
        <v>0.86826997064416633</v>
      </c>
      <c r="T30" s="46">
        <f t="shared" si="102"/>
        <v>-0.16500896555706568</v>
      </c>
      <c r="U30" s="46">
        <f t="shared" si="102"/>
        <v>3.9658820488869706E-2</v>
      </c>
      <c r="V30" s="46">
        <f t="shared" si="102"/>
        <v>-6.6842284765137205E-2</v>
      </c>
      <c r="W30" s="46">
        <f t="shared" si="102"/>
        <v>0.26621261152478359</v>
      </c>
      <c r="X30" s="46">
        <f t="shared" si="102"/>
        <v>-0.12622343721620011</v>
      </c>
      <c r="Y30" s="46">
        <f t="shared" si="102"/>
        <v>0.32134062944169783</v>
      </c>
      <c r="Z30" s="46">
        <f t="shared" si="102"/>
        <v>0.12928727264954776</v>
      </c>
      <c r="AA30" s="46">
        <f t="shared" si="102"/>
        <v>0.12155495288683871</v>
      </c>
      <c r="AB30" s="46">
        <f t="shared" si="102"/>
        <v>-5.4821106604947323E-2</v>
      </c>
      <c r="AC30" s="46">
        <f t="shared" si="102"/>
        <v>0.38907666780472949</v>
      </c>
      <c r="AD30" s="46">
        <f t="shared" si="102"/>
        <v>0.31674418659809533</v>
      </c>
      <c r="AE30" s="46">
        <f t="shared" si="102"/>
        <v>0.29111791102927076</v>
      </c>
      <c r="AF30" s="46">
        <f t="shared" si="102"/>
        <v>-2.3278047749128228E-2</v>
      </c>
      <c r="AG30" s="46">
        <f t="shared" si="102"/>
        <v>0.11804203376860345</v>
      </c>
      <c r="AH30" s="46">
        <f t="shared" si="102"/>
        <v>5.8278247462573152E-3</v>
      </c>
      <c r="AI30" s="46">
        <f t="shared" si="102"/>
        <v>0.13044280852632872</v>
      </c>
      <c r="AJ30" s="46">
        <f t="shared" si="102"/>
        <v>-0.12867158340692364</v>
      </c>
      <c r="AK30" s="46">
        <f t="shared" si="74"/>
        <v>0.17701342398702868</v>
      </c>
      <c r="AL30" s="46">
        <f t="shared" si="75"/>
        <v>2.8416192959436204E-2</v>
      </c>
      <c r="AM30" s="46">
        <f t="shared" si="76"/>
        <v>0.15622511807740613</v>
      </c>
    </row>
    <row r="31" spans="2:55" x14ac:dyDescent="0.2">
      <c r="B31" s="30"/>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row>
    <row r="32" spans="2:55" x14ac:dyDescent="0.2">
      <c r="B32" s="19" t="s">
        <v>66</v>
      </c>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row>
    <row r="33" spans="1:50" x14ac:dyDescent="0.2">
      <c r="B33" s="20" t="s">
        <v>397</v>
      </c>
      <c r="H33" s="147">
        <f t="shared" ref="H33:AM33" si="103">+IFERROR(H239-H15/1000,"n/a")</f>
        <v>39.72</v>
      </c>
      <c r="I33" s="147">
        <f t="shared" si="103"/>
        <v>49.473600000000012</v>
      </c>
      <c r="J33" s="147">
        <f t="shared" si="103"/>
        <v>70.976399999999984</v>
      </c>
      <c r="K33" s="147">
        <f t="shared" si="103"/>
        <v>122.79000000000002</v>
      </c>
      <c r="L33" s="147">
        <f t="shared" si="103"/>
        <v>91.192800000000005</v>
      </c>
      <c r="M33" s="147">
        <f t="shared" si="103"/>
        <v>140.5008</v>
      </c>
      <c r="N33" s="147">
        <f t="shared" si="103"/>
        <v>149.63639999999998</v>
      </c>
      <c r="O33" s="147">
        <f t="shared" si="103"/>
        <v>222.63</v>
      </c>
      <c r="P33" s="147">
        <f t="shared" si="103"/>
        <v>142.64862857142853</v>
      </c>
      <c r="Q33" s="147">
        <f t="shared" si="103"/>
        <v>246.30497142857143</v>
      </c>
      <c r="R33" s="147">
        <f t="shared" si="103"/>
        <v>262.58357799999993</v>
      </c>
      <c r="S33" s="147">
        <f t="shared" si="103"/>
        <v>347.344651</v>
      </c>
      <c r="T33" s="147">
        <f t="shared" si="103"/>
        <v>305.61949541155332</v>
      </c>
      <c r="U33" s="147">
        <f t="shared" si="103"/>
        <v>355.31577401438761</v>
      </c>
      <c r="V33" s="147">
        <f t="shared" si="103"/>
        <v>378.32293478256418</v>
      </c>
      <c r="W33" s="147">
        <f t="shared" si="103"/>
        <v>445.8187963550119</v>
      </c>
      <c r="X33" s="147">
        <f t="shared" si="103"/>
        <v>383.42385372949485</v>
      </c>
      <c r="Y33" s="147">
        <f t="shared" si="103"/>
        <v>424.37113786719806</v>
      </c>
      <c r="Z33" s="147">
        <f t="shared" si="103"/>
        <v>476.55047151090793</v>
      </c>
      <c r="AA33" s="147">
        <f t="shared" si="103"/>
        <v>531.05459963585326</v>
      </c>
      <c r="AB33" s="147">
        <f t="shared" si="103"/>
        <v>479.83615509046422</v>
      </c>
      <c r="AC33" s="147">
        <f t="shared" si="103"/>
        <v>548.44083541875887</v>
      </c>
      <c r="AD33" s="147">
        <f t="shared" si="103"/>
        <v>576.22322711698712</v>
      </c>
      <c r="AE33" s="147">
        <f t="shared" si="103"/>
        <v>661.29192299001215</v>
      </c>
      <c r="AF33" s="147">
        <f t="shared" si="103"/>
        <v>577.14963768257303</v>
      </c>
      <c r="AG33" s="147">
        <f t="shared" si="103"/>
        <v>652.35400000000004</v>
      </c>
      <c r="AH33" s="147">
        <f t="shared" si="103"/>
        <v>676.69233040617758</v>
      </c>
      <c r="AI33" s="147">
        <f t="shared" si="103"/>
        <v>777.09606522614877</v>
      </c>
      <c r="AJ33" s="147">
        <f t="shared" si="103"/>
        <v>661.84576145083031</v>
      </c>
      <c r="AK33" s="147">
        <f t="shared" si="103"/>
        <v>748.20709999999997</v>
      </c>
      <c r="AL33" s="147">
        <f t="shared" si="103"/>
        <v>775.96087784679526</v>
      </c>
      <c r="AM33" s="147">
        <f t="shared" si="103"/>
        <v>891.44084854876371</v>
      </c>
      <c r="AO33" s="147" t="str">
        <f t="shared" ref="AO33:AW33" si="104">+IFERROR(AO239-AO15/1000,"n/a")</f>
        <v>n/a</v>
      </c>
      <c r="AP33" s="147">
        <f t="shared" si="104"/>
        <v>84.746015</v>
      </c>
      <c r="AQ33" s="147">
        <f t="shared" si="104"/>
        <v>282.96000000000004</v>
      </c>
      <c r="AR33" s="147">
        <f t="shared" si="104"/>
        <v>603.96</v>
      </c>
      <c r="AS33" s="147">
        <f t="shared" si="104"/>
        <v>998.88182899999981</v>
      </c>
      <c r="AT33" s="147">
        <f t="shared" si="104"/>
        <v>1485.077000563517</v>
      </c>
      <c r="AU33" s="147">
        <f t="shared" si="104"/>
        <v>1815.4000627434539</v>
      </c>
      <c r="AV33" s="147">
        <f t="shared" si="104"/>
        <v>2265.7921406162222</v>
      </c>
      <c r="AW33" s="147">
        <f t="shared" si="104"/>
        <v>2683.2920333148995</v>
      </c>
      <c r="AX33" s="53">
        <f>+SUM(AJ33:AM33)</f>
        <v>3077.4545878463896</v>
      </c>
    </row>
    <row r="34" spans="1:50" x14ac:dyDescent="0.2">
      <c r="B34" s="30" t="s">
        <v>86</v>
      </c>
      <c r="I34" s="46"/>
      <c r="J34" s="46"/>
      <c r="K34" s="46"/>
      <c r="L34" s="46">
        <f>+IFERROR(L33/H33-1,"n/a")</f>
        <v>1.2958912386706949</v>
      </c>
      <c r="M34" s="46">
        <f t="shared" ref="M34:AJ34" si="105">+IFERROR(M33/I33-1,"n/a")</f>
        <v>1.8399146211312694</v>
      </c>
      <c r="N34" s="46">
        <f t="shared" si="105"/>
        <v>1.1082557018952781</v>
      </c>
      <c r="O34" s="46">
        <f t="shared" si="105"/>
        <v>0.81309552895186865</v>
      </c>
      <c r="P34" s="46">
        <f t="shared" si="105"/>
        <v>0.56425319292124509</v>
      </c>
      <c r="Q34" s="46">
        <f t="shared" si="105"/>
        <v>0.75305031308413506</v>
      </c>
      <c r="R34" s="46">
        <f t="shared" si="105"/>
        <v>0.75481084816261257</v>
      </c>
      <c r="S34" s="46">
        <f t="shared" si="105"/>
        <v>0.56018798454835372</v>
      </c>
      <c r="T34" s="46">
        <f t="shared" si="105"/>
        <v>1.1424636077627643</v>
      </c>
      <c r="U34" s="46">
        <f t="shared" si="105"/>
        <v>0.44258466223216031</v>
      </c>
      <c r="V34" s="46">
        <f t="shared" si="105"/>
        <v>0.4407714970757397</v>
      </c>
      <c r="W34" s="46">
        <f t="shared" si="105"/>
        <v>0.2835055760078824</v>
      </c>
      <c r="X34" s="46">
        <f t="shared" si="105"/>
        <v>0.25457917274933206</v>
      </c>
      <c r="Y34" s="46">
        <f t="shared" si="105"/>
        <v>0.19434927718692907</v>
      </c>
      <c r="Z34" s="46">
        <f t="shared" si="105"/>
        <v>0.25963939189887775</v>
      </c>
      <c r="AA34" s="46">
        <f t="shared" si="105"/>
        <v>0.19118934414099242</v>
      </c>
      <c r="AB34" s="46">
        <f t="shared" si="105"/>
        <v>0.25145097370229896</v>
      </c>
      <c r="AC34" s="46">
        <f t="shared" si="105"/>
        <v>0.29236130000524918</v>
      </c>
      <c r="AD34" s="46">
        <f t="shared" si="105"/>
        <v>0.20915466789921688</v>
      </c>
      <c r="AE34" s="46">
        <f t="shared" si="105"/>
        <v>0.24524281202622711</v>
      </c>
      <c r="AF34" s="46">
        <f t="shared" si="105"/>
        <v>0.20280564846924087</v>
      </c>
      <c r="AG34" s="46">
        <f t="shared" si="105"/>
        <v>0.18947014494626191</v>
      </c>
      <c r="AH34" s="46">
        <f t="shared" si="105"/>
        <v>0.17435795462787351</v>
      </c>
      <c r="AI34" s="46">
        <f t="shared" si="105"/>
        <v>0.1751180351826036</v>
      </c>
      <c r="AJ34" s="46">
        <f t="shared" si="105"/>
        <v>0.14674898542488446</v>
      </c>
      <c r="AK34" s="46">
        <f t="shared" ref="AK34" si="106">+IFERROR(AK33/AG33-1,"n/a")</f>
        <v>0.14693417990845448</v>
      </c>
      <c r="AL34" s="46">
        <f t="shared" ref="AL34" si="107">+IFERROR(AL33/AH33-1,"n/a")</f>
        <v>0.14669672313417936</v>
      </c>
      <c r="AM34" s="46">
        <f t="shared" ref="AM34" si="108">+IFERROR(AM33/AI33-1,"n/a")</f>
        <v>0.14714369103045022</v>
      </c>
      <c r="AP34" s="46" t="str">
        <f>+IFERROR(AP33/AO33-1,"n/a")</f>
        <v>n/a</v>
      </c>
      <c r="AQ34" s="46">
        <f t="shared" ref="AQ34:AX34" si="109">+IFERROR(AQ33/AP33-1,"n/a")</f>
        <v>2.3389180600409358</v>
      </c>
      <c r="AR34" s="46">
        <f t="shared" si="109"/>
        <v>1.1344359626802372</v>
      </c>
      <c r="AS34" s="46">
        <f t="shared" si="109"/>
        <v>0.6538873915491088</v>
      </c>
      <c r="AT34" s="46">
        <f t="shared" si="109"/>
        <v>0.48673942947811621</v>
      </c>
      <c r="AU34" s="46">
        <f t="shared" si="109"/>
        <v>0.22242823911123444</v>
      </c>
      <c r="AV34" s="46">
        <f t="shared" si="109"/>
        <v>0.24809521995506079</v>
      </c>
      <c r="AW34" s="46">
        <f t="shared" si="109"/>
        <v>0.18426222124026381</v>
      </c>
      <c r="AX34" s="46">
        <f t="shared" si="109"/>
        <v>0.14689513837394275</v>
      </c>
    </row>
    <row r="35" spans="1:50" x14ac:dyDescent="0.2">
      <c r="B35" s="30" t="s">
        <v>262</v>
      </c>
      <c r="I35" s="46">
        <f>+IFERROR(I33/H33-1,"n/a")</f>
        <v>0.24555891238670724</v>
      </c>
      <c r="J35" s="46">
        <f t="shared" ref="J35:L35" si="110">+IFERROR(J33/I33-1,"n/a")</f>
        <v>0.43463180362860121</v>
      </c>
      <c r="K35" s="46">
        <f t="shared" si="110"/>
        <v>0.7300116658494944</v>
      </c>
      <c r="L35" s="46">
        <f t="shared" si="110"/>
        <v>-0.25732714390422684</v>
      </c>
      <c r="M35" s="46">
        <f t="shared" ref="M35:AJ35" si="111">+IFERROR(M33/L33-1,"n/a")</f>
        <v>0.54070058162486512</v>
      </c>
      <c r="N35" s="46">
        <f t="shared" si="111"/>
        <v>6.5021693826654348E-2</v>
      </c>
      <c r="O35" s="46">
        <f t="shared" si="111"/>
        <v>0.48780644281738961</v>
      </c>
      <c r="P35" s="46">
        <f t="shared" si="111"/>
        <v>-0.35925693495293298</v>
      </c>
      <c r="Q35" s="46">
        <f t="shared" si="111"/>
        <v>0.72665502567547646</v>
      </c>
      <c r="R35" s="46">
        <f t="shared" si="111"/>
        <v>6.6091262701732711E-2</v>
      </c>
      <c r="S35" s="46">
        <f t="shared" si="111"/>
        <v>0.32279654975224714</v>
      </c>
      <c r="T35" s="46">
        <f t="shared" si="111"/>
        <v>-0.12012609224964477</v>
      </c>
      <c r="U35" s="46">
        <f t="shared" si="111"/>
        <v>0.16260833928775487</v>
      </c>
      <c r="V35" s="46">
        <f t="shared" si="111"/>
        <v>6.4751307008522829E-2</v>
      </c>
      <c r="W35" s="46">
        <f t="shared" si="111"/>
        <v>0.17840806191472369</v>
      </c>
      <c r="X35" s="46">
        <f t="shared" si="111"/>
        <v>-0.13995583662163735</v>
      </c>
      <c r="Y35" s="46">
        <f t="shared" si="111"/>
        <v>0.10679378379674698</v>
      </c>
      <c r="Z35" s="46">
        <f t="shared" si="111"/>
        <v>0.12295683892630516</v>
      </c>
      <c r="AA35" s="46">
        <f t="shared" si="111"/>
        <v>0.11437220479950305</v>
      </c>
      <c r="AB35" s="46">
        <f t="shared" si="111"/>
        <v>-9.6446664016298533E-2</v>
      </c>
      <c r="AC35" s="46">
        <f t="shared" si="111"/>
        <v>0.1429752210217683</v>
      </c>
      <c r="AD35" s="46">
        <f t="shared" si="111"/>
        <v>5.0657044304542209E-2</v>
      </c>
      <c r="AE35" s="46">
        <f t="shared" si="111"/>
        <v>0.14763149395877107</v>
      </c>
      <c r="AF35" s="46">
        <f t="shared" si="111"/>
        <v>-0.12723924545606458</v>
      </c>
      <c r="AG35" s="46">
        <f t="shared" si="111"/>
        <v>0.13030305731351555</v>
      </c>
      <c r="AH35" s="46">
        <f t="shared" si="111"/>
        <v>3.7308471176964453E-2</v>
      </c>
      <c r="AI35" s="46">
        <f t="shared" si="111"/>
        <v>0.14837427632688693</v>
      </c>
      <c r="AJ35" s="46">
        <f t="shared" si="111"/>
        <v>-0.14830895295008162</v>
      </c>
      <c r="AK35" s="46">
        <f t="shared" ref="AK35" si="112">+IFERROR(AK33/AJ33-1,"n/a")</f>
        <v>0.13048559585825137</v>
      </c>
      <c r="AL35" s="46">
        <f t="shared" ref="AL35" si="113">+IFERROR(AL33/AK33-1,"n/a")</f>
        <v>3.709371088137936E-2</v>
      </c>
      <c r="AM35" s="46">
        <f t="shared" ref="AM35" si="114">+IFERROR(AM33/AL33-1,"n/a")</f>
        <v>0.14882189811219915</v>
      </c>
    </row>
    <row r="36" spans="1:50" x14ac:dyDescent="0.2">
      <c r="B36" s="20" t="s">
        <v>398</v>
      </c>
      <c r="H36" s="44">
        <f>+IFERROR(H12/(H33*1000),"n/a")</f>
        <v>2.7897784491440078E-2</v>
      </c>
      <c r="I36" s="44">
        <f t="shared" ref="I36:AW36" si="115">+IFERROR(I12/(I33*1000),"n/a")</f>
        <v>4.7923579444390532E-2</v>
      </c>
      <c r="J36" s="44">
        <f t="shared" si="115"/>
        <v>4.1903294616238651E-2</v>
      </c>
      <c r="K36" s="44">
        <f t="shared" si="115"/>
        <v>4.1227933870836377E-2</v>
      </c>
      <c r="L36" s="44">
        <f t="shared" si="115"/>
        <v>4.329743137616128E-2</v>
      </c>
      <c r="M36" s="44">
        <f t="shared" si="115"/>
        <v>4.6028727238563771E-2</v>
      </c>
      <c r="N36" s="44">
        <f t="shared" si="115"/>
        <v>4.4851753984992956E-2</v>
      </c>
      <c r="O36" s="44">
        <f t="shared" si="115"/>
        <v>4.3510304091991199E-2</v>
      </c>
      <c r="P36" s="44">
        <f t="shared" si="115"/>
        <v>3.8502087647129764E-2</v>
      </c>
      <c r="Q36" s="44">
        <f t="shared" si="115"/>
        <v>4.4882155385994181E-2</v>
      </c>
      <c r="R36" s="44">
        <f t="shared" si="115"/>
        <v>4.754614167074836E-2</v>
      </c>
      <c r="S36" s="44">
        <f t="shared" si="115"/>
        <v>5.4476080013104902E-2</v>
      </c>
      <c r="T36" s="44">
        <f t="shared" si="115"/>
        <v>4.6173382954504238E-2</v>
      </c>
      <c r="U36" s="44">
        <f t="shared" si="115"/>
        <v>5.0885494881710146E-2</v>
      </c>
      <c r="V36" s="44">
        <f t="shared" si="115"/>
        <v>4.7436976059393537E-2</v>
      </c>
      <c r="W36" s="44">
        <f t="shared" si="115"/>
        <v>5.0300707783847355E-2</v>
      </c>
      <c r="X36" s="44">
        <f t="shared" si="115"/>
        <v>4.7358621075283311E-2</v>
      </c>
      <c r="Y36" s="44">
        <f t="shared" si="115"/>
        <v>5.9317537772508665E-2</v>
      </c>
      <c r="Z36" s="44">
        <f t="shared" si="115"/>
        <v>5.9648760623142845E-2</v>
      </c>
      <c r="AA36" s="44">
        <f t="shared" si="115"/>
        <v>5.8308887676018592E-2</v>
      </c>
      <c r="AB36" s="44">
        <f t="shared" si="115"/>
        <v>5.6778601843505451E-2</v>
      </c>
      <c r="AC36" s="44">
        <f t="shared" si="115"/>
        <v>6.9164855259248884E-2</v>
      </c>
      <c r="AD36" s="44">
        <f t="shared" si="115"/>
        <v>6.8875526241052504E-2</v>
      </c>
      <c r="AE36" s="44">
        <f t="shared" si="115"/>
        <v>7.3606853959314392E-2</v>
      </c>
      <c r="AF36" s="44">
        <f t="shared" ref="AF36:AG36" si="116">+IFERROR(AF12/(AF33*1000),"n/a")</f>
        <v>7.356193303780699E-2</v>
      </c>
      <c r="AG36" s="44">
        <f t="shared" si="116"/>
        <v>7.5290204398225508E-2</v>
      </c>
      <c r="AH36" s="44">
        <f t="shared" si="115"/>
        <v>7.1163820152806645E-2</v>
      </c>
      <c r="AI36" s="44">
        <f t="shared" si="115"/>
        <v>7.4000329624757916E-2</v>
      </c>
      <c r="AJ36" s="44">
        <f t="shared" ref="AJ36:AM36" si="117">+IFERROR(AJ12/(AJ33*1000),"n/a")</f>
        <v>7.2117026851861887E-2</v>
      </c>
      <c r="AK36" s="44">
        <f t="shared" si="117"/>
        <v>7.4562755900891092E-2</v>
      </c>
      <c r="AL36" s="44">
        <f t="shared" si="117"/>
        <v>7.1232843413663247E-2</v>
      </c>
      <c r="AM36" s="44">
        <f t="shared" si="117"/>
        <v>7.6199842263451126E-2</v>
      </c>
      <c r="AO36" s="44" t="str">
        <f t="shared" si="115"/>
        <v>n/a</v>
      </c>
      <c r="AP36" s="44">
        <f t="shared" si="115"/>
        <v>1.4269402519988698E-2</v>
      </c>
      <c r="AQ36" s="44">
        <f t="shared" si="115"/>
        <v>4.0696829940627642E-2</v>
      </c>
      <c r="AR36" s="44">
        <f t="shared" si="115"/>
        <v>4.4396385522220014E-2</v>
      </c>
      <c r="AS36" s="44">
        <f t="shared" si="115"/>
        <v>4.8007459549051432E-2</v>
      </c>
      <c r="AT36" s="44">
        <f t="shared" si="115"/>
        <v>4.8861710182344482E-2</v>
      </c>
      <c r="AU36" s="44">
        <f t="shared" si="115"/>
        <v>5.6583629200037282E-2</v>
      </c>
      <c r="AV36" s="44">
        <f t="shared" si="115"/>
        <v>6.7764624233466506E-2</v>
      </c>
      <c r="AW36" s="44">
        <f t="shared" si="115"/>
        <v>7.3504293542356949E-2</v>
      </c>
      <c r="AX36" s="44">
        <f t="shared" ref="AX36" si="118">+IFERROR(AX12/(AX33*1000),"n/a")</f>
        <v>7.3671366121771373E-2</v>
      </c>
    </row>
    <row r="37" spans="1:50" x14ac:dyDescent="0.2">
      <c r="B37" s="30" t="s">
        <v>86</v>
      </c>
      <c r="I37" s="46"/>
      <c r="J37" s="46"/>
      <c r="K37" s="46"/>
      <c r="L37" s="46">
        <f>+IFERROR(L36/H36-1,"n/a")</f>
        <v>0.55200250361982328</v>
      </c>
      <c r="M37" s="46">
        <f t="shared" ref="M37" si="119">+IFERROR(M36/I36-1,"n/a")</f>
        <v>-3.9539037521717391E-2</v>
      </c>
      <c r="N37" s="46">
        <f t="shared" ref="N37" si="120">+IFERROR(N36/J36-1,"n/a")</f>
        <v>7.0363425972994831E-2</v>
      </c>
      <c r="O37" s="46">
        <f t="shared" ref="O37" si="121">+IFERROR(O36/K36-1,"n/a")</f>
        <v>5.5359801155820509E-2</v>
      </c>
      <c r="P37" s="46">
        <f t="shared" ref="P37" si="122">+IFERROR(P36/L36-1,"n/a")</f>
        <v>-0.11075353841132796</v>
      </c>
      <c r="Q37" s="46">
        <f t="shared" ref="Q37" si="123">+IFERROR(Q36/M36-1,"n/a")</f>
        <v>-2.49099186824564E-2</v>
      </c>
      <c r="R37" s="46">
        <f t="shared" ref="R37" si="124">+IFERROR(R36/N36-1,"n/a")</f>
        <v>6.0073184354326958E-2</v>
      </c>
      <c r="S37" s="46">
        <f t="shared" ref="S37" si="125">+IFERROR(S36/O36-1,"n/a")</f>
        <v>0.25202710369317183</v>
      </c>
      <c r="T37" s="46">
        <f t="shared" ref="T37" si="126">+IFERROR(T36/P36-1,"n/a")</f>
        <v>0.19924361966243542</v>
      </c>
      <c r="U37" s="46">
        <f t="shared" ref="U37" si="127">+IFERROR(U36/Q36-1,"n/a")</f>
        <v>0.1337578252222118</v>
      </c>
      <c r="V37" s="46">
        <f t="shared" ref="V37" si="128">+IFERROR(V36/R36-1,"n/a")</f>
        <v>-2.2959930610306767E-3</v>
      </c>
      <c r="W37" s="46">
        <f t="shared" ref="W37" si="129">+IFERROR(W36/S36-1,"n/a")</f>
        <v>-7.6645974311167597E-2</v>
      </c>
      <c r="X37" s="46">
        <f t="shared" ref="X37" si="130">+IFERROR(X36/T36-1,"n/a")</f>
        <v>2.566929353967673E-2</v>
      </c>
      <c r="Y37" s="46">
        <f t="shared" ref="Y37" si="131">+IFERROR(Y36/U36-1,"n/a")</f>
        <v>0.16570621766379356</v>
      </c>
      <c r="Z37" s="46">
        <f t="shared" ref="Z37" si="132">+IFERROR(Z36/V36-1,"n/a")</f>
        <v>0.25743176690815028</v>
      </c>
      <c r="AA37" s="46">
        <f t="shared" ref="AA37" si="133">+IFERROR(AA36/W36-1,"n/a")</f>
        <v>0.15920610752803044</v>
      </c>
      <c r="AB37" s="46">
        <f t="shared" ref="AB37" si="134">+IFERROR(AB36/X36-1,"n/a")</f>
        <v>0.19890741230087183</v>
      </c>
      <c r="AC37" s="46">
        <f t="shared" ref="AC37" si="135">+IFERROR(AC36/Y36-1,"n/a")</f>
        <v>0.16601021985278797</v>
      </c>
      <c r="AD37" s="46">
        <f t="shared" ref="AD37" si="136">+IFERROR(AD36/Z36-1,"n/a")</f>
        <v>0.15468495106216529</v>
      </c>
      <c r="AE37" s="46">
        <f t="shared" ref="AE37:AG37" si="137">+IFERROR(AE36/AA36-1,"n/a")</f>
        <v>0.26236079769341192</v>
      </c>
      <c r="AF37" s="46">
        <f t="shared" si="137"/>
        <v>0.29559254101677523</v>
      </c>
      <c r="AG37" s="46">
        <f t="shared" si="137"/>
        <v>8.8561584001255245E-2</v>
      </c>
      <c r="AH37" s="46">
        <f t="shared" ref="AH37" si="138">+IFERROR(AH36/AD36-1,"n/a")</f>
        <v>3.3223614201443707E-2</v>
      </c>
      <c r="AI37" s="46">
        <f t="shared" ref="AI37:AJ37" si="139">+IFERROR(AI36/AE36-1,"n/a")</f>
        <v>5.3456389490713629E-3</v>
      </c>
      <c r="AJ37" s="46">
        <f t="shared" si="139"/>
        <v>-1.9642036665927454E-2</v>
      </c>
      <c r="AK37" s="46">
        <f t="shared" ref="AK37" si="140">+IFERROR(AK36/AG36-1,"n/a")</f>
        <v>-9.6619275129974369E-3</v>
      </c>
      <c r="AL37" s="46">
        <f t="shared" ref="AL37" si="141">+IFERROR(AL36/AH36-1,"n/a")</f>
        <v>9.6992068031753753E-4</v>
      </c>
      <c r="AM37" s="46">
        <f t="shared" ref="AM37" si="142">+IFERROR(AM36/AI36-1,"n/a")</f>
        <v>2.9723011368280927E-2</v>
      </c>
      <c r="AP37" s="46" t="str">
        <f>+IFERROR(AP36/AO36-1,"n/a")</f>
        <v>n/a</v>
      </c>
      <c r="AQ37" s="46">
        <f t="shared" ref="AQ37" si="143">+IFERROR(AQ36/AP36-1,"n/a")</f>
        <v>1.8520346162790755</v>
      </c>
      <c r="AR37" s="46">
        <f t="shared" ref="AR37" si="144">+IFERROR(AR36/AQ36-1,"n/a")</f>
        <v>9.0905252005859749E-2</v>
      </c>
      <c r="AS37" s="46">
        <f t="shared" ref="AS37" si="145">+IFERROR(AS36/AR36-1,"n/a")</f>
        <v>8.1337117523319735E-2</v>
      </c>
      <c r="AT37" s="46">
        <f t="shared" ref="AT37" si="146">+IFERROR(AT36/AS36-1,"n/a")</f>
        <v>1.7794122857516026E-2</v>
      </c>
      <c r="AU37" s="46">
        <f t="shared" ref="AU37" si="147">+IFERROR(AU36/AT36-1,"n/a")</f>
        <v>0.15803620030645193</v>
      </c>
      <c r="AV37" s="46">
        <f t="shared" ref="AV37" si="148">+IFERROR(AV36/AU36-1,"n/a")</f>
        <v>0.19760123540152597</v>
      </c>
      <c r="AW37" s="46">
        <f t="shared" ref="AW37:AX37" si="149">+IFERROR(AW36/AV36-1,"n/a")</f>
        <v>8.4700083174899854E-2</v>
      </c>
      <c r="AX37" s="46">
        <f t="shared" si="149"/>
        <v>2.2729635421656624E-3</v>
      </c>
    </row>
    <row r="38" spans="1:50" x14ac:dyDescent="0.2">
      <c r="B38" s="30" t="s">
        <v>262</v>
      </c>
      <c r="I38" s="46">
        <f>+IFERROR(I36/H36-1,"n/a")</f>
        <v>0.71782743031422447</v>
      </c>
      <c r="J38" s="46">
        <f t="shared" ref="J38:AJ38" si="150">+IFERROR(J36/I36-1,"n/a")</f>
        <v>-0.1256226036942355</v>
      </c>
      <c r="K38" s="46">
        <f t="shared" si="150"/>
        <v>-1.611712758119388E-2</v>
      </c>
      <c r="L38" s="46">
        <f t="shared" si="150"/>
        <v>5.0196488424776753E-2</v>
      </c>
      <c r="M38" s="46">
        <f t="shared" si="150"/>
        <v>6.3082168516497505E-2</v>
      </c>
      <c r="N38" s="46">
        <f t="shared" si="150"/>
        <v>-2.557040622632567E-2</v>
      </c>
      <c r="O38" s="46">
        <f t="shared" si="150"/>
        <v>-2.9908526954165349E-2</v>
      </c>
      <c r="P38" s="46">
        <f t="shared" si="150"/>
        <v>-0.1151041471526576</v>
      </c>
      <c r="Q38" s="46">
        <f t="shared" si="150"/>
        <v>0.16570705976614852</v>
      </c>
      <c r="R38" s="46">
        <f t="shared" si="150"/>
        <v>5.935513260990799E-2</v>
      </c>
      <c r="S38" s="46">
        <f t="shared" si="150"/>
        <v>0.14575185491065867</v>
      </c>
      <c r="T38" s="46">
        <f t="shared" si="150"/>
        <v>-0.15240995784945144</v>
      </c>
      <c r="U38" s="46">
        <f t="shared" si="150"/>
        <v>0.10205255984489736</v>
      </c>
      <c r="V38" s="46">
        <f t="shared" si="150"/>
        <v>-6.7770173609063455E-2</v>
      </c>
      <c r="W38" s="46">
        <f t="shared" si="150"/>
        <v>6.0369187969913529E-2</v>
      </c>
      <c r="X38" s="46">
        <f t="shared" si="150"/>
        <v>-5.8489966407765159E-2</v>
      </c>
      <c r="Y38" s="46">
        <f t="shared" si="150"/>
        <v>0.25251826226559548</v>
      </c>
      <c r="Z38" s="46">
        <f t="shared" si="150"/>
        <v>5.5838941242718487E-3</v>
      </c>
      <c r="AA38" s="46">
        <f t="shared" si="150"/>
        <v>-2.2462712269739948E-2</v>
      </c>
      <c r="AB38" s="46">
        <f t="shared" si="150"/>
        <v>-2.6244469642704549E-2</v>
      </c>
      <c r="AC38" s="46">
        <f t="shared" si="150"/>
        <v>0.21815002507252146</v>
      </c>
      <c r="AD38" s="46">
        <f t="shared" si="150"/>
        <v>-4.1831796959871381E-3</v>
      </c>
      <c r="AE38" s="46">
        <f t="shared" si="150"/>
        <v>6.8693888475030329E-2</v>
      </c>
      <c r="AF38" s="46">
        <f t="shared" si="150"/>
        <v>-6.1028177528454908E-4</v>
      </c>
      <c r="AG38" s="46">
        <f t="shared" si="150"/>
        <v>2.3494099312619809E-2</v>
      </c>
      <c r="AH38" s="46">
        <f t="shared" si="150"/>
        <v>-5.4806389202950778E-2</v>
      </c>
      <c r="AI38" s="46">
        <f t="shared" si="150"/>
        <v>3.9858870221702203E-2</v>
      </c>
      <c r="AJ38" s="46">
        <f t="shared" si="150"/>
        <v>-2.5449924107715627E-2</v>
      </c>
      <c r="AK38" s="46">
        <f t="shared" ref="AK38" si="151">+IFERROR(AK36/AJ36-1,"n/a")</f>
        <v>3.3913337193629323E-2</v>
      </c>
      <c r="AL38" s="46">
        <f t="shared" ref="AL38" si="152">+IFERROR(AL36/AK36-1,"n/a")</f>
        <v>-4.4659192743009224E-2</v>
      </c>
      <c r="AM38" s="46">
        <f t="shared" ref="AM38" si="153">+IFERROR(AM36/AL36-1,"n/a")</f>
        <v>6.9729054910015797E-2</v>
      </c>
    </row>
    <row r="39" spans="1:50" x14ac:dyDescent="0.2">
      <c r="B39" s="30"/>
      <c r="AE39" s="10"/>
    </row>
    <row r="40" spans="1:50" x14ac:dyDescent="0.2">
      <c r="A40" t="s">
        <v>248</v>
      </c>
      <c r="B40" t="s">
        <v>87</v>
      </c>
      <c r="H40" s="10">
        <f>+H558+H595</f>
        <v>1066.2039999999997</v>
      </c>
      <c r="I40" s="10">
        <f t="shared" ref="I40:AD40" si="154">+I558+I595</f>
        <v>2321.7270000000003</v>
      </c>
      <c r="J40" s="10">
        <f t="shared" si="154"/>
        <v>2598.2930000000006</v>
      </c>
      <c r="K40" s="10">
        <f t="shared" si="154"/>
        <v>4232.0050000000001</v>
      </c>
      <c r="L40" s="10">
        <f t="shared" si="154"/>
        <v>3676.1709999999998</v>
      </c>
      <c r="M40" s="10">
        <f t="shared" si="154"/>
        <v>5699.03</v>
      </c>
      <c r="N40" s="10">
        <f t="shared" si="154"/>
        <v>5689.1970000000001</v>
      </c>
      <c r="O40" s="10">
        <f t="shared" si="154"/>
        <v>8762.5450000000001</v>
      </c>
      <c r="P40" s="10">
        <f t="shared" si="154"/>
        <v>4719.259</v>
      </c>
      <c r="Q40" s="10">
        <f t="shared" si="154"/>
        <v>9540.6970000000001</v>
      </c>
      <c r="R40" s="10">
        <f t="shared" si="154"/>
        <v>10954.050999999999</v>
      </c>
      <c r="S40" s="10">
        <f t="shared" si="154"/>
        <v>15031.508000000003</v>
      </c>
      <c r="T40" s="10">
        <f t="shared" si="154"/>
        <v>11425.412999999999</v>
      </c>
      <c r="U40" s="10">
        <f t="shared" si="154"/>
        <v>15155.776</v>
      </c>
      <c r="V40" s="10">
        <f t="shared" si="154"/>
        <v>14956.199000000001</v>
      </c>
      <c r="W40" s="10">
        <f t="shared" si="154"/>
        <v>20721.082000000009</v>
      </c>
      <c r="X40" s="10">
        <f t="shared" si="154"/>
        <v>16643.274999999998</v>
      </c>
      <c r="Y40" s="10">
        <f t="shared" si="154"/>
        <v>23484.690999999999</v>
      </c>
      <c r="Z40" s="10">
        <f t="shared" si="154"/>
        <v>28096.012999999999</v>
      </c>
      <c r="AA40" s="10">
        <f t="shared" si="154"/>
        <v>30905.099999999991</v>
      </c>
      <c r="AB40" s="10">
        <f t="shared" si="154"/>
        <v>26549.133000000002</v>
      </c>
      <c r="AC40" s="10">
        <f t="shared" si="154"/>
        <v>33619.236999999994</v>
      </c>
      <c r="AD40" s="10">
        <f t="shared" si="154"/>
        <v>42030.559999999998</v>
      </c>
      <c r="AE40" s="10">
        <f t="shared" ref="AE40:AF40" si="155">+AE558+AE595</f>
        <v>53849.167999999998</v>
      </c>
      <c r="AF40" s="10">
        <f t="shared" si="155"/>
        <v>54134.88700000001</v>
      </c>
      <c r="AG40" s="10">
        <f t="shared" ref="AG40" si="156">+AG558+AG595</f>
        <v>63399.139000000003</v>
      </c>
      <c r="AH40" s="14">
        <f>+AH404</f>
        <v>58636.013038216042</v>
      </c>
      <c r="AI40" s="14">
        <f>+AI404</f>
        <v>67940.213470470742</v>
      </c>
      <c r="AJ40" s="14">
        <f>+AJ404</f>
        <v>57736.723636243667</v>
      </c>
      <c r="AK40" s="14">
        <f t="shared" ref="AK40:AM40" si="157">+AK404</f>
        <v>66663.934806123623</v>
      </c>
      <c r="AL40" s="14">
        <f t="shared" si="157"/>
        <v>67677.812750981204</v>
      </c>
      <c r="AM40" s="14">
        <f t="shared" si="157"/>
        <v>80676.571590610256</v>
      </c>
      <c r="AO40" s="10">
        <f t="shared" ref="AO40:AU40" si="158">+AO558+AO595</f>
        <v>-72.728999999999999</v>
      </c>
      <c r="AP40" s="10">
        <f t="shared" si="158"/>
        <v>1022.0420000000003</v>
      </c>
      <c r="AQ40" s="10">
        <f t="shared" si="158"/>
        <v>10218.229000000001</v>
      </c>
      <c r="AR40" s="10">
        <f t="shared" si="158"/>
        <v>23826.942999999999</v>
      </c>
      <c r="AS40" s="10">
        <f t="shared" si="158"/>
        <v>40245.514999999999</v>
      </c>
      <c r="AT40" s="10">
        <f t="shared" si="158"/>
        <v>62258.47</v>
      </c>
      <c r="AU40" s="10">
        <f t="shared" si="158"/>
        <v>99129.079000000012</v>
      </c>
      <c r="AV40" s="10">
        <f t="shared" ref="AV40" si="159">+AV558+AV595</f>
        <v>156048.098</v>
      </c>
      <c r="AW40" s="10">
        <f>+SUM(AF40:AI40)</f>
        <v>244110.2525086868</v>
      </c>
      <c r="AX40" s="10">
        <f>+SUM(AJ40:AM40)</f>
        <v>272755.04278395872</v>
      </c>
    </row>
    <row r="41" spans="1:50" x14ac:dyDescent="0.2">
      <c r="B41" s="20" t="s">
        <v>86</v>
      </c>
      <c r="L41" s="28">
        <f>IFERROR(L40/H40-1,"n/a")</f>
        <v>2.4479058416588204</v>
      </c>
      <c r="M41" s="28">
        <f t="shared" ref="M41" si="160">IFERROR(M40/I40-1,"n/a")</f>
        <v>1.4546512143761947</v>
      </c>
      <c r="N41" s="28">
        <f t="shared" ref="N41" si="161">IFERROR(N40/J40-1,"n/a")</f>
        <v>1.1895902425169136</v>
      </c>
      <c r="O41" s="28">
        <f t="shared" ref="O41" si="162">IFERROR(O40/K40-1,"n/a")</f>
        <v>1.0705422134425646</v>
      </c>
      <c r="P41" s="28">
        <f t="shared" ref="P41" si="163">IFERROR(P40/L40-1,"n/a")</f>
        <v>0.28374305765428209</v>
      </c>
      <c r="Q41" s="28">
        <f t="shared" ref="Q41" si="164">IFERROR(Q40/M40-1,"n/a")</f>
        <v>0.67409138046299111</v>
      </c>
      <c r="R41" s="28">
        <f t="shared" ref="R41" si="165">IFERROR(R40/N40-1,"n/a")</f>
        <v>0.9254124967020827</v>
      </c>
      <c r="S41" s="28">
        <f t="shared" ref="S41" si="166">IFERROR(S40/O40-1,"n/a")</f>
        <v>0.71542719609428573</v>
      </c>
      <c r="T41" s="28">
        <f t="shared" ref="T41" si="167">IFERROR(T40/P40-1,"n/a")</f>
        <v>1.4210184268335344</v>
      </c>
      <c r="U41" s="28">
        <f t="shared" ref="U41" si="168">IFERROR(U40/Q40-1,"n/a")</f>
        <v>0.58853970522279453</v>
      </c>
      <c r="V41" s="28">
        <f t="shared" ref="V41" si="169">IFERROR(V40/R40-1,"n/a")</f>
        <v>0.36535780233267134</v>
      </c>
      <c r="W41" s="28">
        <f t="shared" ref="W41" si="170">IFERROR(W40/S40-1,"n/a")</f>
        <v>0.37850986075382487</v>
      </c>
      <c r="X41" s="28">
        <f t="shared" ref="X41" si="171">IFERROR(X40/T40-1,"n/a")</f>
        <v>0.45668913675155554</v>
      </c>
      <c r="Y41" s="28">
        <f t="shared" ref="Y41" si="172">IFERROR(Y40/U40-1,"n/a")</f>
        <v>0.54955384666545615</v>
      </c>
      <c r="Z41" s="28">
        <f t="shared" ref="Z41" si="173">IFERROR(Z40/V40-1,"n/a")</f>
        <v>0.87855303342781133</v>
      </c>
      <c r="AA41" s="28">
        <f t="shared" ref="AA41" si="174">IFERROR(AA40/W40-1,"n/a")</f>
        <v>0.49148099505614518</v>
      </c>
      <c r="AB41" s="28">
        <f t="shared" ref="AB41" si="175">IFERROR(AB40/X40-1,"n/a")</f>
        <v>0.59518682470847861</v>
      </c>
      <c r="AC41" s="28">
        <f t="shared" ref="AC41" si="176">IFERROR(AC40/Y40-1,"n/a")</f>
        <v>0.43153840090976692</v>
      </c>
      <c r="AD41" s="28">
        <f t="shared" ref="AD41:AG41" si="177">IFERROR(AD40/Z40-1,"n/a")</f>
        <v>0.49596172239812097</v>
      </c>
      <c r="AE41" s="28">
        <f t="shared" si="177"/>
        <v>0.74240393980281616</v>
      </c>
      <c r="AF41" s="28">
        <f t="shared" si="177"/>
        <v>1.0390453805026327</v>
      </c>
      <c r="AG41" s="28">
        <f t="shared" si="177"/>
        <v>0.88579946058859149</v>
      </c>
      <c r="AH41" s="28">
        <f t="shared" ref="AH41" si="178">IFERROR(AH40/AD40-1,"n/a")</f>
        <v>0.39508046141226871</v>
      </c>
      <c r="AI41" s="28">
        <f t="shared" ref="AI41:AJ41" si="179">IFERROR(AI40/AE40-1,"n/a")</f>
        <v>0.26167619656576213</v>
      </c>
      <c r="AJ41" s="28">
        <f t="shared" si="179"/>
        <v>6.6534481474832541E-2</v>
      </c>
      <c r="AK41" s="28">
        <f t="shared" ref="AK41" si="180">IFERROR(AK40/AG40-1,"n/a")</f>
        <v>5.149590132641424E-2</v>
      </c>
      <c r="AL41" s="28">
        <f t="shared" ref="AL41" si="181">IFERROR(AL40/AH40-1,"n/a")</f>
        <v>0.15420215741599219</v>
      </c>
      <c r="AM41" s="28">
        <f t="shared" ref="AM41" si="182">IFERROR(AM40/AI40-1,"n/a")</f>
        <v>0.18746420521147167</v>
      </c>
      <c r="AP41" s="28">
        <f>IFERROR(AP40/AO40-1,"n/a")</f>
        <v>-15.052743747336004</v>
      </c>
      <c r="AQ41" s="28">
        <f t="shared" ref="AQ41" si="183">IFERROR(AQ40/AP40-1,"n/a")</f>
        <v>8.997856252482773</v>
      </c>
      <c r="AR41" s="28">
        <f t="shared" ref="AR41" si="184">IFERROR(AR40/AQ40-1,"n/a")</f>
        <v>1.3318074981486516</v>
      </c>
      <c r="AS41" s="28">
        <f t="shared" ref="AS41" si="185">IFERROR(AS40/AR40-1,"n/a")</f>
        <v>0.68907589194299912</v>
      </c>
      <c r="AT41" s="28">
        <f t="shared" ref="AT41" si="186">IFERROR(AT40/AS40-1,"n/a")</f>
        <v>0.54696666199947996</v>
      </c>
      <c r="AU41" s="28">
        <f t="shared" ref="AU41:AV41" si="187">IFERROR(AU40/AT40-1,"n/a")</f>
        <v>0.59221836000788342</v>
      </c>
      <c r="AV41" s="28">
        <f t="shared" si="187"/>
        <v>0.57419093947195843</v>
      </c>
      <c r="AW41" s="28">
        <f t="shared" ref="AW41:AX41" si="188">IFERROR(AW40/AV40-1,"n/a")</f>
        <v>0.56432699685123233</v>
      </c>
      <c r="AX41" s="28">
        <f t="shared" si="188"/>
        <v>0.11734365919044132</v>
      </c>
    </row>
    <row r="42" spans="1:50" x14ac:dyDescent="0.2">
      <c r="B42" s="20" t="s">
        <v>88</v>
      </c>
      <c r="H42" s="29">
        <f t="shared" ref="H42:AD42" si="189">IFERROR(H40/H16,"n/a")</f>
        <v>0.77004255368321906</v>
      </c>
      <c r="I42" s="29">
        <f t="shared" si="189"/>
        <v>0.85702752924830372</v>
      </c>
      <c r="J42" s="29">
        <f t="shared" si="189"/>
        <v>0.77045401845204253</v>
      </c>
      <c r="K42" s="29">
        <f t="shared" si="189"/>
        <v>0.74850784994911501</v>
      </c>
      <c r="L42" s="29">
        <f t="shared" si="189"/>
        <v>0.80880220117732893</v>
      </c>
      <c r="M42" s="29">
        <f t="shared" si="189"/>
        <v>0.78175908723282606</v>
      </c>
      <c r="N42" s="29">
        <f t="shared" si="189"/>
        <v>0.7571515001168494</v>
      </c>
      <c r="O42" s="29">
        <f t="shared" si="189"/>
        <v>0.81189358462356953</v>
      </c>
      <c r="P42" s="29">
        <f t="shared" si="189"/>
        <v>0.72148240827670262</v>
      </c>
      <c r="Q42" s="29">
        <f t="shared" si="189"/>
        <v>0.78245309007435626</v>
      </c>
      <c r="R42" s="29">
        <f t="shared" si="189"/>
        <v>0.77088100295979212</v>
      </c>
      <c r="S42" s="29">
        <f t="shared" si="189"/>
        <v>0.56620735145168277</v>
      </c>
      <c r="T42" s="29">
        <f t="shared" si="189"/>
        <v>0.51542211274465821</v>
      </c>
      <c r="U42" s="29">
        <f t="shared" si="189"/>
        <v>0.65762524179670245</v>
      </c>
      <c r="V42" s="29">
        <f t="shared" si="189"/>
        <v>0.69545091133267656</v>
      </c>
      <c r="W42" s="29">
        <f t="shared" si="189"/>
        <v>0.76094109690688472</v>
      </c>
      <c r="X42" s="29">
        <f t="shared" si="189"/>
        <v>0.69948274939627897</v>
      </c>
      <c r="Y42" s="29">
        <f t="shared" si="189"/>
        <v>0.74697880708793452</v>
      </c>
      <c r="Z42" s="29">
        <f t="shared" si="189"/>
        <v>0.79134104417312345</v>
      </c>
      <c r="AA42" s="29">
        <f t="shared" si="189"/>
        <v>0.77611949444133987</v>
      </c>
      <c r="AB42" s="29">
        <f t="shared" si="189"/>
        <v>0.70539888221845226</v>
      </c>
      <c r="AC42" s="29">
        <f t="shared" si="189"/>
        <v>0.643051950978207</v>
      </c>
      <c r="AD42" s="29">
        <f t="shared" si="189"/>
        <v>0.61055103843063252</v>
      </c>
      <c r="AE42" s="29">
        <f t="shared" ref="AE42:AI42" si="190">IFERROR(AE40/AE16,"n/a")</f>
        <v>0.60585666440701702</v>
      </c>
      <c r="AF42" s="29">
        <f t="shared" si="190"/>
        <v>0.62358717928807572</v>
      </c>
      <c r="AG42" s="29">
        <f t="shared" ref="AG42" si="191">IFERROR(AG40/AG16,"n/a")</f>
        <v>0.65319848907986178</v>
      </c>
      <c r="AH42" s="29">
        <f t="shared" si="190"/>
        <v>0.60062388492552921</v>
      </c>
      <c r="AI42" s="29">
        <f t="shared" si="190"/>
        <v>0.61562532587550123</v>
      </c>
      <c r="AJ42" s="29">
        <f t="shared" ref="AJ42:AM42" si="192">IFERROR(AJ40/AJ16,"n/a")</f>
        <v>0.60042646755038009</v>
      </c>
      <c r="AK42" s="29">
        <f t="shared" si="192"/>
        <v>0.58900261208303817</v>
      </c>
      <c r="AL42" s="29">
        <f t="shared" si="192"/>
        <v>0.58143836573691343</v>
      </c>
      <c r="AM42" s="29">
        <f t="shared" si="192"/>
        <v>0.59946303051735816</v>
      </c>
      <c r="AO42" s="29">
        <f t="shared" ref="AO42:AW42" si="193">IFERROR(AO40/AO16,"n/a")</f>
        <v>-0.14405661722760979</v>
      </c>
      <c r="AP42" s="29">
        <f t="shared" si="193"/>
        <v>0.5860077198470709</v>
      </c>
      <c r="AQ42" s="29">
        <f t="shared" si="193"/>
        <v>0.77882902349773131</v>
      </c>
      <c r="AR42" s="29">
        <f t="shared" si="193"/>
        <v>0.79049277142113805</v>
      </c>
      <c r="AS42" s="29">
        <f t="shared" si="193"/>
        <v>0.67648770130168212</v>
      </c>
      <c r="AT42" s="29">
        <f t="shared" si="193"/>
        <v>0.66267706677276295</v>
      </c>
      <c r="AU42" s="29">
        <f t="shared" si="193"/>
        <v>0.75927473660684719</v>
      </c>
      <c r="AV42" s="29">
        <f t="shared" ref="AV42" si="194">IFERROR(AV40/AV16,"n/a")</f>
        <v>0.63014294525779957</v>
      </c>
      <c r="AW42" s="29">
        <f t="shared" si="193"/>
        <v>0.62295836885155775</v>
      </c>
      <c r="AX42" s="29">
        <f t="shared" ref="AX42" si="195">IFERROR(AX40/AX16,"n/a")</f>
        <v>0.59253458065042564</v>
      </c>
    </row>
    <row r="44" spans="1:50" x14ac:dyDescent="0.2">
      <c r="A44" t="s">
        <v>249</v>
      </c>
      <c r="B44" t="s">
        <v>89</v>
      </c>
      <c r="H44" s="10">
        <f>+H560-H596</f>
        <v>1216.2560000000001</v>
      </c>
      <c r="I44" s="10">
        <f t="shared" ref="I44:AD44" si="196">+I560-I596</f>
        <v>2938.4429999999998</v>
      </c>
      <c r="J44" s="10">
        <f t="shared" si="196"/>
        <v>3049.1790000000001</v>
      </c>
      <c r="K44" s="10">
        <f t="shared" si="196"/>
        <v>5832.13</v>
      </c>
      <c r="L44" s="10">
        <f t="shared" si="196"/>
        <v>4693.134</v>
      </c>
      <c r="M44" s="10">
        <f t="shared" si="196"/>
        <v>5895.3240000000005</v>
      </c>
      <c r="N44" s="10">
        <f t="shared" si="196"/>
        <v>6689.7470000000003</v>
      </c>
      <c r="O44" s="10">
        <f t="shared" si="196"/>
        <v>9035.1820000000007</v>
      </c>
      <c r="P44" s="10">
        <f t="shared" si="196"/>
        <v>7064.8220000000001</v>
      </c>
      <c r="Q44" s="10">
        <f t="shared" si="196"/>
        <v>8864.0420000000013</v>
      </c>
      <c r="R44" s="10">
        <f t="shared" si="196"/>
        <v>9736.5370000000003</v>
      </c>
      <c r="S44" s="10">
        <f t="shared" si="196"/>
        <v>14435.651</v>
      </c>
      <c r="T44" s="10">
        <f t="shared" si="196"/>
        <v>12697.923999999999</v>
      </c>
      <c r="U44" s="10">
        <f t="shared" si="196"/>
        <v>10004.332999999999</v>
      </c>
      <c r="V44" s="10">
        <f t="shared" si="196"/>
        <v>9665.9070000000011</v>
      </c>
      <c r="W44" s="10">
        <f t="shared" si="196"/>
        <v>10821.336999999998</v>
      </c>
      <c r="X44" s="10">
        <f t="shared" si="196"/>
        <v>10717.963</v>
      </c>
      <c r="Y44" s="10">
        <f t="shared" si="196"/>
        <v>10829.888000000001</v>
      </c>
      <c r="Z44" s="10">
        <f t="shared" si="196"/>
        <v>13440.358</v>
      </c>
      <c r="AA44" s="10">
        <f t="shared" si="196"/>
        <v>17196.833999999999</v>
      </c>
      <c r="AB44" s="10">
        <f t="shared" si="196"/>
        <v>15770.915000000001</v>
      </c>
      <c r="AC44" s="10">
        <f t="shared" si="196"/>
        <v>16552.882999999998</v>
      </c>
      <c r="AD44" s="10">
        <f t="shared" si="196"/>
        <v>21283.499</v>
      </c>
      <c r="AE44" s="10">
        <f t="shared" ref="AE44:AF44" si="197">+AE560-AE596</f>
        <v>26227.476000000002</v>
      </c>
      <c r="AF44" s="10">
        <f t="shared" si="197"/>
        <v>22738.28</v>
      </c>
      <c r="AG44" s="10">
        <f t="shared" ref="AG44" si="198">+AG560-AG596</f>
        <v>25411.14</v>
      </c>
      <c r="AH44" s="14">
        <f t="shared" ref="AH44:AI44" si="199">+AH442</f>
        <v>28543.296603959803</v>
      </c>
      <c r="AI44" s="14">
        <f t="shared" si="199"/>
        <v>32888.52292170938</v>
      </c>
      <c r="AJ44" s="14">
        <f t="shared" ref="AJ44:AM44" si="200">+AJ442</f>
        <v>28777.874584165154</v>
      </c>
      <c r="AK44" s="14">
        <f t="shared" si="200"/>
        <v>31963.359058708134</v>
      </c>
      <c r="AL44" s="14">
        <f t="shared" si="200"/>
        <v>34694.467029049185</v>
      </c>
      <c r="AM44" s="14">
        <f t="shared" si="200"/>
        <v>39893.353854484274</v>
      </c>
      <c r="AO44" s="10">
        <f t="shared" ref="AO44:AU44" si="201">+AO560-AO596</f>
        <v>168.42700000000002</v>
      </c>
      <c r="AP44" s="10">
        <f t="shared" si="201"/>
        <v>1342.9070000000002</v>
      </c>
      <c r="AQ44" s="10">
        <f t="shared" si="201"/>
        <v>13036.008</v>
      </c>
      <c r="AR44" s="10">
        <f t="shared" si="201"/>
        <v>26313.386999999999</v>
      </c>
      <c r="AS44" s="10">
        <f t="shared" si="201"/>
        <v>40101.052000000003</v>
      </c>
      <c r="AT44" s="10">
        <f t="shared" si="201"/>
        <v>43189.501000000004</v>
      </c>
      <c r="AU44" s="10">
        <f t="shared" si="201"/>
        <v>52185.042999999998</v>
      </c>
      <c r="AV44" s="10">
        <f t="shared" ref="AV44" si="202">+AV560-AV596</f>
        <v>79834.773000000001</v>
      </c>
      <c r="AW44" s="10">
        <f>+SUM(AF44:AI44)</f>
        <v>109581.23952566917</v>
      </c>
      <c r="AX44" s="10">
        <f t="shared" ref="AX44:AX47" si="203">+SUM(AJ44:AM44)</f>
        <v>135329.05452640675</v>
      </c>
    </row>
    <row r="45" spans="1:50" x14ac:dyDescent="0.2">
      <c r="A45" t="s">
        <v>250</v>
      </c>
      <c r="B45" t="s">
        <v>90</v>
      </c>
      <c r="H45" s="10">
        <f>+H562-H598</f>
        <v>65.736999999999995</v>
      </c>
      <c r="I45" s="10">
        <f t="shared" ref="I45:AD45" si="204">+I562-I598</f>
        <v>169.047</v>
      </c>
      <c r="J45" s="10">
        <f t="shared" si="204"/>
        <v>298.34500000000003</v>
      </c>
      <c r="K45" s="10">
        <f t="shared" si="204"/>
        <v>446.83399999999995</v>
      </c>
      <c r="L45" s="10">
        <f t="shared" si="204"/>
        <v>537.85400000000004</v>
      </c>
      <c r="M45" s="10">
        <f t="shared" si="204"/>
        <v>610.84799999999996</v>
      </c>
      <c r="N45" s="10">
        <f t="shared" si="204"/>
        <v>892.452</v>
      </c>
      <c r="O45" s="10">
        <f t="shared" si="204"/>
        <v>942.83600000000001</v>
      </c>
      <c r="P45" s="10">
        <f t="shared" si="204"/>
        <v>1124.211</v>
      </c>
      <c r="Q45" s="10">
        <f t="shared" si="204"/>
        <v>1265.2</v>
      </c>
      <c r="R45" s="10">
        <f t="shared" si="204"/>
        <v>1424.723</v>
      </c>
      <c r="S45" s="10">
        <f t="shared" si="204"/>
        <v>1557.299</v>
      </c>
      <c r="T45" s="10">
        <f t="shared" si="204"/>
        <v>1740.951</v>
      </c>
      <c r="U45" s="10">
        <f t="shared" si="204"/>
        <v>1752.415</v>
      </c>
      <c r="V45" s="10">
        <f t="shared" si="204"/>
        <v>1851.4919999999997</v>
      </c>
      <c r="W45" s="10">
        <f t="shared" si="204"/>
        <v>1304.2659999999996</v>
      </c>
      <c r="X45" s="10">
        <f t="shared" si="204"/>
        <v>2039.3389999999999</v>
      </c>
      <c r="Y45" s="10">
        <f t="shared" si="204"/>
        <v>1948.585</v>
      </c>
      <c r="Z45" s="10">
        <f t="shared" si="204"/>
        <v>2127.8389999999999</v>
      </c>
      <c r="AA45" s="10">
        <f t="shared" si="204"/>
        <v>1747.3790000000006</v>
      </c>
      <c r="AB45" s="10">
        <f t="shared" si="204"/>
        <v>1977.4580000000001</v>
      </c>
      <c r="AC45" s="10">
        <f t="shared" si="204"/>
        <v>2086.7359999999999</v>
      </c>
      <c r="AD45" s="10">
        <f t="shared" si="204"/>
        <v>2217.9290000000001</v>
      </c>
      <c r="AE45" s="10">
        <f t="shared" ref="AE45:AF45" si="205">+AE562-AE598</f>
        <v>2367.2959999999998</v>
      </c>
      <c r="AF45" s="10">
        <f t="shared" si="205"/>
        <v>2272.7349999999997</v>
      </c>
      <c r="AG45" s="10">
        <f t="shared" ref="AG45" si="206">+AG562-AG598</f>
        <v>2407.1120000000001</v>
      </c>
      <c r="AH45" s="10">
        <f t="shared" ref="AH45:AI45" si="207">+AH462</f>
        <v>2700</v>
      </c>
      <c r="AI45" s="10">
        <f t="shared" si="207"/>
        <v>3000</v>
      </c>
      <c r="AJ45" s="10">
        <f t="shared" ref="AJ45:AM45" si="208">+AJ462</f>
        <v>3000</v>
      </c>
      <c r="AK45" s="10">
        <f t="shared" si="208"/>
        <v>3000</v>
      </c>
      <c r="AL45" s="10">
        <f t="shared" si="208"/>
        <v>3000</v>
      </c>
      <c r="AM45" s="10">
        <f t="shared" si="208"/>
        <v>3000</v>
      </c>
      <c r="AO45" s="10">
        <f t="shared" ref="AO45:AU45" si="209">+AO562-AO598</f>
        <v>27.672999999999998</v>
      </c>
      <c r="AP45" s="10">
        <f t="shared" si="209"/>
        <v>123.28800000000001</v>
      </c>
      <c r="AQ45" s="10">
        <f t="shared" si="209"/>
        <v>979.96299999999997</v>
      </c>
      <c r="AR45" s="10">
        <f t="shared" si="209"/>
        <v>2983.9900000000002</v>
      </c>
      <c r="AS45" s="10">
        <f t="shared" si="209"/>
        <v>5371.433</v>
      </c>
      <c r="AT45" s="10">
        <f t="shared" si="209"/>
        <v>6649.1239999999998</v>
      </c>
      <c r="AU45" s="10">
        <f t="shared" si="209"/>
        <v>7863.1419999999998</v>
      </c>
      <c r="AV45" s="10">
        <f t="shared" ref="AV45" si="210">+AV562-AV598</f>
        <v>8649.4189999999999</v>
      </c>
      <c r="AW45" s="10">
        <f>+SUM(AF45:AI45)</f>
        <v>10379.847</v>
      </c>
      <c r="AX45" s="10">
        <f t="shared" si="203"/>
        <v>12000</v>
      </c>
    </row>
    <row r="46" spans="1:50" ht="13.5" x14ac:dyDescent="0.35">
      <c r="A46" t="s">
        <v>251</v>
      </c>
      <c r="B46" t="s">
        <v>91</v>
      </c>
      <c r="H46" s="25">
        <f>+H561-H597</f>
        <v>23.733999999999998</v>
      </c>
      <c r="I46" s="25">
        <f t="shared" ref="I46:AD46" si="211">+I561-I597</f>
        <v>29.966999999999643</v>
      </c>
      <c r="J46" s="25">
        <f t="shared" si="211"/>
        <v>40.787000000000035</v>
      </c>
      <c r="K46" s="25">
        <f t="shared" si="211"/>
        <v>65.937999999999477</v>
      </c>
      <c r="L46" s="25">
        <f t="shared" si="211"/>
        <v>67.072000000000003</v>
      </c>
      <c r="M46" s="25">
        <f t="shared" si="211"/>
        <v>91.296000000000021</v>
      </c>
      <c r="N46" s="25">
        <f t="shared" si="211"/>
        <v>230.54400000000001</v>
      </c>
      <c r="O46" s="25">
        <f t="shared" si="211"/>
        <v>121.15900000000002</v>
      </c>
      <c r="P46" s="25">
        <f t="shared" si="211"/>
        <v>118.08600000000001</v>
      </c>
      <c r="Q46" s="25">
        <f t="shared" si="211"/>
        <v>136.52600000000001</v>
      </c>
      <c r="R46" s="25">
        <f t="shared" si="211"/>
        <v>132.6</v>
      </c>
      <c r="S46" s="25">
        <f t="shared" si="211"/>
        <v>153.1</v>
      </c>
      <c r="T46" s="25">
        <f t="shared" si="211"/>
        <v>160.68500000000003</v>
      </c>
      <c r="U46" s="25">
        <f t="shared" si="211"/>
        <v>213.786</v>
      </c>
      <c r="V46" s="25">
        <f t="shared" si="211"/>
        <v>178.07499999999999</v>
      </c>
      <c r="W46" s="25">
        <f t="shared" si="211"/>
        <v>195.80699999999968</v>
      </c>
      <c r="X46" s="25">
        <f t="shared" si="211"/>
        <v>208.81700000000006</v>
      </c>
      <c r="Y46" s="25">
        <f t="shared" si="211"/>
        <v>164.70299999999997</v>
      </c>
      <c r="Z46" s="25">
        <f t="shared" si="211"/>
        <v>226.32100000000003</v>
      </c>
      <c r="AA46" s="25">
        <f t="shared" si="211"/>
        <v>360.76699999999983</v>
      </c>
      <c r="AB46" s="25">
        <f t="shared" si="211"/>
        <v>338.34000000000003</v>
      </c>
      <c r="AC46" s="25">
        <f t="shared" si="211"/>
        <v>370.23400000000004</v>
      </c>
      <c r="AD46" s="25">
        <f t="shared" si="211"/>
        <v>403.29200000000003</v>
      </c>
      <c r="AE46" s="25">
        <f t="shared" ref="AE46:AF46" si="212">+AE561-AE597</f>
        <v>674.48400000000015</v>
      </c>
      <c r="AF46" s="25">
        <f t="shared" si="212"/>
        <v>571.67699999999991</v>
      </c>
      <c r="AG46" s="25">
        <f t="shared" ref="AG46" si="213">+AG561-AG597</f>
        <v>593.58899999999994</v>
      </c>
      <c r="AH46" s="25">
        <f t="shared" ref="AH46:AI46" si="214">+AH469</f>
        <v>800</v>
      </c>
      <c r="AI46" s="25">
        <f t="shared" si="214"/>
        <v>900</v>
      </c>
      <c r="AJ46" s="25">
        <f t="shared" ref="AJ46:AM46" si="215">+AJ469</f>
        <v>900</v>
      </c>
      <c r="AK46" s="25">
        <f t="shared" si="215"/>
        <v>900</v>
      </c>
      <c r="AL46" s="25">
        <f t="shared" si="215"/>
        <v>1100</v>
      </c>
      <c r="AM46" s="25">
        <f t="shared" si="215"/>
        <v>1200</v>
      </c>
      <c r="AO46" s="25">
        <f t="shared" ref="AO46:AU46" si="216">+AO561-AO597</f>
        <v>13.315999999999999</v>
      </c>
      <c r="AP46" s="25">
        <f t="shared" si="216"/>
        <v>25.065999999999988</v>
      </c>
      <c r="AQ46" s="25">
        <f t="shared" si="216"/>
        <v>160.42600000000039</v>
      </c>
      <c r="AR46" s="25">
        <f t="shared" si="216"/>
        <v>510.07100000000003</v>
      </c>
      <c r="AS46" s="25">
        <f t="shared" si="216"/>
        <v>540.31199999999978</v>
      </c>
      <c r="AT46" s="25">
        <f t="shared" si="216"/>
        <v>748.35299999999984</v>
      </c>
      <c r="AU46" s="25">
        <f t="shared" si="216"/>
        <v>960.60799999999972</v>
      </c>
      <c r="AV46" s="25">
        <f t="shared" ref="AV46" si="217">+AV561-AV597</f>
        <v>1786.35</v>
      </c>
      <c r="AW46" s="25">
        <f>+SUM(AF46:AI46)</f>
        <v>2865.2659999999996</v>
      </c>
      <c r="AX46" s="25">
        <f t="shared" si="203"/>
        <v>4100</v>
      </c>
    </row>
    <row r="47" spans="1:50" x14ac:dyDescent="0.2">
      <c r="B47" s="4" t="s">
        <v>92</v>
      </c>
      <c r="H47" s="10">
        <f>IFERROR(H44+H45+H46,"n/a")</f>
        <v>1305.7270000000001</v>
      </c>
      <c r="I47" s="10">
        <f t="shared" ref="I47:AI47" si="218">IFERROR(I44+I45+I46,"n/a")</f>
        <v>3137.4569999999994</v>
      </c>
      <c r="J47" s="10">
        <f t="shared" si="218"/>
        <v>3388.3110000000006</v>
      </c>
      <c r="K47" s="10">
        <f t="shared" si="218"/>
        <v>6344.9019999999991</v>
      </c>
      <c r="L47" s="10">
        <f t="shared" si="218"/>
        <v>5298.06</v>
      </c>
      <c r="M47" s="10">
        <f t="shared" si="218"/>
        <v>6597.4680000000008</v>
      </c>
      <c r="N47" s="10">
        <f t="shared" si="218"/>
        <v>7812.7430000000004</v>
      </c>
      <c r="O47" s="10">
        <f t="shared" si="218"/>
        <v>10099.177</v>
      </c>
      <c r="P47" s="10">
        <f t="shared" si="218"/>
        <v>8307.1190000000006</v>
      </c>
      <c r="Q47" s="10">
        <f t="shared" si="218"/>
        <v>10265.768000000002</v>
      </c>
      <c r="R47" s="10">
        <f t="shared" si="218"/>
        <v>11293.86</v>
      </c>
      <c r="S47" s="10">
        <f t="shared" si="218"/>
        <v>16146.050000000001</v>
      </c>
      <c r="T47" s="10">
        <f t="shared" si="218"/>
        <v>14599.56</v>
      </c>
      <c r="U47" s="10">
        <f t="shared" si="218"/>
        <v>11970.534</v>
      </c>
      <c r="V47" s="10">
        <f t="shared" si="218"/>
        <v>11695.474000000002</v>
      </c>
      <c r="W47" s="10">
        <f t="shared" si="218"/>
        <v>12321.409999999996</v>
      </c>
      <c r="X47" s="10">
        <f t="shared" si="218"/>
        <v>12966.119000000001</v>
      </c>
      <c r="Y47" s="10">
        <f t="shared" si="218"/>
        <v>12943.176000000001</v>
      </c>
      <c r="Z47" s="10">
        <f t="shared" si="218"/>
        <v>15794.518</v>
      </c>
      <c r="AA47" s="10">
        <f t="shared" si="218"/>
        <v>19304.98</v>
      </c>
      <c r="AB47" s="10">
        <f t="shared" si="218"/>
        <v>18086.713</v>
      </c>
      <c r="AC47" s="10">
        <f t="shared" si="218"/>
        <v>19009.852999999999</v>
      </c>
      <c r="AD47" s="10">
        <f t="shared" si="218"/>
        <v>23904.720000000001</v>
      </c>
      <c r="AE47" s="10">
        <f t="shared" ref="AE47:AF47" si="219">IFERROR(AE44+AE45+AE46,"n/a")</f>
        <v>29269.256000000001</v>
      </c>
      <c r="AF47" s="10">
        <f t="shared" si="219"/>
        <v>25582.691999999999</v>
      </c>
      <c r="AG47" s="10">
        <f t="shared" ref="AG47" si="220">IFERROR(AG44+AG45+AG46,"n/a")</f>
        <v>28411.841</v>
      </c>
      <c r="AH47" s="10">
        <f t="shared" si="218"/>
        <v>32043.296603959803</v>
      </c>
      <c r="AI47" s="10">
        <f t="shared" si="218"/>
        <v>36788.52292170938</v>
      </c>
      <c r="AJ47" s="10">
        <f t="shared" ref="AJ47:AM47" si="221">IFERROR(AJ44+AJ45+AJ46,"n/a")</f>
        <v>32677.874584165154</v>
      </c>
      <c r="AK47" s="10">
        <f t="shared" si="221"/>
        <v>35863.359058708134</v>
      </c>
      <c r="AL47" s="10">
        <f t="shared" si="221"/>
        <v>38794.467029049185</v>
      </c>
      <c r="AM47" s="10">
        <f t="shared" si="221"/>
        <v>44093.353854484274</v>
      </c>
      <c r="AO47" s="10">
        <f t="shared" ref="AO47" si="222">IFERROR(AO44+AO45+AO46,"n/a")</f>
        <v>209.41600000000003</v>
      </c>
      <c r="AP47" s="10">
        <f t="shared" ref="AP47" si="223">IFERROR(AP44+AP45+AP46,"n/a")</f>
        <v>1491.2610000000002</v>
      </c>
      <c r="AQ47" s="10">
        <f t="shared" ref="AQ47" si="224">IFERROR(AQ44+AQ45+AQ46,"n/a")</f>
        <v>14176.397000000001</v>
      </c>
      <c r="AR47" s="10">
        <f t="shared" ref="AR47" si="225">IFERROR(AR44+AR45+AR46,"n/a")</f>
        <v>29807.448</v>
      </c>
      <c r="AS47" s="10">
        <f t="shared" ref="AS47" si="226">IFERROR(AS44+AS45+AS46,"n/a")</f>
        <v>46012.796999999999</v>
      </c>
      <c r="AT47" s="10">
        <f t="shared" ref="AT47" si="227">IFERROR(AT44+AT45+AT46,"n/a")</f>
        <v>50586.978000000003</v>
      </c>
      <c r="AU47" s="10">
        <f t="shared" ref="AU47:AV47" si="228">IFERROR(AU44+AU45+AU46,"n/a")</f>
        <v>61008.792999999998</v>
      </c>
      <c r="AV47" s="10">
        <f t="shared" si="228"/>
        <v>90270.542000000001</v>
      </c>
      <c r="AW47" s="10">
        <f>+SUM(AF47:AI47)</f>
        <v>122826.35252566918</v>
      </c>
      <c r="AX47" s="10">
        <f t="shared" si="203"/>
        <v>151429.05452640675</v>
      </c>
    </row>
    <row r="48" spans="1:50" x14ac:dyDescent="0.2">
      <c r="B48" s="4"/>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O48" s="10"/>
      <c r="AP48" s="10"/>
      <c r="AQ48" s="10"/>
      <c r="AR48" s="10"/>
      <c r="AS48" s="10"/>
      <c r="AT48" s="10"/>
      <c r="AU48" s="10"/>
      <c r="AV48" s="10"/>
    </row>
    <row r="49" spans="2:52" x14ac:dyDescent="0.2">
      <c r="B49" s="19" t="s">
        <v>86</v>
      </c>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O49" s="10"/>
      <c r="AP49" s="10"/>
      <c r="AQ49" s="10"/>
      <c r="AR49" s="10"/>
      <c r="AS49" s="10"/>
      <c r="AT49" s="10"/>
      <c r="AU49" s="10"/>
      <c r="AV49" s="10"/>
    </row>
    <row r="50" spans="2:52" x14ac:dyDescent="0.2">
      <c r="B50" s="20" t="s">
        <v>89</v>
      </c>
      <c r="H50" s="10"/>
      <c r="I50" s="10"/>
      <c r="J50" s="10"/>
      <c r="K50" s="10"/>
      <c r="L50" s="28">
        <f>IFERROR(L44/H44-1,"n/a")</f>
        <v>2.8586728451904859</v>
      </c>
      <c r="M50" s="28">
        <f t="shared" ref="M50:AG53" si="229">IFERROR(M44/I44-1,"n/a")</f>
        <v>1.006274751628669</v>
      </c>
      <c r="N50" s="28">
        <f t="shared" si="229"/>
        <v>1.1939502403761799</v>
      </c>
      <c r="O50" s="28">
        <f t="shared" si="229"/>
        <v>0.54920792231997573</v>
      </c>
      <c r="P50" s="28">
        <f t="shared" si="229"/>
        <v>0.50535271313369701</v>
      </c>
      <c r="Q50" s="28">
        <f t="shared" si="229"/>
        <v>0.50357164423872214</v>
      </c>
      <c r="R50" s="28">
        <f t="shared" si="229"/>
        <v>0.45544173793119525</v>
      </c>
      <c r="S50" s="28">
        <f t="shared" si="229"/>
        <v>0.59771557451748047</v>
      </c>
      <c r="T50" s="28">
        <f t="shared" si="229"/>
        <v>0.79734521266070102</v>
      </c>
      <c r="U50" s="28">
        <f t="shared" si="229"/>
        <v>0.12864232818391397</v>
      </c>
      <c r="V50" s="28">
        <f t="shared" si="229"/>
        <v>-7.2541192006972954E-3</v>
      </c>
      <c r="W50" s="28">
        <f t="shared" si="229"/>
        <v>-0.25037416047256911</v>
      </c>
      <c r="X50" s="28">
        <f t="shared" si="229"/>
        <v>-0.15592792963637203</v>
      </c>
      <c r="Y50" s="28">
        <f t="shared" si="229"/>
        <v>8.251974419484065E-2</v>
      </c>
      <c r="Z50" s="28">
        <f t="shared" si="229"/>
        <v>0.39049113549302716</v>
      </c>
      <c r="AA50" s="28">
        <f t="shared" si="229"/>
        <v>0.58915982378147946</v>
      </c>
      <c r="AB50" s="28">
        <f t="shared" si="229"/>
        <v>0.47144704642104118</v>
      </c>
      <c r="AC50" s="28">
        <f t="shared" si="229"/>
        <v>0.52844452315665658</v>
      </c>
      <c r="AD50" s="28">
        <f t="shared" si="229"/>
        <v>0.58355149468488854</v>
      </c>
      <c r="AE50" s="28">
        <f t="shared" si="229"/>
        <v>0.52513398687223489</v>
      </c>
      <c r="AF50" s="28">
        <f t="shared" si="229"/>
        <v>0.4417857175693356</v>
      </c>
      <c r="AG50" s="28">
        <f t="shared" si="229"/>
        <v>0.53514889218995876</v>
      </c>
      <c r="AH50" s="28">
        <f t="shared" ref="AH50:AH53" si="230">IFERROR(AH44/AD44-1,"n/a")</f>
        <v>0.34109981652733912</v>
      </c>
      <c r="AI50" s="28">
        <f t="shared" ref="AI50:AJ53" si="231">IFERROR(AI44/AE44-1,"n/a")</f>
        <v>0.25397209101285156</v>
      </c>
      <c r="AJ50" s="28">
        <f t="shared" si="231"/>
        <v>0.26561351976337511</v>
      </c>
      <c r="AK50" s="28">
        <f t="shared" ref="AK50:AK53" si="232">IFERROR(AK44/AG44-1,"n/a")</f>
        <v>0.25784829246968588</v>
      </c>
      <c r="AL50" s="28">
        <f t="shared" ref="AL50:AL53" si="233">IFERROR(AL44/AH44-1,"n/a")</f>
        <v>0.21550315334760706</v>
      </c>
      <c r="AM50" s="28">
        <f t="shared" ref="AM50:AM53" si="234">IFERROR(AM44/AI44-1,"n/a")</f>
        <v>0.21298709429577567</v>
      </c>
      <c r="AO50" s="10"/>
      <c r="AP50" s="28">
        <f>IFERROR(AP44/AO44-1,"n/a")</f>
        <v>6.9732287578594878</v>
      </c>
      <c r="AQ50" s="28">
        <f t="shared" ref="AQ50:AV50" si="235">IFERROR(AQ44/AP44-1,"n/a")</f>
        <v>8.7073051223949225</v>
      </c>
      <c r="AR50" s="28">
        <f t="shared" si="235"/>
        <v>1.0185157143199053</v>
      </c>
      <c r="AS50" s="28">
        <f t="shared" si="235"/>
        <v>0.52397910614851684</v>
      </c>
      <c r="AT50" s="28">
        <f t="shared" si="235"/>
        <v>7.7016657817356116E-2</v>
      </c>
      <c r="AU50" s="28">
        <f t="shared" si="235"/>
        <v>0.20828075786288869</v>
      </c>
      <c r="AV50" s="28">
        <f t="shared" si="235"/>
        <v>0.52984013062900037</v>
      </c>
      <c r="AW50" s="28">
        <f t="shared" ref="AW50:AX53" si="236">IFERROR(AW44/AV44-1,"n/a")</f>
        <v>0.37260037710220795</v>
      </c>
      <c r="AX50" s="28">
        <f t="shared" si="236"/>
        <v>0.23496553892061245</v>
      </c>
    </row>
    <row r="51" spans="2:52" x14ac:dyDescent="0.2">
      <c r="B51" s="20" t="s">
        <v>90</v>
      </c>
      <c r="H51" s="10"/>
      <c r="I51" s="10"/>
      <c r="J51" s="10"/>
      <c r="K51" s="10"/>
      <c r="L51" s="28">
        <f t="shared" ref="L51:L53" si="237">IFERROR(L45/H45-1,"n/a")</f>
        <v>7.1819066887749674</v>
      </c>
      <c r="M51" s="28">
        <f t="shared" si="229"/>
        <v>2.6134802747164989</v>
      </c>
      <c r="N51" s="28">
        <f t="shared" si="229"/>
        <v>1.9913422380130381</v>
      </c>
      <c r="O51" s="28">
        <f t="shared" si="229"/>
        <v>1.1100363893526457</v>
      </c>
      <c r="P51" s="28">
        <f t="shared" si="229"/>
        <v>1.0901787473924149</v>
      </c>
      <c r="Q51" s="28">
        <f t="shared" si="229"/>
        <v>1.0712190266645716</v>
      </c>
      <c r="R51" s="28">
        <f t="shared" si="229"/>
        <v>0.59641414888419764</v>
      </c>
      <c r="S51" s="28">
        <f t="shared" si="229"/>
        <v>0.65171779609603364</v>
      </c>
      <c r="T51" s="28">
        <f t="shared" si="229"/>
        <v>0.54859808345586369</v>
      </c>
      <c r="U51" s="28">
        <f t="shared" si="229"/>
        <v>0.3850893139424596</v>
      </c>
      <c r="V51" s="28">
        <f t="shared" si="229"/>
        <v>0.29954524493533108</v>
      </c>
      <c r="W51" s="28">
        <f t="shared" si="229"/>
        <v>-0.16248196396453107</v>
      </c>
      <c r="X51" s="28">
        <f t="shared" si="229"/>
        <v>0.17139368081008599</v>
      </c>
      <c r="Y51" s="28">
        <f t="shared" si="229"/>
        <v>0.11194266198360547</v>
      </c>
      <c r="Z51" s="28">
        <f t="shared" si="229"/>
        <v>0.1492563835004419</v>
      </c>
      <c r="AA51" s="28">
        <f t="shared" si="229"/>
        <v>0.33974127976961843</v>
      </c>
      <c r="AB51" s="28">
        <f t="shared" si="229"/>
        <v>-3.0343655468757169E-2</v>
      </c>
      <c r="AC51" s="28">
        <f t="shared" si="229"/>
        <v>7.0898113246278704E-2</v>
      </c>
      <c r="AD51" s="28">
        <f t="shared" si="229"/>
        <v>4.2338729574935119E-2</v>
      </c>
      <c r="AE51" s="28">
        <f t="shared" si="229"/>
        <v>0.35476962925615974</v>
      </c>
      <c r="AF51" s="28">
        <f t="shared" si="229"/>
        <v>0.14932150265644051</v>
      </c>
      <c r="AG51" s="28">
        <f t="shared" si="229"/>
        <v>0.15352972297406109</v>
      </c>
      <c r="AH51" s="28">
        <f t="shared" si="230"/>
        <v>0.2173518629315907</v>
      </c>
      <c r="AI51" s="28">
        <f t="shared" si="231"/>
        <v>0.2672686474357242</v>
      </c>
      <c r="AJ51" s="28">
        <f t="shared" si="231"/>
        <v>0.31999551201525933</v>
      </c>
      <c r="AK51" s="28">
        <f t="shared" si="232"/>
        <v>0.24630677758243058</v>
      </c>
      <c r="AL51" s="28">
        <f t="shared" si="233"/>
        <v>0.11111111111111116</v>
      </c>
      <c r="AM51" s="28">
        <f t="shared" si="234"/>
        <v>0</v>
      </c>
      <c r="AO51" s="10"/>
      <c r="AP51" s="28">
        <f t="shared" ref="AP51:AV53" si="238">IFERROR(AP45/AO45-1,"n/a")</f>
        <v>3.4551729122249126</v>
      </c>
      <c r="AQ51" s="28">
        <f t="shared" si="238"/>
        <v>6.9485675815975592</v>
      </c>
      <c r="AR51" s="28">
        <f t="shared" si="238"/>
        <v>2.0450027194904301</v>
      </c>
      <c r="AS51" s="28">
        <f t="shared" si="238"/>
        <v>0.80008411556338976</v>
      </c>
      <c r="AT51" s="28">
        <f t="shared" si="238"/>
        <v>0.23786780920473172</v>
      </c>
      <c r="AU51" s="28">
        <f t="shared" si="238"/>
        <v>0.18258314929906549</v>
      </c>
      <c r="AV51" s="28">
        <f t="shared" si="238"/>
        <v>9.9995269066742054E-2</v>
      </c>
      <c r="AW51" s="28">
        <f t="shared" si="236"/>
        <v>0.2000629175208184</v>
      </c>
      <c r="AX51" s="28">
        <f t="shared" si="236"/>
        <v>0.15608640474180402</v>
      </c>
    </row>
    <row r="52" spans="2:52" ht="13.5" x14ac:dyDescent="0.35">
      <c r="B52" s="20" t="s">
        <v>91</v>
      </c>
      <c r="H52" s="10"/>
      <c r="I52" s="10"/>
      <c r="J52" s="10"/>
      <c r="K52" s="10"/>
      <c r="L52" s="31">
        <f t="shared" si="237"/>
        <v>1.8259880340439878</v>
      </c>
      <c r="M52" s="31">
        <f t="shared" si="229"/>
        <v>2.0465512063269964</v>
      </c>
      <c r="N52" s="31">
        <f t="shared" si="229"/>
        <v>4.6523892416701358</v>
      </c>
      <c r="O52" s="31">
        <f t="shared" si="229"/>
        <v>0.83746853104432928</v>
      </c>
      <c r="P52" s="31">
        <f t="shared" si="229"/>
        <v>0.76058563931297729</v>
      </c>
      <c r="Q52" s="31">
        <f t="shared" si="229"/>
        <v>0.49542148615492443</v>
      </c>
      <c r="R52" s="31">
        <f t="shared" si="229"/>
        <v>-0.42483864251509473</v>
      </c>
      <c r="S52" s="31">
        <f t="shared" si="229"/>
        <v>0.2636287853151642</v>
      </c>
      <c r="T52" s="31">
        <f t="shared" si="229"/>
        <v>0.36074555832190103</v>
      </c>
      <c r="U52" s="31">
        <f t="shared" si="229"/>
        <v>0.56589953561958883</v>
      </c>
      <c r="V52" s="31">
        <f t="shared" si="229"/>
        <v>0.34294871794871784</v>
      </c>
      <c r="W52" s="31">
        <f t="shared" si="229"/>
        <v>0.27894839973873076</v>
      </c>
      <c r="X52" s="31">
        <f t="shared" si="229"/>
        <v>0.29954258331518213</v>
      </c>
      <c r="Y52" s="31">
        <f t="shared" si="229"/>
        <v>-0.22958940248659887</v>
      </c>
      <c r="Z52" s="31">
        <f t="shared" si="229"/>
        <v>0.27093078758949907</v>
      </c>
      <c r="AA52" s="31">
        <f t="shared" si="229"/>
        <v>0.84246222045177355</v>
      </c>
      <c r="AB52" s="31">
        <f t="shared" si="229"/>
        <v>0.62027038028512971</v>
      </c>
      <c r="AC52" s="31">
        <f t="shared" si="229"/>
        <v>1.2478886237652023</v>
      </c>
      <c r="AD52" s="31">
        <f t="shared" si="229"/>
        <v>0.78194688075786156</v>
      </c>
      <c r="AE52" s="31">
        <f t="shared" si="229"/>
        <v>0.86958341533455252</v>
      </c>
      <c r="AF52" s="31">
        <f t="shared" si="229"/>
        <v>0.68965242064195742</v>
      </c>
      <c r="AG52" s="31">
        <f t="shared" si="229"/>
        <v>0.6032806279272025</v>
      </c>
      <c r="AH52" s="31">
        <f t="shared" si="230"/>
        <v>0.98367436001705943</v>
      </c>
      <c r="AI52" s="31">
        <f t="shared" si="231"/>
        <v>0.33435337235575613</v>
      </c>
      <c r="AJ52" s="31">
        <f t="shared" si="231"/>
        <v>0.5743155663075481</v>
      </c>
      <c r="AK52" s="31">
        <f t="shared" si="232"/>
        <v>0.51620060344784036</v>
      </c>
      <c r="AL52" s="31">
        <f t="shared" si="233"/>
        <v>0.375</v>
      </c>
      <c r="AM52" s="31">
        <f t="shared" si="234"/>
        <v>0.33333333333333326</v>
      </c>
      <c r="AO52" s="10"/>
      <c r="AP52" s="31">
        <f t="shared" si="238"/>
        <v>0.88239711625112571</v>
      </c>
      <c r="AQ52" s="31">
        <f t="shared" si="238"/>
        <v>5.4001436208409981</v>
      </c>
      <c r="AR52" s="31">
        <f t="shared" si="238"/>
        <v>2.1794783887898395</v>
      </c>
      <c r="AS52" s="31">
        <f t="shared" si="238"/>
        <v>5.9287824636177655E-2</v>
      </c>
      <c r="AT52" s="31">
        <f t="shared" si="238"/>
        <v>0.38503864433882673</v>
      </c>
      <c r="AU52" s="31">
        <f t="shared" si="238"/>
        <v>0.28362951708618778</v>
      </c>
      <c r="AV52" s="31">
        <f t="shared" si="238"/>
        <v>0.8596035011159604</v>
      </c>
      <c r="AW52" s="31">
        <f t="shared" si="236"/>
        <v>0.60397794385198855</v>
      </c>
      <c r="AX52" s="31">
        <f t="shared" si="236"/>
        <v>0.43093171803246211</v>
      </c>
    </row>
    <row r="53" spans="2:52" x14ac:dyDescent="0.2">
      <c r="B53" s="30" t="s">
        <v>92</v>
      </c>
      <c r="H53" s="10"/>
      <c r="I53" s="10"/>
      <c r="J53" s="10"/>
      <c r="K53" s="10"/>
      <c r="L53" s="28">
        <f t="shared" si="237"/>
        <v>3.0575556758801801</v>
      </c>
      <c r="M53" s="28">
        <f t="shared" si="229"/>
        <v>1.1028074647716295</v>
      </c>
      <c r="N53" s="28">
        <f t="shared" si="229"/>
        <v>1.3057927681372812</v>
      </c>
      <c r="O53" s="28">
        <f t="shared" si="229"/>
        <v>0.5916994462641032</v>
      </c>
      <c r="P53" s="28">
        <f t="shared" si="229"/>
        <v>0.56795487404823652</v>
      </c>
      <c r="Q53" s="28">
        <f t="shared" si="229"/>
        <v>0.55601633838921249</v>
      </c>
      <c r="R53" s="28">
        <f t="shared" si="229"/>
        <v>0.44556911701818436</v>
      </c>
      <c r="S53" s="28">
        <f t="shared" si="229"/>
        <v>0.59874908618791434</v>
      </c>
      <c r="T53" s="28">
        <f t="shared" si="229"/>
        <v>0.75747572654249917</v>
      </c>
      <c r="U53" s="28">
        <f t="shared" si="229"/>
        <v>0.16606317228287226</v>
      </c>
      <c r="V53" s="28">
        <f t="shared" si="229"/>
        <v>3.5560384137929946E-2</v>
      </c>
      <c r="W53" s="28">
        <f t="shared" si="229"/>
        <v>-0.23687775028567393</v>
      </c>
      <c r="X53" s="28">
        <f t="shared" si="229"/>
        <v>-0.11188289236113957</v>
      </c>
      <c r="Y53" s="28">
        <f t="shared" si="229"/>
        <v>8.125301678271013E-2</v>
      </c>
      <c r="Z53" s="28">
        <f t="shared" si="229"/>
        <v>0.35048122034215945</v>
      </c>
      <c r="AA53" s="28">
        <f t="shared" si="229"/>
        <v>0.56678334703576994</v>
      </c>
      <c r="AB53" s="28">
        <f t="shared" si="229"/>
        <v>0.39492110168046413</v>
      </c>
      <c r="AC53" s="28">
        <f t="shared" si="229"/>
        <v>0.4687162563500642</v>
      </c>
      <c r="AD53" s="28">
        <f t="shared" si="229"/>
        <v>0.51348208283405672</v>
      </c>
      <c r="AE53" s="28">
        <f t="shared" si="229"/>
        <v>0.51615054768251523</v>
      </c>
      <c r="AF53" s="28">
        <f t="shared" si="229"/>
        <v>0.41444672672143357</v>
      </c>
      <c r="AG53" s="28">
        <f t="shared" si="229"/>
        <v>0.49458499231950936</v>
      </c>
      <c r="AH53" s="28">
        <f t="shared" si="230"/>
        <v>0.34045898065151148</v>
      </c>
      <c r="AI53" s="28">
        <f t="shared" si="231"/>
        <v>0.25689983106196412</v>
      </c>
      <c r="AJ53" s="28">
        <f t="shared" si="231"/>
        <v>0.27734307961668603</v>
      </c>
      <c r="AK53" s="28">
        <f t="shared" si="232"/>
        <v>0.26226804728029185</v>
      </c>
      <c r="AL53" s="28">
        <f t="shared" si="233"/>
        <v>0.2106890095775944</v>
      </c>
      <c r="AM53" s="28">
        <f t="shared" si="234"/>
        <v>0.19856276775016202</v>
      </c>
      <c r="AO53" s="10"/>
      <c r="AP53" s="28">
        <f t="shared" si="238"/>
        <v>6.1210461473812892</v>
      </c>
      <c r="AQ53" s="28">
        <f t="shared" si="238"/>
        <v>8.5063151252530567</v>
      </c>
      <c r="AR53" s="28">
        <f t="shared" si="238"/>
        <v>1.1026109807731821</v>
      </c>
      <c r="AS53" s="28">
        <f t="shared" si="238"/>
        <v>0.54366777726157567</v>
      </c>
      <c r="AT53" s="28">
        <f t="shared" si="238"/>
        <v>9.9411061666170975E-2</v>
      </c>
      <c r="AU53" s="28">
        <f t="shared" si="238"/>
        <v>0.20601774235258707</v>
      </c>
      <c r="AV53" s="28">
        <f t="shared" si="238"/>
        <v>0.4796316655535211</v>
      </c>
      <c r="AW53" s="28">
        <f t="shared" si="236"/>
        <v>0.36064711482145717</v>
      </c>
      <c r="AX53" s="28">
        <f t="shared" si="236"/>
        <v>0.23287105260868146</v>
      </c>
    </row>
    <row r="54" spans="2:52" x14ac:dyDescent="0.2">
      <c r="B54" s="4"/>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O54" s="10"/>
      <c r="AP54" s="10"/>
      <c r="AQ54" s="10"/>
      <c r="AR54" s="10"/>
      <c r="AS54" s="10"/>
      <c r="AT54" s="10"/>
      <c r="AU54" s="10"/>
      <c r="AV54" s="10"/>
    </row>
    <row r="55" spans="2:52" x14ac:dyDescent="0.2">
      <c r="B55" s="19" t="s">
        <v>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O55" s="10"/>
      <c r="AP55" s="10"/>
      <c r="AQ55" s="10"/>
      <c r="AR55" s="10"/>
      <c r="AS55" s="10"/>
      <c r="AT55" s="10"/>
      <c r="AU55" s="10"/>
      <c r="AV55" s="10"/>
    </row>
    <row r="56" spans="2:52" x14ac:dyDescent="0.2">
      <c r="B56" s="20" t="s">
        <v>89</v>
      </c>
      <c r="H56" s="29">
        <f>IFERROR(H44/H$16,"n/a")</f>
        <v>0.87841433362896559</v>
      </c>
      <c r="I56" s="29">
        <f t="shared" ref="I56:AD59" si="239">IFERROR(I44/I$16,"n/a")</f>
        <v>1.0846781486914581</v>
      </c>
      <c r="J56" s="29">
        <f t="shared" si="239"/>
        <v>0.90415215432962348</v>
      </c>
      <c r="K56" s="29">
        <f t="shared" si="239"/>
        <v>1.03151935948179</v>
      </c>
      <c r="L56" s="29">
        <f t="shared" si="239"/>
        <v>1.032546393957235</v>
      </c>
      <c r="M56" s="29">
        <f t="shared" si="239"/>
        <v>0.80868553230668616</v>
      </c>
      <c r="N56" s="29">
        <f t="shared" si="239"/>
        <v>0.8903105265035105</v>
      </c>
      <c r="O56" s="29">
        <f t="shared" si="239"/>
        <v>0.83715476516312937</v>
      </c>
      <c r="P56" s="29">
        <f t="shared" si="239"/>
        <v>1.0800731196584528</v>
      </c>
      <c r="Q56" s="29">
        <f t="shared" si="239"/>
        <v>0.72695915753837248</v>
      </c>
      <c r="R56" s="29">
        <f t="shared" si="239"/>
        <v>0.68519960404740909</v>
      </c>
      <c r="S56" s="29">
        <f t="shared" si="239"/>
        <v>0.54376258983402292</v>
      </c>
      <c r="T56" s="29">
        <f t="shared" si="239"/>
        <v>0.57282750440190666</v>
      </c>
      <c r="U56" s="29">
        <f t="shared" si="239"/>
        <v>0.43409865045113682</v>
      </c>
      <c r="V56" s="29">
        <f t="shared" si="239"/>
        <v>0.449456698991963</v>
      </c>
      <c r="W56" s="29">
        <f t="shared" si="239"/>
        <v>0.39739237781014769</v>
      </c>
      <c r="X56" s="29">
        <f t="shared" si="239"/>
        <v>0.45045402585534344</v>
      </c>
      <c r="Y56" s="29">
        <f t="shared" si="239"/>
        <v>0.34446681964586795</v>
      </c>
      <c r="Z56" s="29">
        <f t="shared" si="239"/>
        <v>0.37855573791842256</v>
      </c>
      <c r="AA56" s="29">
        <f t="shared" si="239"/>
        <v>0.43186393540456586</v>
      </c>
      <c r="AB56" s="29">
        <f t="shared" si="239"/>
        <v>0.41902633176617188</v>
      </c>
      <c r="AC56" s="29">
        <f t="shared" si="239"/>
        <v>0.31661526724904543</v>
      </c>
      <c r="AD56" s="29">
        <f t="shared" si="239"/>
        <v>0.30917176492264981</v>
      </c>
      <c r="AE56" s="29">
        <f t="shared" ref="AE56:AI56" si="240">IFERROR(AE44/AE$16,"n/a")</f>
        <v>0.29508517429972358</v>
      </c>
      <c r="AF56" s="29">
        <f t="shared" si="240"/>
        <v>0.26192536223567736</v>
      </c>
      <c r="AG56" s="29">
        <f t="shared" ref="AG56" si="241">IFERROR(AG44/AG$16,"n/a")</f>
        <v>0.26180983709884192</v>
      </c>
      <c r="AH56" s="29">
        <f t="shared" si="240"/>
        <v>0.29237638793208082</v>
      </c>
      <c r="AI56" s="29">
        <f t="shared" si="240"/>
        <v>0.29801212870844607</v>
      </c>
      <c r="AJ56" s="29">
        <f t="shared" ref="AJ56:AM56" si="242">IFERROR(AJ44/AJ$16,"n/a")</f>
        <v>0.29927222211361199</v>
      </c>
      <c r="AK56" s="29">
        <f t="shared" si="242"/>
        <v>0.2824091021821557</v>
      </c>
      <c r="AL56" s="29">
        <f t="shared" si="242"/>
        <v>0.29806953548733173</v>
      </c>
      <c r="AM56" s="29">
        <f t="shared" si="242"/>
        <v>0.29642547182674078</v>
      </c>
      <c r="AO56" s="29">
        <f t="shared" ref="AO56:AU56" si="243">IFERROR(AO44/AO$16,"n/a")</f>
        <v>0.33360865500411996</v>
      </c>
      <c r="AP56" s="29">
        <f t="shared" si="243"/>
        <v>0.76998192739307225</v>
      </c>
      <c r="AQ56" s="29">
        <f t="shared" si="243"/>
        <v>0.99359892804796335</v>
      </c>
      <c r="AR56" s="29">
        <f t="shared" si="243"/>
        <v>0.87298409263441579</v>
      </c>
      <c r="AS56" s="29">
        <f t="shared" si="243"/>
        <v>0.67405941972066263</v>
      </c>
      <c r="AT56" s="29">
        <f t="shared" si="243"/>
        <v>0.45970760023590868</v>
      </c>
      <c r="AU56" s="29">
        <f t="shared" si="243"/>
        <v>0.39970899738352239</v>
      </c>
      <c r="AV56" s="29">
        <f t="shared" ref="AV56" si="244">IFERROR(AV44/AV$16,"n/a")</f>
        <v>0.3223834166322736</v>
      </c>
      <c r="AW56" s="29">
        <f t="shared" ref="AW56:AX56" si="245">IFERROR(AW44/AW$16,"n/a")</f>
        <v>0.27964638736020919</v>
      </c>
      <c r="AX56" s="29">
        <f t="shared" si="245"/>
        <v>0.29398959504164657</v>
      </c>
    </row>
    <row r="57" spans="2:52" x14ac:dyDescent="0.2">
      <c r="B57" s="20" t="s">
        <v>90</v>
      </c>
      <c r="H57" s="29">
        <f t="shared" ref="H57:W59" si="246">IFERROR(H45/H$16,"n/a")</f>
        <v>4.7477112589592405E-2</v>
      </c>
      <c r="I57" s="29">
        <f t="shared" si="246"/>
        <v>6.2400933760445552E-2</v>
      </c>
      <c r="J57" s="29">
        <f t="shared" si="246"/>
        <v>8.8466198436848581E-2</v>
      </c>
      <c r="K57" s="29">
        <f t="shared" si="246"/>
        <v>7.9030803750034045E-2</v>
      </c>
      <c r="L57" s="29">
        <f t="shared" si="246"/>
        <v>0.1183344025922709</v>
      </c>
      <c r="M57" s="29">
        <f t="shared" si="246"/>
        <v>8.3792500639231118E-2</v>
      </c>
      <c r="N57" s="29">
        <f t="shared" si="246"/>
        <v>0.11877271442389539</v>
      </c>
      <c r="O57" s="29">
        <f t="shared" si="246"/>
        <v>8.7358467175021395E-2</v>
      </c>
      <c r="P57" s="29">
        <f t="shared" si="246"/>
        <v>0.17186987611639032</v>
      </c>
      <c r="Q57" s="29">
        <f t="shared" si="246"/>
        <v>0.10376177438211019</v>
      </c>
      <c r="R57" s="29">
        <f t="shared" si="246"/>
        <v>0.10026353676643315</v>
      </c>
      <c r="S57" s="29">
        <f t="shared" si="246"/>
        <v>5.8660391373131289E-2</v>
      </c>
      <c r="T57" s="29">
        <f t="shared" si="246"/>
        <v>7.8537611078472652E-2</v>
      </c>
      <c r="U57" s="29">
        <f t="shared" si="246"/>
        <v>7.6039150888952717E-2</v>
      </c>
      <c r="V57" s="29">
        <f t="shared" si="246"/>
        <v>8.6092850110189079E-2</v>
      </c>
      <c r="W57" s="29">
        <f t="shared" si="246"/>
        <v>4.7896610838099769E-2</v>
      </c>
      <c r="X57" s="29">
        <f t="shared" si="239"/>
        <v>8.5709239958545319E-2</v>
      </c>
      <c r="Y57" s="29">
        <f t="shared" si="239"/>
        <v>6.1978746018393129E-2</v>
      </c>
      <c r="Z57" s="29">
        <f t="shared" si="239"/>
        <v>5.9931860655541937E-2</v>
      </c>
      <c r="AA57" s="29">
        <f t="shared" si="239"/>
        <v>4.3881912890669013E-2</v>
      </c>
      <c r="AB57" s="29">
        <f t="shared" si="239"/>
        <v>5.2540196428784935E-2</v>
      </c>
      <c r="AC57" s="29">
        <f t="shared" si="239"/>
        <v>3.9914042545833507E-2</v>
      </c>
      <c r="AD57" s="29">
        <f t="shared" si="239"/>
        <v>3.2218434732142857E-2</v>
      </c>
      <c r="AE57" s="29">
        <f t="shared" ref="AE57:AF57" si="247">IFERROR(AE45/AE$16,"n/a")</f>
        <v>2.6634433018985063E-2</v>
      </c>
      <c r="AF57" s="29">
        <f t="shared" si="247"/>
        <v>2.6179945806837728E-2</v>
      </c>
      <c r="AG57" s="29">
        <f t="shared" ref="AG57" si="248">IFERROR(AG45/AG$16,"n/a")</f>
        <v>2.4800367106657461E-2</v>
      </c>
      <c r="AH57" s="29">
        <f t="shared" ref="AH57:AI57" si="249">IFERROR(AH45/AH$16,"n/a")</f>
        <v>2.7656800066573343E-2</v>
      </c>
      <c r="AI57" s="29">
        <f t="shared" si="249"/>
        <v>2.7183841252268397E-2</v>
      </c>
      <c r="AJ57" s="29">
        <f t="shared" ref="AJ57:AM57" si="250">IFERROR(AJ45/AJ$16,"n/a")</f>
        <v>3.1198157588568198E-2</v>
      </c>
      <c r="AK57" s="29">
        <f t="shared" si="250"/>
        <v>2.6506203712517738E-2</v>
      </c>
      <c r="AL57" s="29">
        <f t="shared" si="250"/>
        <v>2.577381014999559E-2</v>
      </c>
      <c r="AM57" s="29">
        <f t="shared" si="250"/>
        <v>2.2291342530988072E-2</v>
      </c>
      <c r="AO57" s="29">
        <f t="shared" ref="AO57:AU57" si="251">IFERROR(AO45/AO$16,"n/a")</f>
        <v>5.4812781263865115E-2</v>
      </c>
      <c r="AP57" s="29">
        <f t="shared" si="251"/>
        <v>7.0689580041236738E-2</v>
      </c>
      <c r="AQ57" s="29">
        <f t="shared" si="251"/>
        <v>7.4692358759419777E-2</v>
      </c>
      <c r="AR57" s="29">
        <f t="shared" si="251"/>
        <v>9.8998118432270646E-2</v>
      </c>
      <c r="AS57" s="29">
        <f t="shared" si="251"/>
        <v>9.0288529364476969E-2</v>
      </c>
      <c r="AT57" s="29">
        <f t="shared" si="251"/>
        <v>7.0773052870209949E-2</v>
      </c>
      <c r="AU57" s="29">
        <f t="shared" si="251"/>
        <v>6.0227383641405938E-2</v>
      </c>
      <c r="AV57" s="29">
        <f t="shared" ref="AV57" si="252">IFERROR(AV45/AV$16,"n/a")</f>
        <v>3.4927502694898409E-2</v>
      </c>
      <c r="AW57" s="29">
        <f t="shared" ref="AW57:AX57" si="253">IFERROR(AW45/AW$16,"n/a")</f>
        <v>2.6488902000618066E-2</v>
      </c>
      <c r="AX57" s="29">
        <f t="shared" si="253"/>
        <v>2.606886712425353E-2</v>
      </c>
    </row>
    <row r="58" spans="2:52" ht="13.5" x14ac:dyDescent="0.35">
      <c r="B58" s="20" t="s">
        <v>91</v>
      </c>
      <c r="H58" s="32">
        <f t="shared" si="246"/>
        <v>1.7141363162319335E-2</v>
      </c>
      <c r="I58" s="32">
        <f t="shared" si="239"/>
        <v>1.1061827669223645E-2</v>
      </c>
      <c r="J58" s="32">
        <f t="shared" si="239"/>
        <v>1.2094289616530345E-2</v>
      </c>
      <c r="K58" s="32">
        <f t="shared" si="239"/>
        <v>1.1662346951372778E-2</v>
      </c>
      <c r="L58" s="32">
        <f t="shared" si="239"/>
        <v>1.4756653386734679E-2</v>
      </c>
      <c r="M58" s="32">
        <f t="shared" si="239"/>
        <v>1.2523443046976083E-2</v>
      </c>
      <c r="N58" s="32">
        <f t="shared" si="239"/>
        <v>3.0682139402614977E-2</v>
      </c>
      <c r="O58" s="32">
        <f t="shared" si="239"/>
        <v>1.1225986835948583E-2</v>
      </c>
      <c r="P58" s="32">
        <f t="shared" si="239"/>
        <v>1.8053040035260346E-2</v>
      </c>
      <c r="Q58" s="32">
        <f t="shared" si="239"/>
        <v>1.1196791028526698E-2</v>
      </c>
      <c r="R58" s="32">
        <f t="shared" si="239"/>
        <v>9.331599879575915E-3</v>
      </c>
      <c r="S58" s="32">
        <f t="shared" si="239"/>
        <v>5.766975975215036E-3</v>
      </c>
      <c r="T58" s="32">
        <f t="shared" si="239"/>
        <v>7.2488059894531102E-3</v>
      </c>
      <c r="U58" s="32">
        <f t="shared" si="239"/>
        <v>9.276401943572524E-3</v>
      </c>
      <c r="V58" s="32">
        <f t="shared" si="239"/>
        <v>8.2803405487962799E-3</v>
      </c>
      <c r="W58" s="32">
        <f t="shared" si="239"/>
        <v>7.1906280454874924E-3</v>
      </c>
      <c r="X58" s="32">
        <f t="shared" si="239"/>
        <v>8.7761506843264236E-3</v>
      </c>
      <c r="Y58" s="32">
        <f t="shared" si="239"/>
        <v>5.2387170205392131E-3</v>
      </c>
      <c r="Z58" s="32">
        <f t="shared" si="239"/>
        <v>6.3744665998803993E-3</v>
      </c>
      <c r="AA58" s="32">
        <f t="shared" si="239"/>
        <v>9.0599383807565357E-3</v>
      </c>
      <c r="AB58" s="32">
        <f t="shared" si="239"/>
        <v>8.9895462051356317E-3</v>
      </c>
      <c r="AC58" s="32">
        <f t="shared" si="239"/>
        <v>7.0816507828082341E-3</v>
      </c>
      <c r="AD58" s="32">
        <f t="shared" si="239"/>
        <v>5.8583647086968785E-3</v>
      </c>
      <c r="AE58" s="32">
        <f t="shared" ref="AE58:AF58" si="254">IFERROR(AE46/AE$16,"n/a")</f>
        <v>7.5886154162289488E-3</v>
      </c>
      <c r="AF58" s="32">
        <f t="shared" si="254"/>
        <v>6.5852256769995494E-3</v>
      </c>
      <c r="AG58" s="32">
        <f t="shared" ref="AG58" si="255">IFERROR(AG46/AG$16,"n/a")</f>
        <v>6.1157208765000104E-3</v>
      </c>
      <c r="AH58" s="32">
        <f t="shared" ref="AH58:AI58" si="256">IFERROR(AH46/AH$16,"n/a")</f>
        <v>8.1946074271328426E-3</v>
      </c>
      <c r="AI58" s="32">
        <f t="shared" si="256"/>
        <v>8.1551523756805185E-3</v>
      </c>
      <c r="AJ58" s="32">
        <f t="shared" ref="AJ58:AM58" si="257">IFERROR(AJ46/AJ$16,"n/a")</f>
        <v>9.3594472765704591E-3</v>
      </c>
      <c r="AK58" s="32">
        <f t="shared" si="257"/>
        <v>7.9518611137553222E-3</v>
      </c>
      <c r="AL58" s="32">
        <f t="shared" si="257"/>
        <v>9.4503970549983836E-3</v>
      </c>
      <c r="AM58" s="32">
        <f t="shared" si="257"/>
        <v>8.9165370123952294E-3</v>
      </c>
      <c r="AO58" s="32">
        <f t="shared" ref="AO58:AU58" si="258">IFERROR(AO46/AO$16,"n/a")</f>
        <v>2.6375419915066232E-2</v>
      </c>
      <c r="AP58" s="32">
        <f t="shared" si="258"/>
        <v>1.4372080115774762E-2</v>
      </c>
      <c r="AQ58" s="32">
        <f t="shared" si="258"/>
        <v>1.2227600783232331E-2</v>
      </c>
      <c r="AR58" s="32">
        <f t="shared" si="258"/>
        <v>1.6922331933708464E-2</v>
      </c>
      <c r="AS58" s="32">
        <f t="shared" si="258"/>
        <v>9.0821156808582101E-3</v>
      </c>
      <c r="AT58" s="32">
        <f t="shared" si="258"/>
        <v>7.9654442351474002E-3</v>
      </c>
      <c r="AU58" s="32">
        <f t="shared" si="258"/>
        <v>7.3577339115844095E-3</v>
      </c>
      <c r="AV58" s="32">
        <f t="shared" ref="AV58" si="259">IFERROR(AV46/AV$16,"n/a")</f>
        <v>7.2135185541400849E-3</v>
      </c>
      <c r="AW58" s="32">
        <f t="shared" ref="AW58:AX58" si="260">IFERROR(AW46/AW$16,"n/a")</f>
        <v>7.3120297707377491E-3</v>
      </c>
      <c r="AX58" s="32">
        <f t="shared" si="260"/>
        <v>8.9068629341199565E-3</v>
      </c>
    </row>
    <row r="59" spans="2:52" x14ac:dyDescent="0.2">
      <c r="B59" s="30" t="s">
        <v>92</v>
      </c>
      <c r="H59" s="29">
        <f t="shared" si="246"/>
        <v>0.9430328093808773</v>
      </c>
      <c r="I59" s="29">
        <f t="shared" si="239"/>
        <v>1.1581409101211271</v>
      </c>
      <c r="J59" s="29">
        <f t="shared" si="239"/>
        <v>1.0047126423830024</v>
      </c>
      <c r="K59" s="29">
        <f t="shared" si="239"/>
        <v>1.1222125101831966</v>
      </c>
      <c r="L59" s="29">
        <f t="shared" si="239"/>
        <v>1.1656374499362407</v>
      </c>
      <c r="M59" s="29">
        <f t="shared" si="239"/>
        <v>0.90500147599289338</v>
      </c>
      <c r="N59" s="29">
        <f t="shared" si="239"/>
        <v>1.0397653803300209</v>
      </c>
      <c r="O59" s="29">
        <f t="shared" si="239"/>
        <v>0.93573921917409919</v>
      </c>
      <c r="P59" s="29">
        <f t="shared" si="239"/>
        <v>1.2699960358101037</v>
      </c>
      <c r="Q59" s="29">
        <f t="shared" si="239"/>
        <v>0.84191772294900946</v>
      </c>
      <c r="R59" s="29">
        <f t="shared" si="239"/>
        <v>0.79479474069341816</v>
      </c>
      <c r="S59" s="29">
        <f t="shared" si="239"/>
        <v>0.60818995718236923</v>
      </c>
      <c r="T59" s="29">
        <f t="shared" si="239"/>
        <v>0.65861392146983244</v>
      </c>
      <c r="U59" s="29">
        <f t="shared" si="239"/>
        <v>0.51941420328366206</v>
      </c>
      <c r="V59" s="29">
        <f t="shared" si="239"/>
        <v>0.54382988965094836</v>
      </c>
      <c r="W59" s="29">
        <f t="shared" si="239"/>
        <v>0.45247961669373493</v>
      </c>
      <c r="X59" s="29">
        <f t="shared" si="239"/>
        <v>0.5449394164982152</v>
      </c>
      <c r="Y59" s="29">
        <f t="shared" si="239"/>
        <v>0.41168428268480028</v>
      </c>
      <c r="Z59" s="29">
        <f t="shared" si="239"/>
        <v>0.44486206517384491</v>
      </c>
      <c r="AA59" s="29">
        <f t="shared" si="239"/>
        <v>0.48480578667599139</v>
      </c>
      <c r="AB59" s="29">
        <f t="shared" si="239"/>
        <v>0.4805560744000924</v>
      </c>
      <c r="AC59" s="29">
        <f t="shared" si="239"/>
        <v>0.36361096057768721</v>
      </c>
      <c r="AD59" s="29">
        <f t="shared" si="239"/>
        <v>0.34724856436348955</v>
      </c>
      <c r="AE59" s="29">
        <f t="shared" ref="AE59:AF59" si="261">IFERROR(AE47/AE$16,"n/a")</f>
        <v>0.32930822273493754</v>
      </c>
      <c r="AF59" s="29">
        <f t="shared" si="261"/>
        <v>0.29469053371951465</v>
      </c>
      <c r="AG59" s="29">
        <f t="shared" ref="AG59" si="262">IFERROR(AG47/AG$16,"n/a")</f>
        <v>0.29272592508199941</v>
      </c>
      <c r="AH59" s="29">
        <f t="shared" ref="AH59:AI59" si="263">IFERROR(AH47/AH$16,"n/a")</f>
        <v>0.32822779542578701</v>
      </c>
      <c r="AI59" s="29">
        <f t="shared" si="263"/>
        <v>0.33335112233639497</v>
      </c>
      <c r="AJ59" s="29">
        <f t="shared" ref="AJ59:AM59" si="264">IFERROR(AJ47/AJ$16,"n/a")</f>
        <v>0.33982982697875064</v>
      </c>
      <c r="AK59" s="29">
        <f t="shared" si="264"/>
        <v>0.31686716700842876</v>
      </c>
      <c r="AL59" s="29">
        <f t="shared" si="264"/>
        <v>0.3332937426923257</v>
      </c>
      <c r="AM59" s="29">
        <f t="shared" si="264"/>
        <v>0.32763335137012406</v>
      </c>
      <c r="AO59" s="29">
        <f t="shared" ref="AO59:AU59" si="265">IFERROR(AO47/AO$16,"n/a")</f>
        <v>0.41479685618305129</v>
      </c>
      <c r="AP59" s="29">
        <f t="shared" si="265"/>
        <v>0.85504358755008381</v>
      </c>
      <c r="AQ59" s="29">
        <f t="shared" si="265"/>
        <v>1.0805188875906155</v>
      </c>
      <c r="AR59" s="29">
        <f t="shared" si="265"/>
        <v>0.98890454300039488</v>
      </c>
      <c r="AS59" s="29">
        <f t="shared" si="265"/>
        <v>0.77343006476599774</v>
      </c>
      <c r="AT59" s="29">
        <f t="shared" si="265"/>
        <v>0.53844609734126603</v>
      </c>
      <c r="AU59" s="29">
        <f t="shared" si="265"/>
        <v>0.46729411493651274</v>
      </c>
      <c r="AV59" s="29">
        <f t="shared" ref="AV59" si="266">IFERROR(AV47/AV$16,"n/a")</f>
        <v>0.36452443788131206</v>
      </c>
      <c r="AW59" s="29">
        <f t="shared" ref="AW59:AX59" si="267">IFERROR(AW47/AW$16,"n/a")</f>
        <v>0.31344731913156504</v>
      </c>
      <c r="AX59" s="29">
        <f t="shared" si="267"/>
        <v>0.32896532510002002</v>
      </c>
    </row>
    <row r="60" spans="2:52" x14ac:dyDescent="0.2">
      <c r="AG60" s="42"/>
    </row>
    <row r="61" spans="2:52" s="1" customFormat="1" x14ac:dyDescent="0.2">
      <c r="B61" s="1" t="s">
        <v>94</v>
      </c>
      <c r="H61" s="42">
        <f t="shared" ref="H61:AI61" si="268">IFERROR(H40-H47,"n/a")</f>
        <v>-239.52300000000037</v>
      </c>
      <c r="I61" s="42">
        <f t="shared" si="268"/>
        <v>-815.72999999999911</v>
      </c>
      <c r="J61" s="42">
        <f t="shared" si="268"/>
        <v>-790.01800000000003</v>
      </c>
      <c r="K61" s="42">
        <f t="shared" si="268"/>
        <v>-2112.896999999999</v>
      </c>
      <c r="L61" s="42">
        <f t="shared" si="268"/>
        <v>-1621.8890000000006</v>
      </c>
      <c r="M61" s="42">
        <f t="shared" si="268"/>
        <v>-898.43800000000101</v>
      </c>
      <c r="N61" s="42">
        <f t="shared" si="268"/>
        <v>-2123.5460000000003</v>
      </c>
      <c r="O61" s="42">
        <f t="shared" si="268"/>
        <v>-1336.6319999999996</v>
      </c>
      <c r="P61" s="42">
        <f t="shared" si="268"/>
        <v>-3587.8600000000006</v>
      </c>
      <c r="Q61" s="42">
        <f t="shared" si="268"/>
        <v>-725.07100000000173</v>
      </c>
      <c r="R61" s="42">
        <f t="shared" si="268"/>
        <v>-339.80900000000111</v>
      </c>
      <c r="S61" s="42">
        <f t="shared" si="268"/>
        <v>-1114.5419999999976</v>
      </c>
      <c r="T61" s="42">
        <f t="shared" si="268"/>
        <v>-3174.1470000000008</v>
      </c>
      <c r="U61" s="42">
        <f t="shared" si="268"/>
        <v>3185.2420000000002</v>
      </c>
      <c r="V61" s="42">
        <f t="shared" si="268"/>
        <v>3260.7249999999985</v>
      </c>
      <c r="W61" s="42">
        <f t="shared" si="268"/>
        <v>8399.6720000000132</v>
      </c>
      <c r="X61" s="42">
        <f t="shared" si="268"/>
        <v>3677.1559999999972</v>
      </c>
      <c r="Y61" s="42">
        <f t="shared" si="268"/>
        <v>10541.514999999998</v>
      </c>
      <c r="Z61" s="42">
        <f t="shared" si="268"/>
        <v>12301.494999999999</v>
      </c>
      <c r="AA61" s="42">
        <f t="shared" si="268"/>
        <v>11600.119999999992</v>
      </c>
      <c r="AB61" s="42">
        <f t="shared" si="268"/>
        <v>8462.4200000000019</v>
      </c>
      <c r="AC61" s="42">
        <f t="shared" si="268"/>
        <v>14609.383999999995</v>
      </c>
      <c r="AD61" s="42">
        <f t="shared" si="268"/>
        <v>18125.839999999997</v>
      </c>
      <c r="AE61" s="42">
        <f t="shared" si="268"/>
        <v>24579.911999999997</v>
      </c>
      <c r="AF61" s="42">
        <f t="shared" ref="AF61:AG61" si="269">IFERROR(AF40-AF47,"n/a")</f>
        <v>28552.195000000011</v>
      </c>
      <c r="AG61" s="42">
        <f t="shared" si="269"/>
        <v>34987.298000000003</v>
      </c>
      <c r="AH61" s="42">
        <f t="shared" si="268"/>
        <v>26592.716434256239</v>
      </c>
      <c r="AI61" s="42">
        <f t="shared" si="268"/>
        <v>31151.690548761362</v>
      </c>
      <c r="AJ61" s="42">
        <f t="shared" ref="AJ61:AM61" si="270">IFERROR(AJ40-AJ47,"n/a")</f>
        <v>25058.849052078513</v>
      </c>
      <c r="AK61" s="42">
        <f t="shared" si="270"/>
        <v>30800.575747415489</v>
      </c>
      <c r="AL61" s="42">
        <f t="shared" si="270"/>
        <v>28883.345721932019</v>
      </c>
      <c r="AM61" s="42">
        <f t="shared" si="270"/>
        <v>36583.217736125982</v>
      </c>
      <c r="AO61" s="42">
        <f t="shared" ref="AO61:AV61" si="271">IFERROR(AO40-AO47,"n/a")</f>
        <v>-282.14500000000004</v>
      </c>
      <c r="AP61" s="42">
        <f t="shared" si="271"/>
        <v>-469.21899999999994</v>
      </c>
      <c r="AQ61" s="42">
        <f t="shared" si="271"/>
        <v>-3958.1679999999997</v>
      </c>
      <c r="AR61" s="42">
        <f t="shared" si="271"/>
        <v>-5980.505000000001</v>
      </c>
      <c r="AS61" s="42">
        <f t="shared" si="271"/>
        <v>-5767.2819999999992</v>
      </c>
      <c r="AT61" s="42">
        <f t="shared" si="271"/>
        <v>11671.491999999998</v>
      </c>
      <c r="AU61" s="42">
        <f t="shared" si="271"/>
        <v>38120.286000000015</v>
      </c>
      <c r="AV61" s="42">
        <f t="shared" si="271"/>
        <v>65777.555999999997</v>
      </c>
      <c r="AW61" s="42">
        <f>+SUM(AF61:AI61)</f>
        <v>121283.89998301762</v>
      </c>
      <c r="AX61" s="42">
        <f>+SUM(AJ61:AM61)</f>
        <v>121325.988257552</v>
      </c>
      <c r="AZ61" s="207"/>
    </row>
    <row r="62" spans="2:52" x14ac:dyDescent="0.2">
      <c r="B62" s="20" t="s">
        <v>86</v>
      </c>
      <c r="L62" s="28">
        <f>IFERROR(L61/H61-1,"n/a")</f>
        <v>5.7713288494215504</v>
      </c>
      <c r="M62" s="28">
        <f t="shared" ref="M62" si="272">IFERROR(M61/I61-1,"n/a")</f>
        <v>0.10139139175953082</v>
      </c>
      <c r="N62" s="28">
        <f t="shared" ref="N62" si="273">IFERROR(N61/J61-1,"n/a")</f>
        <v>1.6879716664683593</v>
      </c>
      <c r="O62" s="28">
        <f t="shared" ref="O62" si="274">IFERROR(O61/K61-1,"n/a")</f>
        <v>-0.36739367796915789</v>
      </c>
      <c r="P62" s="28">
        <f t="shared" ref="P62" si="275">IFERROR(P61/L61-1,"n/a")</f>
        <v>1.2121489201788775</v>
      </c>
      <c r="Q62" s="28">
        <f t="shared" ref="Q62" si="276">IFERROR(Q61/M61-1,"n/a")</f>
        <v>-0.19296490130648869</v>
      </c>
      <c r="R62" s="28">
        <f t="shared" ref="R62" si="277">IFERROR(R61/N61-1,"n/a")</f>
        <v>-0.83998039128890967</v>
      </c>
      <c r="S62" s="28">
        <f t="shared" ref="S62" si="278">IFERROR(S61/O61-1,"n/a")</f>
        <v>-0.16615642899466876</v>
      </c>
      <c r="T62" s="28">
        <f t="shared" ref="T62" si="279">IFERROR(T61/P61-1,"n/a")</f>
        <v>-0.11530912577413821</v>
      </c>
      <c r="U62" s="28">
        <f t="shared" ref="U62" si="280">IFERROR(U61/Q61-1,"n/a")</f>
        <v>-5.3930070296563954</v>
      </c>
      <c r="V62" s="28">
        <f t="shared" ref="V62" si="281">IFERROR(V61/R61-1,"n/a")</f>
        <v>-10.595758205344731</v>
      </c>
      <c r="W62" s="28">
        <f t="shared" ref="W62" si="282">IFERROR(W61/S61-1,"n/a")</f>
        <v>-8.5364337997132722</v>
      </c>
      <c r="X62" s="28">
        <f t="shared" ref="X62" si="283">IFERROR(X61/T61-1,"n/a")</f>
        <v>-2.1584706064337906</v>
      </c>
      <c r="Y62" s="28">
        <f t="shared" ref="Y62" si="284">IFERROR(Y61/U61-1,"n/a")</f>
        <v>2.3094863749755894</v>
      </c>
      <c r="Z62" s="28">
        <f t="shared" ref="Z62" si="285">IFERROR(Z61/V61-1,"n/a")</f>
        <v>2.7726257197402431</v>
      </c>
      <c r="AA62" s="28">
        <f t="shared" ref="AA62" si="286">IFERROR(AA61/W61-1,"n/a")</f>
        <v>0.38102059223264595</v>
      </c>
      <c r="AB62" s="28">
        <f t="shared" ref="AB62" si="287">IFERROR(AB61/X61-1,"n/a")</f>
        <v>1.3013491948669049</v>
      </c>
      <c r="AC62" s="28">
        <f t="shared" ref="AC62" si="288">IFERROR(AC61/Y61-1,"n/a")</f>
        <v>0.38589035826444285</v>
      </c>
      <c r="AD62" s="28">
        <f t="shared" ref="AD62:AG62" si="289">IFERROR(AD61/Z61-1,"n/a")</f>
        <v>0.47346643639655173</v>
      </c>
      <c r="AE62" s="28">
        <f t="shared" si="289"/>
        <v>1.1189360110067841</v>
      </c>
      <c r="AF62" s="28">
        <f t="shared" si="289"/>
        <v>2.3739988088513693</v>
      </c>
      <c r="AG62" s="28">
        <f t="shared" si="289"/>
        <v>1.3948510080917864</v>
      </c>
      <c r="AH62" s="28">
        <f t="shared" ref="AH62" si="290">IFERROR(AH61/AD61-1,"n/a")</f>
        <v>0.46711636173861426</v>
      </c>
      <c r="AI62" s="28">
        <f t="shared" ref="AI62:AJ62" si="291">IFERROR(AI61/AE61-1,"n/a")</f>
        <v>0.26736379482405659</v>
      </c>
      <c r="AJ62" s="28">
        <f t="shared" si="291"/>
        <v>-0.12234947078224623</v>
      </c>
      <c r="AK62" s="28">
        <f t="shared" ref="AK62" si="292">IFERROR(AK61/AG61-1,"n/a")</f>
        <v>-0.119664063586291</v>
      </c>
      <c r="AL62" s="28">
        <f t="shared" ref="AL62" si="293">IFERROR(AL61/AH61-1,"n/a")</f>
        <v>8.6137469007304457E-2</v>
      </c>
      <c r="AM62" s="28">
        <f t="shared" ref="AM62" si="294">IFERROR(AM61/AI61-1,"n/a")</f>
        <v>0.17435738130688971</v>
      </c>
      <c r="AP62" s="28">
        <f>IFERROR(AP61/AO61-1,"n/a")</f>
        <v>0.66304205284516771</v>
      </c>
      <c r="AQ62" s="28">
        <f t="shared" ref="AQ62" si="295">IFERROR(AQ61/AP61-1,"n/a")</f>
        <v>7.4356515827364191</v>
      </c>
      <c r="AR62" s="28">
        <f t="shared" ref="AR62" si="296">IFERROR(AR61/AQ61-1,"n/a")</f>
        <v>0.51092753010988967</v>
      </c>
      <c r="AS62" s="28">
        <f t="shared" ref="AS62" si="297">IFERROR(AS61/AR61-1,"n/a")</f>
        <v>-3.565300923584247E-2</v>
      </c>
      <c r="AT62" s="28">
        <f t="shared" ref="AT62" si="298">IFERROR(AT61/AS61-1,"n/a")</f>
        <v>-3.0237422064674484</v>
      </c>
      <c r="AU62" s="28">
        <f t="shared" ref="AU62:AV62" si="299">IFERROR(AU61/AT61-1,"n/a")</f>
        <v>2.2661022258336825</v>
      </c>
      <c r="AV62" s="28">
        <f t="shared" si="299"/>
        <v>0.72552629851727701</v>
      </c>
      <c r="AW62" s="28">
        <f t="shared" ref="AW62:AX62" si="300">IFERROR(AW61/AV61-1,"n/a")</f>
        <v>0.84384929082828219</v>
      </c>
      <c r="AX62" s="28">
        <f t="shared" si="300"/>
        <v>3.4702276675036003E-4</v>
      </c>
    </row>
    <row r="63" spans="2:52" x14ac:dyDescent="0.2">
      <c r="B63" s="20" t="s">
        <v>88</v>
      </c>
      <c r="H63" s="29">
        <f t="shared" ref="H63:AI63" si="301">IFERROR(H61/H16,"n/a")</f>
        <v>-0.17299025569765825</v>
      </c>
      <c r="I63" s="29">
        <f t="shared" si="301"/>
        <v>-0.30111338087282352</v>
      </c>
      <c r="J63" s="29">
        <f t="shared" si="301"/>
        <v>-0.23425862393095992</v>
      </c>
      <c r="K63" s="29">
        <f t="shared" si="301"/>
        <v>-0.37370466023408161</v>
      </c>
      <c r="L63" s="29">
        <f t="shared" si="301"/>
        <v>-0.35683524875891176</v>
      </c>
      <c r="M63" s="29">
        <f t="shared" si="301"/>
        <v>-0.12324238876006735</v>
      </c>
      <c r="N63" s="29">
        <f t="shared" si="301"/>
        <v>-0.28261388021317158</v>
      </c>
      <c r="O63" s="29">
        <f t="shared" si="301"/>
        <v>-0.12384563455052963</v>
      </c>
      <c r="P63" s="29">
        <f t="shared" si="301"/>
        <v>-0.54851362753340105</v>
      </c>
      <c r="Q63" s="29">
        <f t="shared" si="301"/>
        <v>-5.946463287465318E-2</v>
      </c>
      <c r="R63" s="29">
        <f t="shared" si="301"/>
        <v>-2.3913737733626112E-2</v>
      </c>
      <c r="S63" s="29">
        <f t="shared" si="301"/>
        <v>-4.1982605730686497E-2</v>
      </c>
      <c r="T63" s="29">
        <f t="shared" si="301"/>
        <v>-0.14319180872517423</v>
      </c>
      <c r="U63" s="29">
        <f t="shared" si="301"/>
        <v>0.13821103851304031</v>
      </c>
      <c r="V63" s="29">
        <f t="shared" si="301"/>
        <v>0.15162102168172814</v>
      </c>
      <c r="W63" s="29">
        <f t="shared" si="301"/>
        <v>0.30846148021314973</v>
      </c>
      <c r="X63" s="29">
        <f t="shared" si="301"/>
        <v>0.15454333289806374</v>
      </c>
      <c r="Y63" s="29">
        <f t="shared" si="301"/>
        <v>0.33529452440313423</v>
      </c>
      <c r="Z63" s="29">
        <f t="shared" si="301"/>
        <v>0.34647897899927854</v>
      </c>
      <c r="AA63" s="29">
        <f t="shared" si="301"/>
        <v>0.29131370776534848</v>
      </c>
      <c r="AB63" s="29">
        <f t="shared" si="301"/>
        <v>0.22484280781835986</v>
      </c>
      <c r="AC63" s="29">
        <f t="shared" si="301"/>
        <v>0.27944099040051978</v>
      </c>
      <c r="AD63" s="29">
        <f t="shared" si="301"/>
        <v>0.26330247406714291</v>
      </c>
      <c r="AE63" s="29">
        <f t="shared" si="301"/>
        <v>0.27654844167207948</v>
      </c>
      <c r="AF63" s="29">
        <f t="shared" ref="AF63:AG63" si="302">IFERROR(AF61/AF16,"n/a")</f>
        <v>0.32889664556856102</v>
      </c>
      <c r="AG63" s="29">
        <f t="shared" si="302"/>
        <v>0.36047256399786232</v>
      </c>
      <c r="AH63" s="29">
        <f t="shared" si="301"/>
        <v>0.2723960894997422</v>
      </c>
      <c r="AI63" s="29">
        <f t="shared" si="301"/>
        <v>0.28227420353910621</v>
      </c>
      <c r="AJ63" s="29">
        <f t="shared" ref="AJ63:AM63" si="303">IFERROR(AJ61/AJ16,"n/a")</f>
        <v>0.2605966405716294</v>
      </c>
      <c r="AK63" s="29">
        <f t="shared" si="303"/>
        <v>0.27213544507460941</v>
      </c>
      <c r="AL63" s="29">
        <f t="shared" si="303"/>
        <v>0.24814462304458773</v>
      </c>
      <c r="AM63" s="29">
        <f t="shared" si="303"/>
        <v>0.2718296791472341</v>
      </c>
      <c r="AO63" s="29">
        <f t="shared" ref="AO63:AW63" si="304">IFERROR(AO61/AO16,"n/a")</f>
        <v>-0.55885347341066116</v>
      </c>
      <c r="AP63" s="29">
        <f t="shared" si="304"/>
        <v>-0.26903586770301285</v>
      </c>
      <c r="AQ63" s="29">
        <f t="shared" si="304"/>
        <v>-0.30168986409288417</v>
      </c>
      <c r="AR63" s="29">
        <f t="shared" si="304"/>
        <v>-0.19841177157925691</v>
      </c>
      <c r="AS63" s="29">
        <f t="shared" si="304"/>
        <v>-9.6942363464315645E-2</v>
      </c>
      <c r="AT63" s="29">
        <f t="shared" si="304"/>
        <v>0.1242309694314969</v>
      </c>
      <c r="AU63" s="29">
        <f t="shared" si="304"/>
        <v>0.29198062167033439</v>
      </c>
      <c r="AV63" s="29">
        <f t="shared" si="304"/>
        <v>0.26561850737648751</v>
      </c>
      <c r="AW63" s="29">
        <f t="shared" si="304"/>
        <v>0.30951104971999266</v>
      </c>
      <c r="AX63" s="29">
        <f t="shared" ref="AX63" si="305">IFERROR(AX61/AX16,"n/a")</f>
        <v>0.26356925555040561</v>
      </c>
    </row>
    <row r="64" spans="2:52" x14ac:dyDescent="0.2">
      <c r="B64" s="20" t="s">
        <v>469</v>
      </c>
      <c r="L64" s="29">
        <f t="shared" ref="L64:AM64" si="306">+IFERROR(L61/(L241*1000),"n/a")</f>
        <v>-1.7785274714670462E-2</v>
      </c>
      <c r="M64" s="29">
        <f t="shared" si="306"/>
        <v>-6.3945401022627709E-3</v>
      </c>
      <c r="N64" s="29">
        <f t="shared" si="306"/>
        <v>-1.4191373222023521E-2</v>
      </c>
      <c r="O64" s="29">
        <f t="shared" si="306"/>
        <v>-6.0038269774962925E-3</v>
      </c>
      <c r="P64" s="29">
        <f t="shared" si="306"/>
        <v>-2.5151731467249607E-2</v>
      </c>
      <c r="Q64" s="29">
        <f t="shared" si="306"/>
        <v>-2.9437936059291954E-3</v>
      </c>
      <c r="R64" s="29">
        <f t="shared" si="306"/>
        <v>-1.2921653806197101E-3</v>
      </c>
      <c r="S64" s="29">
        <f t="shared" si="306"/>
        <v>-3.1600059540264035E-3</v>
      </c>
      <c r="T64" s="29">
        <f t="shared" si="306"/>
        <v>-1.0214680716551044E-2</v>
      </c>
      <c r="U64" s="29">
        <f t="shared" si="306"/>
        <v>8.9154054354424646E-3</v>
      </c>
      <c r="V64" s="29">
        <f t="shared" si="306"/>
        <v>8.6170229543016084E-3</v>
      </c>
      <c r="W64" s="29">
        <f t="shared" si="306"/>
        <v>1.8837549175464104E-2</v>
      </c>
      <c r="X64" s="29">
        <f t="shared" si="306"/>
        <v>9.5892193713121524E-3</v>
      </c>
      <c r="Y64" s="29">
        <f t="shared" si="306"/>
        <v>2.4837352395907872E-2</v>
      </c>
      <c r="Z64" s="29">
        <f t="shared" si="306"/>
        <v>2.5809335731284716E-2</v>
      </c>
      <c r="AA64" s="29">
        <f t="shared" si="306"/>
        <v>2.1769163750072391E-2</v>
      </c>
      <c r="AB64" s="29">
        <f t="shared" si="306"/>
        <v>1.7456351072287067E-2</v>
      </c>
      <c r="AC64" s="29">
        <f t="shared" si="306"/>
        <v>2.5828176432322682E-2</v>
      </c>
      <c r="AD64" s="29">
        <f t="shared" si="306"/>
        <v>2.9621994682758741E-2</v>
      </c>
      <c r="AE64" s="29">
        <f t="shared" si="306"/>
        <v>3.4547331930419839E-2</v>
      </c>
      <c r="AF64" s="29">
        <f t="shared" si="306"/>
        <v>4.5128619825063054E-2</v>
      </c>
      <c r="AG64" s="29">
        <f t="shared" si="306"/>
        <v>4.8622503909436073E-2</v>
      </c>
      <c r="AH64" s="29">
        <f t="shared" si="306"/>
        <v>3.5554547605649134E-2</v>
      </c>
      <c r="AI64" s="29">
        <f t="shared" si="306"/>
        <v>3.6414708777804387E-2</v>
      </c>
      <c r="AJ64" s="29">
        <f t="shared" si="306"/>
        <v>3.4138188172456528E-2</v>
      </c>
      <c r="AK64" s="29">
        <f t="shared" si="306"/>
        <v>3.6860960919756602E-2</v>
      </c>
      <c r="AL64" s="29">
        <f t="shared" si="306"/>
        <v>3.3253347446705182E-2</v>
      </c>
      <c r="AM64" s="29">
        <f t="shared" si="306"/>
        <v>3.6828979335774475E-2</v>
      </c>
      <c r="AO64" s="44" t="str">
        <f t="shared" ref="AO64:AX64" si="307">+IFERROR(AO61/(AO241*1000),"n/a")</f>
        <v>n/a</v>
      </c>
      <c r="AP64" s="44">
        <f t="shared" si="307"/>
        <v>-5.5365465714211541E-3</v>
      </c>
      <c r="AQ64" s="44">
        <f t="shared" si="307"/>
        <v>-1.3988436528131181E-2</v>
      </c>
      <c r="AR64" s="44">
        <f t="shared" si="307"/>
        <v>-9.9021541161666352E-3</v>
      </c>
      <c r="AS64" s="44">
        <f t="shared" si="307"/>
        <v>-5.7406882616280091E-3</v>
      </c>
      <c r="AT64" s="44">
        <f t="shared" si="307"/>
        <v>7.821022196496847E-3</v>
      </c>
      <c r="AU64" s="44">
        <f t="shared" si="307"/>
        <v>2.0975308594803767E-2</v>
      </c>
      <c r="AV64" s="44">
        <f t="shared" si="307"/>
        <v>2.7709774920986287E-2</v>
      </c>
      <c r="AW64" s="44">
        <f t="shared" si="307"/>
        <v>4.1034368840031719E-2</v>
      </c>
      <c r="AX64" s="44">
        <f t="shared" si="307"/>
        <v>3.5356122738125793E-2</v>
      </c>
    </row>
    <row r="65" spans="1:52" x14ac:dyDescent="0.2">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O65" s="29"/>
      <c r="AP65" s="29"/>
      <c r="AQ65" s="29"/>
      <c r="AR65" s="29"/>
      <c r="AS65" s="29"/>
      <c r="AT65" s="29"/>
      <c r="AU65" s="29"/>
      <c r="AV65" s="29"/>
      <c r="AW65" s="29"/>
      <c r="AX65" s="29"/>
    </row>
    <row r="66" spans="1:52" ht="13.5" x14ac:dyDescent="0.35">
      <c r="A66" t="s">
        <v>252</v>
      </c>
      <c r="B66" t="s">
        <v>70</v>
      </c>
      <c r="H66" s="25">
        <f>+-H599</f>
        <v>-13.61</v>
      </c>
      <c r="I66" s="25">
        <f t="shared" ref="I66:AD66" si="308">+-I599</f>
        <v>-5820.49</v>
      </c>
      <c r="J66" s="25">
        <f t="shared" si="308"/>
        <v>-479.46099999999996</v>
      </c>
      <c r="K66" s="25">
        <f t="shared" si="308"/>
        <v>-528.01199999999994</v>
      </c>
      <c r="L66" s="25">
        <f t="shared" si="308"/>
        <v>-498.63199999999995</v>
      </c>
      <c r="M66" s="25">
        <f t="shared" si="308"/>
        <v>-591.97500000000002</v>
      </c>
      <c r="N66" s="25">
        <f t="shared" si="308"/>
        <v>-668.42700000000002</v>
      </c>
      <c r="O66" s="25">
        <f t="shared" si="308"/>
        <v>-798.67200000000003</v>
      </c>
      <c r="P66" s="25">
        <f t="shared" si="308"/>
        <v>-809.37300000000005</v>
      </c>
      <c r="Q66" s="25">
        <f t="shared" si="308"/>
        <v>-914.51099999999997</v>
      </c>
      <c r="R66" s="25">
        <f t="shared" si="308"/>
        <v>-955.92899999999997</v>
      </c>
      <c r="S66" s="25">
        <f t="shared" si="308"/>
        <v>-933.23</v>
      </c>
      <c r="T66" s="25">
        <f t="shared" si="308"/>
        <v>-972.80899999999997</v>
      </c>
      <c r="U66" s="25">
        <f t="shared" si="308"/>
        <v>-1187.7629999999999</v>
      </c>
      <c r="V66" s="25">
        <f t="shared" si="308"/>
        <v>-1121.453</v>
      </c>
      <c r="W66" s="25">
        <f t="shared" si="308"/>
        <v>-1492.7049999999999</v>
      </c>
      <c r="X66" s="25">
        <f t="shared" si="308"/>
        <v>-1522.75</v>
      </c>
      <c r="Y66" s="25">
        <f t="shared" si="308"/>
        <v>-1844.348</v>
      </c>
      <c r="Z66" s="25">
        <f t="shared" si="308"/>
        <v>-1864.8819999999998</v>
      </c>
      <c r="AA66" s="25">
        <f t="shared" si="308"/>
        <v>-2486.3850000000002</v>
      </c>
      <c r="AB66" s="25">
        <f t="shared" si="308"/>
        <v>-1533.402</v>
      </c>
      <c r="AC66" s="25">
        <f t="shared" si="308"/>
        <v>-1890.6289999999999</v>
      </c>
      <c r="AD66" s="25">
        <f t="shared" si="308"/>
        <v>-1469.819</v>
      </c>
      <c r="AE66" s="25">
        <f t="shared" ref="AE66:AF66" si="309">+-AE599</f>
        <v>-2184.944</v>
      </c>
      <c r="AF66" s="25">
        <f t="shared" si="309"/>
        <v>-2578.5420000000004</v>
      </c>
      <c r="AG66" s="25">
        <f t="shared" ref="AG66" si="310">+-AG599</f>
        <v>-2422.7620000000002</v>
      </c>
      <c r="AH66" s="54">
        <f>+AG66</f>
        <v>-2422.7620000000002</v>
      </c>
      <c r="AI66" s="54">
        <f>+AH66-700</f>
        <v>-3122.7620000000002</v>
      </c>
      <c r="AJ66" s="54">
        <v>-2700</v>
      </c>
      <c r="AK66" s="54">
        <v>-2700</v>
      </c>
      <c r="AL66" s="54">
        <v>-2700</v>
      </c>
      <c r="AM66" s="54">
        <v>-3200</v>
      </c>
      <c r="AN66" s="16"/>
      <c r="AO66" s="25">
        <f t="shared" ref="AO66:AU66" si="311">+-AO599</f>
        <v>-4.0640000000000001</v>
      </c>
      <c r="AP66" s="25">
        <f t="shared" si="311"/>
        <v>-116.50500000000001</v>
      </c>
      <c r="AQ66" s="25">
        <f t="shared" si="311"/>
        <v>-6841.5729999999994</v>
      </c>
      <c r="AR66" s="25">
        <f t="shared" si="311"/>
        <v>-2557.7060000000001</v>
      </c>
      <c r="AS66" s="25">
        <f t="shared" si="311"/>
        <v>-3613.0429999999997</v>
      </c>
      <c r="AT66" s="25">
        <f t="shared" si="311"/>
        <v>-4774.7299999999996</v>
      </c>
      <c r="AU66" s="25">
        <f t="shared" si="311"/>
        <v>-7718.3649999999998</v>
      </c>
      <c r="AV66" s="25">
        <f t="shared" ref="AV66" si="312">+-AV599</f>
        <v>-7078.7939999999999</v>
      </c>
      <c r="AW66" s="25">
        <f>+SUM(AF66:AI66)</f>
        <v>-10546.828000000001</v>
      </c>
      <c r="AX66" s="25">
        <f t="shared" ref="AX66:AX67" si="313">+SUM(AJ66:AM66)</f>
        <v>-11300</v>
      </c>
    </row>
    <row r="67" spans="1:52" s="1" customFormat="1" x14ac:dyDescent="0.2">
      <c r="B67" s="38" t="s">
        <v>96</v>
      </c>
      <c r="H67" s="42">
        <f>+IFERROR(H61+H66,"n/a")</f>
        <v>-253.13300000000038</v>
      </c>
      <c r="I67" s="42">
        <f t="shared" ref="I67:AD67" si="314">+IFERROR(I61+I66,"n/a")</f>
        <v>-6636.2199999999993</v>
      </c>
      <c r="J67" s="42">
        <f t="shared" si="314"/>
        <v>-1269.479</v>
      </c>
      <c r="K67" s="42">
        <f t="shared" si="314"/>
        <v>-2640.9089999999987</v>
      </c>
      <c r="L67" s="42">
        <f t="shared" si="314"/>
        <v>-2120.5210000000006</v>
      </c>
      <c r="M67" s="42">
        <f t="shared" si="314"/>
        <v>-1490.4130000000009</v>
      </c>
      <c r="N67" s="42">
        <f t="shared" si="314"/>
        <v>-2791.9730000000004</v>
      </c>
      <c r="O67" s="42">
        <f t="shared" si="314"/>
        <v>-2135.3039999999996</v>
      </c>
      <c r="P67" s="42">
        <f t="shared" si="314"/>
        <v>-4397.2330000000002</v>
      </c>
      <c r="Q67" s="42">
        <f t="shared" si="314"/>
        <v>-1639.5820000000017</v>
      </c>
      <c r="R67" s="42">
        <f t="shared" si="314"/>
        <v>-1295.7380000000012</v>
      </c>
      <c r="S67" s="42">
        <f t="shared" si="314"/>
        <v>-2047.7719999999977</v>
      </c>
      <c r="T67" s="42">
        <f t="shared" si="314"/>
        <v>-4146.956000000001</v>
      </c>
      <c r="U67" s="42">
        <f t="shared" si="314"/>
        <v>1997.4790000000003</v>
      </c>
      <c r="V67" s="42">
        <f t="shared" si="314"/>
        <v>2139.2719999999986</v>
      </c>
      <c r="W67" s="42">
        <f t="shared" si="314"/>
        <v>6906.9670000000133</v>
      </c>
      <c r="X67" s="42">
        <f t="shared" si="314"/>
        <v>2154.4059999999972</v>
      </c>
      <c r="Y67" s="42">
        <f t="shared" si="314"/>
        <v>8697.1669999999976</v>
      </c>
      <c r="Z67" s="42">
        <f t="shared" si="314"/>
        <v>10436.612999999999</v>
      </c>
      <c r="AA67" s="42">
        <f t="shared" si="314"/>
        <v>9113.7349999999915</v>
      </c>
      <c r="AB67" s="42">
        <f t="shared" si="314"/>
        <v>6929.0180000000018</v>
      </c>
      <c r="AC67" s="42">
        <f t="shared" si="314"/>
        <v>12718.754999999994</v>
      </c>
      <c r="AD67" s="42">
        <f t="shared" si="314"/>
        <v>16656.020999999997</v>
      </c>
      <c r="AE67" s="42">
        <f t="shared" ref="AE67:AF67" si="315">+IFERROR(AE61+AE66,"n/a")</f>
        <v>22394.967999999997</v>
      </c>
      <c r="AF67" s="42">
        <f t="shared" si="315"/>
        <v>25973.653000000009</v>
      </c>
      <c r="AG67" s="42">
        <f t="shared" ref="AG67" si="316">+IFERROR(AG61+AG66,"n/a")</f>
        <v>32564.536000000004</v>
      </c>
      <c r="AH67" s="42">
        <f t="shared" ref="AH67:AI67" si="317">+IFERROR(AH61+AH66,"n/a")</f>
        <v>24169.95443425624</v>
      </c>
      <c r="AI67" s="42">
        <f t="shared" si="317"/>
        <v>28028.928548761363</v>
      </c>
      <c r="AJ67" s="42">
        <f t="shared" ref="AJ67:AM67" si="318">+IFERROR(AJ61+AJ66,"n/a")</f>
        <v>22358.849052078513</v>
      </c>
      <c r="AK67" s="42">
        <f t="shared" si="318"/>
        <v>28100.575747415489</v>
      </c>
      <c r="AL67" s="42">
        <f t="shared" si="318"/>
        <v>26183.345721932019</v>
      </c>
      <c r="AM67" s="42">
        <f t="shared" si="318"/>
        <v>33383.217736125982</v>
      </c>
      <c r="AO67" s="42">
        <f t="shared" ref="AO67" si="319">+IFERROR(AO61+AO66,"n/a")</f>
        <v>-286.20900000000006</v>
      </c>
      <c r="AP67" s="42">
        <f t="shared" ref="AP67" si="320">+IFERROR(AP61+AP66,"n/a")</f>
        <v>-585.72399999999993</v>
      </c>
      <c r="AQ67" s="42">
        <f t="shared" ref="AQ67" si="321">+IFERROR(AQ61+AQ66,"n/a")</f>
        <v>-10799.740999999998</v>
      </c>
      <c r="AR67" s="42">
        <f t="shared" ref="AR67" si="322">+IFERROR(AR61+AR66,"n/a")</f>
        <v>-8538.2110000000011</v>
      </c>
      <c r="AS67" s="42">
        <f t="shared" ref="AS67" si="323">+IFERROR(AS61+AS66,"n/a")</f>
        <v>-9380.3249999999989</v>
      </c>
      <c r="AT67" s="42">
        <f t="shared" ref="AT67" si="324">+IFERROR(AT61+AT66,"n/a")</f>
        <v>6896.7619999999988</v>
      </c>
      <c r="AU67" s="42">
        <f t="shared" ref="AU67:AV67" si="325">+IFERROR(AU61+AU66,"n/a")</f>
        <v>30401.921000000017</v>
      </c>
      <c r="AV67" s="42">
        <f t="shared" si="325"/>
        <v>58698.761999999995</v>
      </c>
      <c r="AW67" s="42">
        <f>+SUM(AF67:AI67)</f>
        <v>110737.07198301762</v>
      </c>
      <c r="AX67" s="42">
        <f t="shared" si="313"/>
        <v>110025.988257552</v>
      </c>
      <c r="AZ67" s="42"/>
    </row>
    <row r="68" spans="1:52" x14ac:dyDescent="0.2">
      <c r="B68" s="30" t="s">
        <v>86</v>
      </c>
      <c r="L68" s="28">
        <f>IFERROR(L67/H67-1,"n/a")</f>
        <v>7.3771021557837084</v>
      </c>
      <c r="M68" s="28">
        <f t="shared" ref="M68" si="326">IFERROR(M67/I67-1,"n/a")</f>
        <v>-0.77541235824008226</v>
      </c>
      <c r="N68" s="28">
        <f t="shared" ref="N68" si="327">IFERROR(N67/J67-1,"n/a")</f>
        <v>1.1993061720595617</v>
      </c>
      <c r="O68" s="28">
        <f t="shared" ref="O68" si="328">IFERROR(O67/K67-1,"n/a")</f>
        <v>-0.19145112535115727</v>
      </c>
      <c r="P68" s="28">
        <f t="shared" ref="P68" si="329">IFERROR(P67/L67-1,"n/a")</f>
        <v>1.0736568984697623</v>
      </c>
      <c r="Q68" s="28">
        <f t="shared" ref="Q68" si="330">IFERROR(Q67/M67-1,"n/a")</f>
        <v>0.10008568094883818</v>
      </c>
      <c r="R68" s="28">
        <f t="shared" ref="R68" si="331">IFERROR(R67/N67-1,"n/a")</f>
        <v>-0.53590597043739285</v>
      </c>
      <c r="S68" s="28">
        <f t="shared" ref="S68" si="332">IFERROR(S67/O67-1,"n/a")</f>
        <v>-4.0992757939854019E-2</v>
      </c>
      <c r="T68" s="28">
        <f t="shared" ref="T68" si="333">IFERROR(T67/P67-1,"n/a")</f>
        <v>-5.6916929350798395E-2</v>
      </c>
      <c r="U68" s="28">
        <f t="shared" ref="U68" si="334">IFERROR(U67/Q67-1,"n/a")</f>
        <v>-2.2182855142347249</v>
      </c>
      <c r="V68" s="28">
        <f t="shared" ref="V68" si="335">IFERROR(V67/R67-1,"n/a")</f>
        <v>-2.6510066078173185</v>
      </c>
      <c r="W68" s="28">
        <f t="shared" ref="W68" si="336">IFERROR(W67/S67-1,"n/a")</f>
        <v>-4.3729179811033756</v>
      </c>
      <c r="X68" s="28">
        <f t="shared" ref="X68" si="337">IFERROR(X67/T67-1,"n/a")</f>
        <v>-1.5195150370536838</v>
      </c>
      <c r="Y68" s="28">
        <f t="shared" ref="Y68" si="338">IFERROR(Y67/U67-1,"n/a")</f>
        <v>3.3540718075133684</v>
      </c>
      <c r="Z68" s="28">
        <f t="shared" ref="Z68" si="339">IFERROR(Z67/V67-1,"n/a")</f>
        <v>3.8785815922425977</v>
      </c>
      <c r="AA68" s="28">
        <f t="shared" ref="AA68" si="340">IFERROR(AA67/W67-1,"n/a")</f>
        <v>0.31949884804719253</v>
      </c>
      <c r="AB68" s="28">
        <f t="shared" ref="AB68" si="341">IFERROR(AB67/X67-1,"n/a")</f>
        <v>2.2162080870550911</v>
      </c>
      <c r="AC68" s="28">
        <f t="shared" ref="AC68" si="342">IFERROR(AC67/Y67-1,"n/a")</f>
        <v>0.4624020672478748</v>
      </c>
      <c r="AD68" s="28">
        <f t="shared" ref="AD68:AG68" si="343">IFERROR(AD67/Z67-1,"n/a")</f>
        <v>0.59592206782027834</v>
      </c>
      <c r="AE68" s="28">
        <f t="shared" si="343"/>
        <v>1.4572766269811464</v>
      </c>
      <c r="AF68" s="28">
        <f t="shared" si="343"/>
        <v>2.7485330533128942</v>
      </c>
      <c r="AG68" s="28">
        <f t="shared" si="343"/>
        <v>1.5603556322926275</v>
      </c>
      <c r="AH68" s="28">
        <f t="shared" ref="AH68" si="344">IFERROR(AH67/AD67-1,"n/a")</f>
        <v>0.45112415709948039</v>
      </c>
      <c r="AI68" s="28">
        <f t="shared" ref="AI68:AJ68" si="345">IFERROR(AI67/AE67-1,"n/a")</f>
        <v>0.25157260991671726</v>
      </c>
      <c r="AJ68" s="28">
        <f t="shared" si="345"/>
        <v>-0.13917195043459984</v>
      </c>
      <c r="AK68" s="28">
        <f t="shared" ref="AK68" si="346">IFERROR(AK67/AG67-1,"n/a")</f>
        <v>-0.13708041940424132</v>
      </c>
      <c r="AL68" s="28">
        <f t="shared" ref="AL68" si="347">IFERROR(AL67/AH67-1,"n/a")</f>
        <v>8.3301410151695787E-2</v>
      </c>
      <c r="AM68" s="28">
        <f t="shared" ref="AM68" si="348">IFERROR(AM67/AI67-1,"n/a")</f>
        <v>0.19102725165001821</v>
      </c>
      <c r="AP68" s="28">
        <f>IFERROR(AP67/AO67-1,"n/a")</f>
        <v>1.046490501696312</v>
      </c>
      <c r="AQ68" s="28">
        <f t="shared" ref="AQ68" si="349">IFERROR(AQ67/AP67-1,"n/a")</f>
        <v>17.438276389562319</v>
      </c>
      <c r="AR68" s="28">
        <f t="shared" ref="AR68" si="350">IFERROR(AR67/AQ67-1,"n/a")</f>
        <v>-0.2094059477907847</v>
      </c>
      <c r="AS68" s="28">
        <f t="shared" ref="AS68" si="351">IFERROR(AS67/AR67-1,"n/a")</f>
        <v>9.8628857965678884E-2</v>
      </c>
      <c r="AT68" s="28">
        <f t="shared" ref="AT68" si="352">IFERROR(AT67/AS67-1,"n/a")</f>
        <v>-1.7352369987180616</v>
      </c>
      <c r="AU68" s="28">
        <f t="shared" ref="AU68:AV68" si="353">IFERROR(AU67/AT67-1,"n/a")</f>
        <v>3.4081441406851534</v>
      </c>
      <c r="AV68" s="28">
        <f t="shared" si="353"/>
        <v>0.9307583228046663</v>
      </c>
      <c r="AW68" s="28">
        <f t="shared" ref="AW68:AX68" si="354">IFERROR(AW67/AV67-1,"n/a")</f>
        <v>0.88653164410891039</v>
      </c>
      <c r="AX68" s="28">
        <f t="shared" si="354"/>
        <v>-6.421370122326131E-3</v>
      </c>
    </row>
    <row r="69" spans="1:52" x14ac:dyDescent="0.2">
      <c r="B69" s="30" t="s">
        <v>88</v>
      </c>
      <c r="H69" s="29">
        <f t="shared" ref="H69:AI69" si="355">IFERROR(H67/H16,"n/a")</f>
        <v>-0.18281978096264376</v>
      </c>
      <c r="I69" s="29">
        <f t="shared" si="355"/>
        <v>-2.449652017721367</v>
      </c>
      <c r="J69" s="29">
        <f t="shared" si="355"/>
        <v>-0.37642990874796661</v>
      </c>
      <c r="K69" s="29">
        <f t="shared" si="355"/>
        <v>-0.46709328497987751</v>
      </c>
      <c r="L69" s="29">
        <f t="shared" si="355"/>
        <v>-0.46654033570330411</v>
      </c>
      <c r="M69" s="29">
        <f t="shared" si="355"/>
        <v>-0.20444600335143678</v>
      </c>
      <c r="N69" s="29">
        <f t="shared" si="355"/>
        <v>-0.37157204175488046</v>
      </c>
      <c r="O69" s="29">
        <f t="shared" si="355"/>
        <v>-0.19784658667328342</v>
      </c>
      <c r="P69" s="29">
        <f t="shared" si="355"/>
        <v>-0.67225093062147889</v>
      </c>
      <c r="Q69" s="29">
        <f t="shared" si="355"/>
        <v>-0.13446564777503095</v>
      </c>
      <c r="R69" s="29">
        <f t="shared" si="355"/>
        <v>-9.1186339100768843E-2</v>
      </c>
      <c r="S69" s="29">
        <f t="shared" si="355"/>
        <v>-7.7135544916512283E-2</v>
      </c>
      <c r="T69" s="29">
        <f t="shared" si="355"/>
        <v>-0.18707707309828867</v>
      </c>
      <c r="U69" s="29">
        <f t="shared" si="355"/>
        <v>8.667273852284671E-2</v>
      </c>
      <c r="V69" s="29">
        <f t="shared" si="355"/>
        <v>9.9474382628131422E-2</v>
      </c>
      <c r="W69" s="29">
        <f t="shared" si="355"/>
        <v>0.25364481667895827</v>
      </c>
      <c r="X69" s="29">
        <f t="shared" si="355"/>
        <v>9.054527021850195E-2</v>
      </c>
      <c r="Y69" s="29">
        <f t="shared" si="355"/>
        <v>0.27663125014949308</v>
      </c>
      <c r="Z69" s="29">
        <f t="shared" si="355"/>
        <v>0.2939534598396859</v>
      </c>
      <c r="AA69" s="29">
        <f t="shared" si="355"/>
        <v>0.2288731439365134</v>
      </c>
      <c r="AB69" s="29">
        <f t="shared" si="355"/>
        <v>0.184100985597968</v>
      </c>
      <c r="AC69" s="29">
        <f t="shared" si="355"/>
        <v>0.24327798446954113</v>
      </c>
      <c r="AD69" s="29">
        <f t="shared" si="355"/>
        <v>0.24195135438767459</v>
      </c>
      <c r="AE69" s="29">
        <f t="shared" si="355"/>
        <v>0.25196564990534087</v>
      </c>
      <c r="AF69" s="29">
        <f t="shared" ref="AF69:AG69" si="356">IFERROR(AF67/AF16,"n/a")</f>
        <v>0.29919406703623985</v>
      </c>
      <c r="AG69" s="29">
        <f t="shared" si="356"/>
        <v>0.33551095564226457</v>
      </c>
      <c r="AH69" s="29">
        <f t="shared" si="355"/>
        <v>0.2475791101505232</v>
      </c>
      <c r="AI69" s="29">
        <f t="shared" si="355"/>
        <v>0.2539779813802342</v>
      </c>
      <c r="AJ69" s="29">
        <f t="shared" ref="AJ69:AM69" si="357">IFERROR(AJ67/AJ16,"n/a")</f>
        <v>0.23251829874191804</v>
      </c>
      <c r="AK69" s="29">
        <f t="shared" si="357"/>
        <v>0.24827986173334346</v>
      </c>
      <c r="AL69" s="29">
        <f t="shared" si="357"/>
        <v>0.2249481939095917</v>
      </c>
      <c r="AM69" s="29">
        <f t="shared" si="357"/>
        <v>0.24805224711418017</v>
      </c>
      <c r="AO69" s="29">
        <f t="shared" ref="AO69:AW69" si="358">IFERROR(AO67/AO16,"n/a")</f>
        <v>-0.56690316600114099</v>
      </c>
      <c r="AP69" s="29">
        <f t="shared" si="358"/>
        <v>-0.33583628236384183</v>
      </c>
      <c r="AQ69" s="29">
        <f t="shared" si="358"/>
        <v>-0.82315161825580641</v>
      </c>
      <c r="AR69" s="29">
        <f t="shared" si="358"/>
        <v>-0.28326731114303866</v>
      </c>
      <c r="AS69" s="29">
        <f t="shared" si="358"/>
        <v>-0.15767407863243149</v>
      </c>
      <c r="AT69" s="29">
        <f t="shared" si="358"/>
        <v>7.3408903437393383E-2</v>
      </c>
      <c r="AU69" s="29">
        <f t="shared" si="358"/>
        <v>0.23286215097002147</v>
      </c>
      <c r="AV69" s="29">
        <f t="shared" si="358"/>
        <v>0.23703339703420545</v>
      </c>
      <c r="AW69" s="29">
        <f t="shared" si="358"/>
        <v>0.28259601972876308</v>
      </c>
      <c r="AX69" s="29">
        <f t="shared" ref="AX69" si="359">IFERROR(AX67/AX16,"n/a")</f>
        <v>0.23902107234173353</v>
      </c>
    </row>
    <row r="70" spans="1:52" x14ac:dyDescent="0.2">
      <c r="AT70" s="33"/>
      <c r="AU70" s="33"/>
      <c r="AV70" s="33"/>
      <c r="AW70" s="33"/>
      <c r="AX70" s="33"/>
    </row>
    <row r="71" spans="1:52" x14ac:dyDescent="0.2">
      <c r="A71" t="s">
        <v>253</v>
      </c>
      <c r="B71" t="s">
        <v>238</v>
      </c>
      <c r="H71" s="10">
        <f>+IFERROR(H567+H568+H611,"n/a")</f>
        <v>50.162999999999997</v>
      </c>
      <c r="I71" s="10">
        <f t="shared" ref="I71:AD71" si="360">+IFERROR(I567+I568+I611,"n/a")</f>
        <v>136.601</v>
      </c>
      <c r="J71" s="10">
        <f t="shared" si="360"/>
        <v>164.81899999999999</v>
      </c>
      <c r="K71" s="10">
        <f t="shared" si="360"/>
        <v>233.35700000000008</v>
      </c>
      <c r="L71" s="10">
        <f t="shared" si="360"/>
        <v>252.102</v>
      </c>
      <c r="M71" s="10">
        <f t="shared" si="360"/>
        <v>402.56799999999998</v>
      </c>
      <c r="N71" s="10">
        <f t="shared" si="360"/>
        <v>414.61500000000001</v>
      </c>
      <c r="O71" s="10">
        <f t="shared" si="360"/>
        <v>470.81399999999996</v>
      </c>
      <c r="P71" s="10">
        <f t="shared" si="360"/>
        <v>449.96000000000004</v>
      </c>
      <c r="Q71" s="10">
        <f t="shared" si="360"/>
        <v>821.80299999999988</v>
      </c>
      <c r="R71" s="10">
        <f t="shared" si="360"/>
        <v>466.85599999999999</v>
      </c>
      <c r="S71" s="10">
        <f t="shared" si="360"/>
        <v>650.01699999999994</v>
      </c>
      <c r="T71" s="10">
        <f t="shared" si="360"/>
        <v>953.63199999999995</v>
      </c>
      <c r="U71" s="10">
        <f t="shared" si="360"/>
        <v>549.49299999999994</v>
      </c>
      <c r="V71" s="10">
        <f t="shared" si="360"/>
        <v>631.92499999999995</v>
      </c>
      <c r="W71" s="10">
        <f t="shared" si="360"/>
        <v>914.66799999999967</v>
      </c>
      <c r="X71" s="10">
        <f t="shared" si="360"/>
        <v>796.26099999999997</v>
      </c>
      <c r="Y71" s="10">
        <f t="shared" si="360"/>
        <v>756.99099999999999</v>
      </c>
      <c r="Z71" s="10">
        <f t="shared" si="360"/>
        <v>1092.1500000000001</v>
      </c>
      <c r="AA71" s="10">
        <f t="shared" si="360"/>
        <v>1351.6979999999999</v>
      </c>
      <c r="AB71" s="10">
        <f t="shared" si="360"/>
        <v>1463.5989999999999</v>
      </c>
      <c r="AC71" s="10">
        <f t="shared" si="360"/>
        <v>2287.741</v>
      </c>
      <c r="AD71" s="10">
        <f t="shared" si="360"/>
        <v>2127.3560000000002</v>
      </c>
      <c r="AE71" s="10">
        <f t="shared" ref="AE71:AF71" si="361">+IFERROR(AE567+AE568+AE611,"n/a")</f>
        <v>4359.384</v>
      </c>
      <c r="AF71" s="10">
        <f t="shared" si="361"/>
        <v>5048.5889999999999</v>
      </c>
      <c r="AG71" s="10">
        <f t="shared" ref="AG71" si="362">+IFERROR(AG567+AG568+AG611,"n/a")</f>
        <v>4855.5919999999996</v>
      </c>
      <c r="AH71" s="58">
        <v>5000</v>
      </c>
      <c r="AI71" s="58">
        <v>5000</v>
      </c>
      <c r="AJ71" s="58">
        <v>5000</v>
      </c>
      <c r="AK71" s="58">
        <v>5000</v>
      </c>
      <c r="AL71" s="58">
        <v>5000</v>
      </c>
      <c r="AM71" s="58">
        <v>5000</v>
      </c>
      <c r="AO71" s="10">
        <f t="shared" ref="AO71:AU71" si="363">+IFERROR(AO567+AO568+AO611,"n/a")</f>
        <v>4.46</v>
      </c>
      <c r="AP71" s="10">
        <f t="shared" si="363"/>
        <v>80.783000000000001</v>
      </c>
      <c r="AQ71" s="10">
        <f t="shared" si="363"/>
        <v>584.94000000000005</v>
      </c>
      <c r="AR71" s="10">
        <f t="shared" si="363"/>
        <v>1540.0990000000002</v>
      </c>
      <c r="AS71" s="10">
        <f t="shared" si="363"/>
        <v>2388.636</v>
      </c>
      <c r="AT71" s="10">
        <f t="shared" si="363"/>
        <v>3049.7179999999998</v>
      </c>
      <c r="AU71" s="10">
        <f t="shared" si="363"/>
        <v>3997.1</v>
      </c>
      <c r="AV71" s="10">
        <f t="shared" ref="AV71" si="364">+IFERROR(AV567+AV568+AV611,"n/a")</f>
        <v>10238.08</v>
      </c>
      <c r="AW71" s="10">
        <f t="shared" ref="AW71:AW76" si="365">+SUM(AF71:AI71)</f>
        <v>19904.181</v>
      </c>
      <c r="AX71" s="10">
        <f t="shared" ref="AX71:AX76" si="366">+SUM(AJ71:AM71)</f>
        <v>20000</v>
      </c>
    </row>
    <row r="72" spans="1:52" ht="13.5" x14ac:dyDescent="0.35">
      <c r="A72" t="s">
        <v>254</v>
      </c>
      <c r="B72" t="s">
        <v>97</v>
      </c>
      <c r="H72" s="25">
        <f>IFERROR(SUM(H569:H571)+(H610-H563),"n/a")</f>
        <v>1.9489999999999998</v>
      </c>
      <c r="I72" s="25">
        <f t="shared" ref="I72:AD72" si="367">IFERROR(SUM(I569:I571)+(I610-I563),"n/a")</f>
        <v>5.7309999999999999</v>
      </c>
      <c r="J72" s="25">
        <f t="shared" si="367"/>
        <v>6.3369999999999997</v>
      </c>
      <c r="K72" s="25">
        <f t="shared" si="367"/>
        <v>-16.341000000000001</v>
      </c>
      <c r="L72" s="25">
        <f t="shared" si="367"/>
        <v>-9.2889999999999997</v>
      </c>
      <c r="M72" s="25">
        <f t="shared" si="367"/>
        <v>84.594999999999999</v>
      </c>
      <c r="N72" s="25">
        <f t="shared" si="367"/>
        <v>56.718000000000004</v>
      </c>
      <c r="O72" s="25">
        <f t="shared" si="367"/>
        <v>13.941000000000001</v>
      </c>
      <c r="P72" s="25">
        <f t="shared" si="367"/>
        <v>-31.664000000000001</v>
      </c>
      <c r="Q72" s="25">
        <f t="shared" si="367"/>
        <v>-174.23700000000002</v>
      </c>
      <c r="R72" s="25">
        <f t="shared" si="367"/>
        <v>303.89</v>
      </c>
      <c r="S72" s="25">
        <f t="shared" si="367"/>
        <v>231.983</v>
      </c>
      <c r="T72" s="25">
        <f t="shared" si="367"/>
        <v>183.67399999999998</v>
      </c>
      <c r="U72" s="25">
        <f t="shared" si="367"/>
        <v>391.94299999999998</v>
      </c>
      <c r="V72" s="25">
        <f t="shared" si="367"/>
        <v>27.260999999999996</v>
      </c>
      <c r="W72" s="25">
        <f t="shared" si="367"/>
        <v>192.19200000000004</v>
      </c>
      <c r="X72" s="25">
        <f t="shared" si="367"/>
        <v>325.45399999999995</v>
      </c>
      <c r="Y72" s="25">
        <f t="shared" si="367"/>
        <v>1089.345</v>
      </c>
      <c r="Z72" s="25">
        <f t="shared" si="367"/>
        <v>580.01600000000008</v>
      </c>
      <c r="AA72" s="25">
        <f t="shared" si="367"/>
        <v>298.4730000000003</v>
      </c>
      <c r="AB72" s="25">
        <f t="shared" si="367"/>
        <v>1691.759</v>
      </c>
      <c r="AC72" s="25">
        <f t="shared" si="367"/>
        <v>1520.8920000000001</v>
      </c>
      <c r="AD72" s="25">
        <f t="shared" si="367"/>
        <v>393.17900000000003</v>
      </c>
      <c r="AE72" s="25">
        <f t="shared" ref="AE72" si="368">IFERROR(SUM(AE569:AE571)+(AE610-AE563),"n/a")</f>
        <v>132.43700000000001</v>
      </c>
      <c r="AF72" s="25">
        <f t="shared" ref="AF72:AG72" si="369">IFERROR(SUM(AF569:AF571)+(AF610-AF563),"n/a")</f>
        <v>2121.203</v>
      </c>
      <c r="AG72" s="25">
        <f t="shared" si="369"/>
        <v>553.44000000000005</v>
      </c>
      <c r="AH72" s="54">
        <v>500</v>
      </c>
      <c r="AI72" s="54">
        <v>500</v>
      </c>
      <c r="AJ72" s="54">
        <v>500</v>
      </c>
      <c r="AK72" s="54">
        <v>500</v>
      </c>
      <c r="AL72" s="54">
        <v>500</v>
      </c>
      <c r="AM72" s="54">
        <v>500</v>
      </c>
      <c r="AO72" s="25">
        <f t="shared" ref="AO72:AU72" si="370">IFERROR(SUM(AO569:AO571)+(AO610-AO563),"n/a")</f>
        <v>-10.227</v>
      </c>
      <c r="AP72" s="25">
        <f t="shared" si="370"/>
        <v>-10.174000000000001</v>
      </c>
      <c r="AQ72" s="25">
        <f t="shared" si="370"/>
        <v>-2.3239999999999998</v>
      </c>
      <c r="AR72" s="25">
        <f t="shared" si="370"/>
        <v>145.965</v>
      </c>
      <c r="AS72" s="25">
        <f t="shared" si="370"/>
        <v>329.971</v>
      </c>
      <c r="AT72" s="25">
        <f t="shared" si="370"/>
        <v>795.06999999999994</v>
      </c>
      <c r="AU72" s="25">
        <f t="shared" si="370"/>
        <v>2293.288</v>
      </c>
      <c r="AV72" s="25">
        <f t="shared" ref="AV72" si="371">IFERROR(SUM(AV569:AV571)+(AV610-AV563),"n/a")</f>
        <v>3738.2670000000003</v>
      </c>
      <c r="AW72" s="25">
        <f t="shared" si="365"/>
        <v>3674.643</v>
      </c>
      <c r="AX72" s="25">
        <f t="shared" si="366"/>
        <v>2000</v>
      </c>
    </row>
    <row r="73" spans="1:52" x14ac:dyDescent="0.2">
      <c r="B73" s="4" t="s">
        <v>98</v>
      </c>
      <c r="H73" s="10">
        <f t="shared" ref="H73:AD73" si="372">IFERROR(H67+H71+H72,"n/a")</f>
        <v>-201.02100000000036</v>
      </c>
      <c r="I73" s="10">
        <f t="shared" si="372"/>
        <v>-6493.8879999999999</v>
      </c>
      <c r="J73" s="10">
        <f t="shared" si="372"/>
        <v>-1098.3230000000001</v>
      </c>
      <c r="K73" s="10">
        <f t="shared" si="372"/>
        <v>-2423.8929999999987</v>
      </c>
      <c r="L73" s="10">
        <f t="shared" si="372"/>
        <v>-1877.7080000000005</v>
      </c>
      <c r="M73" s="10">
        <f t="shared" si="372"/>
        <v>-1003.2500000000009</v>
      </c>
      <c r="N73" s="10">
        <f t="shared" si="372"/>
        <v>-2320.6400000000003</v>
      </c>
      <c r="O73" s="10">
        <f t="shared" si="372"/>
        <v>-1650.5489999999998</v>
      </c>
      <c r="P73" s="10">
        <f t="shared" si="372"/>
        <v>-3978.9370000000004</v>
      </c>
      <c r="Q73" s="10">
        <f t="shared" si="372"/>
        <v>-992.0160000000019</v>
      </c>
      <c r="R73" s="10">
        <f t="shared" si="372"/>
        <v>-524.99200000000121</v>
      </c>
      <c r="S73" s="10">
        <f t="shared" si="372"/>
        <v>-1165.7719999999979</v>
      </c>
      <c r="T73" s="10">
        <f t="shared" si="372"/>
        <v>-3009.650000000001</v>
      </c>
      <c r="U73" s="10">
        <f t="shared" si="372"/>
        <v>2938.915</v>
      </c>
      <c r="V73" s="10">
        <f t="shared" si="372"/>
        <v>2798.4579999999983</v>
      </c>
      <c r="W73" s="10">
        <f t="shared" si="372"/>
        <v>8013.827000000013</v>
      </c>
      <c r="X73" s="10">
        <f t="shared" si="372"/>
        <v>3276.1209999999974</v>
      </c>
      <c r="Y73" s="10">
        <f t="shared" si="372"/>
        <v>10543.502999999997</v>
      </c>
      <c r="Z73" s="10">
        <f t="shared" si="372"/>
        <v>12108.778999999999</v>
      </c>
      <c r="AA73" s="10">
        <f t="shared" si="372"/>
        <v>10763.905999999992</v>
      </c>
      <c r="AB73" s="10">
        <f t="shared" si="372"/>
        <v>10084.376000000002</v>
      </c>
      <c r="AC73" s="10">
        <f t="shared" si="372"/>
        <v>16527.387999999995</v>
      </c>
      <c r="AD73" s="10">
        <f t="shared" si="372"/>
        <v>19176.555999999997</v>
      </c>
      <c r="AE73" s="10">
        <f t="shared" ref="AE73:AF73" si="373">IFERROR(AE67+AE71+AE72,"n/a")</f>
        <v>26886.789000000001</v>
      </c>
      <c r="AF73" s="10">
        <f t="shared" si="373"/>
        <v>33143.445000000007</v>
      </c>
      <c r="AG73" s="10">
        <f t="shared" ref="AG73" si="374">IFERROR(AG67+AG71+AG72,"n/a")</f>
        <v>37973.568000000007</v>
      </c>
      <c r="AH73" s="10">
        <f t="shared" ref="AH73" si="375">IFERROR(AH67+AH71+AH72,"n/a")</f>
        <v>29669.95443425624</v>
      </c>
      <c r="AI73" s="10">
        <f t="shared" ref="AI73:AJ73" si="376">IFERROR(AI67+AI71+AI72,"n/a")</f>
        <v>33528.928548761367</v>
      </c>
      <c r="AJ73" s="10">
        <f t="shared" si="376"/>
        <v>27858.849052078513</v>
      </c>
      <c r="AK73" s="10">
        <f t="shared" ref="AK73:AM73" si="377">IFERROR(AK67+AK71+AK72,"n/a")</f>
        <v>33600.575747415489</v>
      </c>
      <c r="AL73" s="10">
        <f t="shared" si="377"/>
        <v>31683.345721932019</v>
      </c>
      <c r="AM73" s="10">
        <f t="shared" si="377"/>
        <v>38883.217736125982</v>
      </c>
      <c r="AO73" s="10">
        <f t="shared" ref="AO73:AU73" si="378">IFERROR(AO67+AO71+AO72,"n/a")</f>
        <v>-291.97600000000006</v>
      </c>
      <c r="AP73" s="10">
        <f t="shared" si="378"/>
        <v>-515.1149999999999</v>
      </c>
      <c r="AQ73" s="10">
        <f t="shared" si="378"/>
        <v>-10217.124999999998</v>
      </c>
      <c r="AR73" s="10">
        <f t="shared" si="378"/>
        <v>-6852.1470000000008</v>
      </c>
      <c r="AS73" s="10">
        <f t="shared" si="378"/>
        <v>-6661.7179999999989</v>
      </c>
      <c r="AT73" s="10">
        <f t="shared" si="378"/>
        <v>10741.55</v>
      </c>
      <c r="AU73" s="10">
        <f t="shared" si="378"/>
        <v>36692.309000000016</v>
      </c>
      <c r="AV73" s="10">
        <f t="shared" ref="AV73" si="379">IFERROR(AV67+AV71+AV72,"n/a")</f>
        <v>72675.108999999997</v>
      </c>
      <c r="AW73" s="10">
        <f t="shared" si="365"/>
        <v>134315.89598301763</v>
      </c>
      <c r="AX73" s="10">
        <f t="shared" si="366"/>
        <v>132025.988257552</v>
      </c>
    </row>
    <row r="74" spans="1:52" x14ac:dyDescent="0.2">
      <c r="A74" t="s">
        <v>255</v>
      </c>
      <c r="B74" t="s">
        <v>99</v>
      </c>
      <c r="H74" s="10">
        <f>+H573</f>
        <v>0</v>
      </c>
      <c r="I74" s="10">
        <f t="shared" ref="I74:AD74" si="380">+I573</f>
        <v>0</v>
      </c>
      <c r="J74" s="10">
        <f t="shared" si="380"/>
        <v>0</v>
      </c>
      <c r="K74" s="10">
        <f t="shared" si="380"/>
        <v>0</v>
      </c>
      <c r="L74" s="10">
        <f t="shared" si="380"/>
        <v>0</v>
      </c>
      <c r="M74" s="10">
        <f t="shared" si="380"/>
        <v>0</v>
      </c>
      <c r="N74" s="10">
        <f t="shared" si="380"/>
        <v>0</v>
      </c>
      <c r="O74" s="10">
        <f t="shared" si="380"/>
        <v>0</v>
      </c>
      <c r="P74" s="10">
        <f t="shared" si="380"/>
        <v>0</v>
      </c>
      <c r="Q74" s="10">
        <f t="shared" si="380"/>
        <v>0</v>
      </c>
      <c r="R74" s="10">
        <f t="shared" si="380"/>
        <v>0</v>
      </c>
      <c r="S74" s="10">
        <f t="shared" si="380"/>
        <v>0</v>
      </c>
      <c r="T74" s="10">
        <f t="shared" si="380"/>
        <v>0</v>
      </c>
      <c r="U74" s="10">
        <f t="shared" si="380"/>
        <v>0</v>
      </c>
      <c r="V74" s="10">
        <f t="shared" si="380"/>
        <v>-854.76599999999996</v>
      </c>
      <c r="W74" s="10">
        <f t="shared" si="380"/>
        <v>-1078.819</v>
      </c>
      <c r="X74" s="10">
        <f t="shared" si="380"/>
        <v>-564.81399999999996</v>
      </c>
      <c r="Y74" s="10">
        <f t="shared" si="380"/>
        <v>-1558.0630000000001</v>
      </c>
      <c r="Z74" s="10">
        <f t="shared" si="380"/>
        <v>-1537.1769999999999</v>
      </c>
      <c r="AA74" s="10">
        <f t="shared" si="380"/>
        <v>-1065.6130000000003</v>
      </c>
      <c r="AB74" s="10">
        <f t="shared" si="380"/>
        <v>-1597.7750000000001</v>
      </c>
      <c r="AC74" s="10">
        <f t="shared" si="380"/>
        <v>-3158.442</v>
      </c>
      <c r="AD74" s="10">
        <f t="shared" si="380"/>
        <v>-3513.48</v>
      </c>
      <c r="AE74" s="10">
        <f t="shared" ref="AE74:AF74" si="381">+AE573</f>
        <v>-3580.2069999999999</v>
      </c>
      <c r="AF74" s="10">
        <f t="shared" si="381"/>
        <v>-5067.7520000000004</v>
      </c>
      <c r="AG74" s="10">
        <f t="shared" ref="AG74" si="382">+AG573</f>
        <v>-5914.6130000000003</v>
      </c>
      <c r="AH74" s="14">
        <f t="shared" ref="AH74:AI74" si="383">-AH82*AH73</f>
        <v>-4450.4931651384359</v>
      </c>
      <c r="AI74" s="14">
        <f t="shared" si="383"/>
        <v>-5029.3392823142049</v>
      </c>
      <c r="AJ74" s="14">
        <f t="shared" ref="AJ74:AM74" si="384">-AJ82*AJ73</f>
        <v>-4178.8273578117769</v>
      </c>
      <c r="AK74" s="14">
        <f t="shared" si="384"/>
        <v>-5040.0863621123235</v>
      </c>
      <c r="AL74" s="14">
        <f t="shared" si="384"/>
        <v>-4752.5018582898028</v>
      </c>
      <c r="AM74" s="14">
        <f t="shared" si="384"/>
        <v>-5832.4826604188975</v>
      </c>
      <c r="AO74" s="10">
        <f t="shared" ref="AO74:AU75" si="385">+AO573</f>
        <v>0</v>
      </c>
      <c r="AP74" s="10">
        <f t="shared" si="385"/>
        <v>0</v>
      </c>
      <c r="AQ74" s="10">
        <f t="shared" si="385"/>
        <v>0</v>
      </c>
      <c r="AR74" s="10">
        <f t="shared" si="385"/>
        <v>0</v>
      </c>
      <c r="AS74" s="10">
        <f t="shared" si="385"/>
        <v>0</v>
      </c>
      <c r="AT74" s="10">
        <f t="shared" si="385"/>
        <v>-1933.585</v>
      </c>
      <c r="AU74" s="10">
        <f t="shared" si="385"/>
        <v>-4725.6670000000004</v>
      </c>
      <c r="AV74" s="10">
        <f t="shared" ref="AV74" si="386">+AV573</f>
        <v>-11849.904</v>
      </c>
      <c r="AW74" s="10">
        <f t="shared" si="365"/>
        <v>-20462.197447452643</v>
      </c>
      <c r="AX74" s="10">
        <f t="shared" si="366"/>
        <v>-19803.898238632803</v>
      </c>
    </row>
    <row r="75" spans="1:52" ht="13.5" x14ac:dyDescent="0.35">
      <c r="A75" t="s">
        <v>256</v>
      </c>
      <c r="B75" t="s">
        <v>100</v>
      </c>
      <c r="H75" s="25">
        <f>+H574</f>
        <v>0</v>
      </c>
      <c r="I75" s="25">
        <f t="shared" ref="I75:AD75" si="387">+I574</f>
        <v>0</v>
      </c>
      <c r="J75" s="25">
        <f t="shared" si="387"/>
        <v>0</v>
      </c>
      <c r="K75" s="25">
        <f t="shared" si="387"/>
        <v>0</v>
      </c>
      <c r="L75" s="25">
        <f t="shared" si="387"/>
        <v>0</v>
      </c>
      <c r="M75" s="25">
        <f t="shared" si="387"/>
        <v>0</v>
      </c>
      <c r="N75" s="25">
        <f t="shared" si="387"/>
        <v>-8.218</v>
      </c>
      <c r="O75" s="25">
        <f t="shared" si="387"/>
        <v>36.893999999999998</v>
      </c>
      <c r="P75" s="25">
        <f t="shared" si="387"/>
        <v>-0.08</v>
      </c>
      <c r="Q75" s="25">
        <f t="shared" si="387"/>
        <v>0.26400000000000001</v>
      </c>
      <c r="R75" s="25">
        <f t="shared" si="387"/>
        <v>35.457999999999998</v>
      </c>
      <c r="S75" s="25">
        <f t="shared" si="387"/>
        <v>48.012</v>
      </c>
      <c r="T75" s="25">
        <f t="shared" si="387"/>
        <v>146.50899999999999</v>
      </c>
      <c r="U75" s="25">
        <f t="shared" si="387"/>
        <v>-1.3720000000000001</v>
      </c>
      <c r="V75" s="25">
        <f t="shared" si="387"/>
        <v>85.010999999999996</v>
      </c>
      <c r="W75" s="25">
        <f t="shared" si="387"/>
        <v>16.680000000000035</v>
      </c>
      <c r="X75" s="25">
        <f t="shared" si="387"/>
        <v>-33.616</v>
      </c>
      <c r="Y75" s="25">
        <f t="shared" si="387"/>
        <v>-53.493000000000002</v>
      </c>
      <c r="Z75" s="25">
        <f t="shared" si="387"/>
        <v>10.731999999999999</v>
      </c>
      <c r="AA75" s="25">
        <f t="shared" si="387"/>
        <v>-78.907999999999987</v>
      </c>
      <c r="AB75" s="25">
        <f t="shared" si="387"/>
        <v>106.389</v>
      </c>
      <c r="AC75" s="25">
        <f t="shared" si="387"/>
        <v>9.7810000000000006</v>
      </c>
      <c r="AD75" s="25">
        <f t="shared" si="387"/>
        <v>-105.81100000000001</v>
      </c>
      <c r="AE75" s="25">
        <f t="shared" ref="AE75:AF75" si="388">+AE574</f>
        <v>-15.066000000000001</v>
      </c>
      <c r="AF75" s="25">
        <f t="shared" si="388"/>
        <v>-52.43</v>
      </c>
      <c r="AG75" s="25">
        <f t="shared" ref="AG75" si="389">+AG574</f>
        <v>-49.582999999999998</v>
      </c>
      <c r="AH75" s="54">
        <v>-50</v>
      </c>
      <c r="AI75" s="54">
        <v>-50</v>
      </c>
      <c r="AJ75" s="54">
        <v>-50</v>
      </c>
      <c r="AK75" s="54">
        <v>-50</v>
      </c>
      <c r="AL75" s="54">
        <v>-50</v>
      </c>
      <c r="AM75" s="54">
        <v>-50</v>
      </c>
      <c r="AN75" s="16"/>
      <c r="AO75" s="25">
        <f t="shared" si="385"/>
        <v>0</v>
      </c>
      <c r="AP75" s="25">
        <f t="shared" si="385"/>
        <v>0</v>
      </c>
      <c r="AQ75" s="25">
        <f t="shared" si="385"/>
        <v>0</v>
      </c>
      <c r="AR75" s="25">
        <f t="shared" si="385"/>
        <v>28.675999999999998</v>
      </c>
      <c r="AS75" s="25">
        <f t="shared" si="385"/>
        <v>83.653999999999996</v>
      </c>
      <c r="AT75" s="25">
        <f t="shared" si="385"/>
        <v>246.828</v>
      </c>
      <c r="AU75" s="25">
        <f t="shared" si="385"/>
        <v>-155.285</v>
      </c>
      <c r="AV75" s="25">
        <f t="shared" ref="AV75" si="390">+AV574</f>
        <v>-4.7070000000000061</v>
      </c>
      <c r="AW75" s="25">
        <f t="shared" si="365"/>
        <v>-202.01300000000001</v>
      </c>
      <c r="AX75" s="25">
        <f t="shared" si="366"/>
        <v>-200</v>
      </c>
    </row>
    <row r="76" spans="1:52" x14ac:dyDescent="0.2">
      <c r="B76" s="4" t="s">
        <v>101</v>
      </c>
      <c r="H76" s="10">
        <f>+IFERROR(H73+H74+H75,"n/a")</f>
        <v>-201.02100000000036</v>
      </c>
      <c r="I76" s="10">
        <f t="shared" ref="I76:AI76" si="391">+IFERROR(I73+I74+I75,"n/a")</f>
        <v>-6493.8879999999999</v>
      </c>
      <c r="J76" s="10">
        <f t="shared" si="391"/>
        <v>-1098.3230000000001</v>
      </c>
      <c r="K76" s="10">
        <f t="shared" si="391"/>
        <v>-2423.8929999999987</v>
      </c>
      <c r="L76" s="10">
        <f t="shared" si="391"/>
        <v>-1877.7080000000005</v>
      </c>
      <c r="M76" s="10">
        <f t="shared" si="391"/>
        <v>-1003.2500000000009</v>
      </c>
      <c r="N76" s="10">
        <f t="shared" si="391"/>
        <v>-2328.8580000000002</v>
      </c>
      <c r="O76" s="10">
        <f t="shared" si="391"/>
        <v>-1613.6549999999997</v>
      </c>
      <c r="P76" s="10">
        <f t="shared" si="391"/>
        <v>-3979.0170000000003</v>
      </c>
      <c r="Q76" s="10">
        <f t="shared" si="391"/>
        <v>-991.75200000000189</v>
      </c>
      <c r="R76" s="10">
        <f t="shared" si="391"/>
        <v>-489.53400000000124</v>
      </c>
      <c r="S76" s="10">
        <f t="shared" si="391"/>
        <v>-1117.7599999999979</v>
      </c>
      <c r="T76" s="10">
        <f t="shared" si="391"/>
        <v>-2863.141000000001</v>
      </c>
      <c r="U76" s="10">
        <f t="shared" si="391"/>
        <v>2937.5430000000001</v>
      </c>
      <c r="V76" s="10">
        <f t="shared" si="391"/>
        <v>2028.7029999999982</v>
      </c>
      <c r="W76" s="10">
        <f t="shared" si="391"/>
        <v>6951.6880000000128</v>
      </c>
      <c r="X76" s="10">
        <f t="shared" si="391"/>
        <v>2677.6909999999975</v>
      </c>
      <c r="Y76" s="10">
        <f t="shared" si="391"/>
        <v>8931.9469999999965</v>
      </c>
      <c r="Z76" s="10">
        <f t="shared" si="391"/>
        <v>10582.333999999999</v>
      </c>
      <c r="AA76" s="10">
        <f t="shared" si="391"/>
        <v>9619.3849999999911</v>
      </c>
      <c r="AB76" s="10">
        <f t="shared" si="391"/>
        <v>8592.9900000000016</v>
      </c>
      <c r="AC76" s="10">
        <f t="shared" si="391"/>
        <v>13378.726999999997</v>
      </c>
      <c r="AD76" s="10">
        <f t="shared" si="391"/>
        <v>15557.264999999998</v>
      </c>
      <c r="AE76" s="10">
        <f t="shared" ref="AE76:AF76" si="392">+IFERROR(AE73+AE74+AE75,"n/a")</f>
        <v>23291.516000000003</v>
      </c>
      <c r="AF76" s="10">
        <f t="shared" si="392"/>
        <v>28023.263000000006</v>
      </c>
      <c r="AG76" s="10">
        <f t="shared" ref="AG76" si="393">+IFERROR(AG73+AG74+AG75,"n/a")</f>
        <v>32009.372000000007</v>
      </c>
      <c r="AH76" s="10">
        <f t="shared" si="391"/>
        <v>25169.461269117804</v>
      </c>
      <c r="AI76" s="10">
        <f t="shared" si="391"/>
        <v>28449.589266447161</v>
      </c>
      <c r="AJ76" s="10">
        <f t="shared" ref="AJ76:AM76" si="394">+IFERROR(AJ73+AJ74+AJ75,"n/a")</f>
        <v>23630.021694266736</v>
      </c>
      <c r="AK76" s="10">
        <f t="shared" si="394"/>
        <v>28510.489385303164</v>
      </c>
      <c r="AL76" s="10">
        <f t="shared" si="394"/>
        <v>26880.843863642214</v>
      </c>
      <c r="AM76" s="10">
        <f t="shared" si="394"/>
        <v>33000.735075707082</v>
      </c>
      <c r="AO76" s="10">
        <f t="shared" ref="AO76" si="395">+IFERROR(AO73+AO74+AO75,"n/a")</f>
        <v>-291.97600000000006</v>
      </c>
      <c r="AP76" s="10">
        <f t="shared" ref="AP76" si="396">+IFERROR(AP73+AP74+AP75,"n/a")</f>
        <v>-515.1149999999999</v>
      </c>
      <c r="AQ76" s="10">
        <f t="shared" ref="AQ76" si="397">+IFERROR(AQ73+AQ74+AQ75,"n/a")</f>
        <v>-10217.124999999998</v>
      </c>
      <c r="AR76" s="10">
        <f t="shared" ref="AR76" si="398">+IFERROR(AR73+AR74+AR75,"n/a")</f>
        <v>-6823.4710000000005</v>
      </c>
      <c r="AS76" s="10">
        <f t="shared" ref="AS76" si="399">+IFERROR(AS73+AS74+AS75,"n/a")</f>
        <v>-6578.0639999999985</v>
      </c>
      <c r="AT76" s="10">
        <f t="shared" ref="AT76" si="400">+IFERROR(AT73+AT74+AT75,"n/a")</f>
        <v>9054.7929999999997</v>
      </c>
      <c r="AU76" s="10">
        <f t="shared" ref="AU76:AV76" si="401">+IFERROR(AU73+AU74+AU75,"n/a")</f>
        <v>31811.357000000015</v>
      </c>
      <c r="AV76" s="10">
        <f t="shared" si="401"/>
        <v>60820.497999999992</v>
      </c>
      <c r="AW76" s="10">
        <f t="shared" si="365"/>
        <v>113651.68553556497</v>
      </c>
      <c r="AX76" s="10">
        <f t="shared" si="366"/>
        <v>112022.0900189192</v>
      </c>
    </row>
    <row r="77" spans="1:52" ht="13.5" x14ac:dyDescent="0.35">
      <c r="A77" t="s">
        <v>257</v>
      </c>
      <c r="B77" s="34" t="s">
        <v>103</v>
      </c>
      <c r="H77" s="35" t="str">
        <f>+IFERROR(H613/4,"n/a")</f>
        <v>n/a</v>
      </c>
      <c r="I77" s="35">
        <f t="shared" ref="I77:AD77" si="402">+IFERROR(I613/4,"n/a")</f>
        <v>485.13415149999997</v>
      </c>
      <c r="J77" s="35">
        <f t="shared" si="402"/>
        <v>919.51273824999998</v>
      </c>
      <c r="K77" s="35">
        <f t="shared" si="402"/>
        <v>1113.922172</v>
      </c>
      <c r="L77" s="35">
        <f t="shared" si="402"/>
        <v>1139.75425</v>
      </c>
      <c r="M77" s="35">
        <f t="shared" si="402"/>
        <v>1162.35725</v>
      </c>
      <c r="N77" s="35">
        <f t="shared" si="402"/>
        <v>1162.35725</v>
      </c>
      <c r="O77" s="35">
        <f t="shared" si="402"/>
        <v>1162.499</v>
      </c>
      <c r="P77" s="35">
        <f t="shared" si="402"/>
        <v>1162.528</v>
      </c>
      <c r="Q77" s="35">
        <f t="shared" si="402"/>
        <v>1195.3107500000001</v>
      </c>
      <c r="R77" s="35">
        <f t="shared" si="402"/>
        <v>1394.02325</v>
      </c>
      <c r="S77" s="35">
        <f t="shared" si="402"/>
        <v>1213.6492499999999</v>
      </c>
      <c r="T77" s="35">
        <f t="shared" si="402"/>
        <v>1245.8824999999999</v>
      </c>
      <c r="U77" s="35">
        <f t="shared" si="402"/>
        <v>1446.0519999999999</v>
      </c>
      <c r="V77" s="35">
        <f t="shared" si="402"/>
        <v>1441.8017500000001</v>
      </c>
      <c r="W77" s="35">
        <f t="shared" si="402"/>
        <v>1436.9459999999999</v>
      </c>
      <c r="X77" s="35">
        <f t="shared" si="402"/>
        <v>1422.0235</v>
      </c>
      <c r="Y77" s="35">
        <f t="shared" si="402"/>
        <v>1429.23675</v>
      </c>
      <c r="Z77" s="35">
        <f t="shared" si="402"/>
        <v>1444.04125</v>
      </c>
      <c r="AA77" s="35">
        <f t="shared" si="402"/>
        <v>1452.3030000000001</v>
      </c>
      <c r="AB77" s="35">
        <f t="shared" si="402"/>
        <v>1462.5944999999999</v>
      </c>
      <c r="AC77" s="35">
        <f t="shared" si="402"/>
        <v>1458.337</v>
      </c>
      <c r="AD77" s="35">
        <f t="shared" si="402"/>
        <v>1466.2755</v>
      </c>
      <c r="AE77" s="35">
        <f t="shared" ref="AE77:AF77" si="403">+IFERROR(AE613/4,"n/a")</f>
        <v>1470.7449999999999</v>
      </c>
      <c r="AF77" s="35">
        <f t="shared" si="403"/>
        <v>1476.7552499999999</v>
      </c>
      <c r="AG77" s="35">
        <f t="shared" ref="AG77" si="404">+IFERROR(AG613/4,"n/a")</f>
        <v>1481.4147499999999</v>
      </c>
      <c r="AH77" s="54">
        <f t="shared" ref="AH77:AJ77" si="405">+AG77</f>
        <v>1481.4147499999999</v>
      </c>
      <c r="AI77" s="54">
        <f t="shared" si="405"/>
        <v>1481.4147499999999</v>
      </c>
      <c r="AJ77" s="54">
        <f t="shared" si="405"/>
        <v>1481.4147499999999</v>
      </c>
      <c r="AK77" s="54">
        <f t="shared" ref="AK77" si="406">+AJ77</f>
        <v>1481.4147499999999</v>
      </c>
      <c r="AL77" s="54">
        <f t="shared" ref="AL77" si="407">+AK77</f>
        <v>1481.4147499999999</v>
      </c>
      <c r="AM77" s="54">
        <f t="shared" ref="AM77" si="408">+AL77</f>
        <v>1481.4147499999999</v>
      </c>
      <c r="AO77" s="35" t="str">
        <f t="shared" ref="AO77:AU77" si="409">+IFERROR(AO613/4,"n/a")</f>
        <v>n/a</v>
      </c>
      <c r="AP77" s="35" t="str">
        <f t="shared" si="409"/>
        <v>n/a</v>
      </c>
      <c r="AQ77" s="35">
        <f t="shared" si="409"/>
        <v>742.07988724999996</v>
      </c>
      <c r="AR77" s="35">
        <f t="shared" si="409"/>
        <v>1156.8195000000001</v>
      </c>
      <c r="AS77" s="35">
        <f t="shared" si="409"/>
        <v>1192.08575</v>
      </c>
      <c r="AT77" s="35">
        <f t="shared" si="409"/>
        <v>1446.11625</v>
      </c>
      <c r="AU77" s="35">
        <f t="shared" si="409"/>
        <v>1440.3228597499999</v>
      </c>
      <c r="AV77" s="35">
        <f t="shared" ref="AV77" si="410">+IFERROR(AV613/4,"n/a")</f>
        <v>1459.9075</v>
      </c>
      <c r="AW77" s="35">
        <f>+AVERAGE(AF77:AI77)</f>
        <v>1480.249875</v>
      </c>
      <c r="AX77" s="25">
        <f>+AVERAGE(AJ77:AM77)</f>
        <v>1481.4147499999999</v>
      </c>
    </row>
    <row r="78" spans="1:52" s="1" customFormat="1" x14ac:dyDescent="0.2">
      <c r="B78" s="38" t="s">
        <v>102</v>
      </c>
      <c r="H78" s="50" t="str">
        <f>IFERROR(H76/H77,"n/a")</f>
        <v>n/a</v>
      </c>
      <c r="I78" s="50">
        <f t="shared" ref="I78:AD78" si="411">IFERROR(I76/I77,"n/a")</f>
        <v>-13.385757279551161</v>
      </c>
      <c r="J78" s="50">
        <f t="shared" si="411"/>
        <v>-1.1944619735125241</v>
      </c>
      <c r="K78" s="50">
        <f t="shared" si="411"/>
        <v>-2.1759985220942335</v>
      </c>
      <c r="L78" s="50">
        <f t="shared" si="411"/>
        <v>-1.6474674255437087</v>
      </c>
      <c r="M78" s="50">
        <f t="shared" si="411"/>
        <v>-0.86311673971147929</v>
      </c>
      <c r="N78" s="50">
        <f t="shared" si="411"/>
        <v>-2.0035647388098625</v>
      </c>
      <c r="O78" s="50">
        <f t="shared" si="411"/>
        <v>-1.3880915166378636</v>
      </c>
      <c r="P78" s="50">
        <f t="shared" si="411"/>
        <v>-3.4227278826832559</v>
      </c>
      <c r="Q78" s="50">
        <f t="shared" si="411"/>
        <v>-0.82970223433529888</v>
      </c>
      <c r="R78" s="50">
        <f t="shared" si="411"/>
        <v>-0.35116630945717819</v>
      </c>
      <c r="S78" s="50">
        <f t="shared" si="411"/>
        <v>-0.92099097000224572</v>
      </c>
      <c r="T78" s="50">
        <f t="shared" si="411"/>
        <v>-2.2980826843622904</v>
      </c>
      <c r="U78" s="50">
        <f t="shared" si="411"/>
        <v>2.0314227980736517</v>
      </c>
      <c r="V78" s="50">
        <f t="shared" si="411"/>
        <v>1.407060991568361</v>
      </c>
      <c r="W78" s="50">
        <f t="shared" si="411"/>
        <v>4.8378213238354215</v>
      </c>
      <c r="X78" s="50">
        <f t="shared" si="411"/>
        <v>1.8830145915310101</v>
      </c>
      <c r="Y78" s="50">
        <f t="shared" si="411"/>
        <v>6.2494523737932122</v>
      </c>
      <c r="Z78" s="50">
        <f t="shared" si="411"/>
        <v>7.328276806497044</v>
      </c>
      <c r="AA78" s="50">
        <f t="shared" si="411"/>
        <v>6.623538614187253</v>
      </c>
      <c r="AB78" s="50">
        <f t="shared" si="411"/>
        <v>5.8751690916381829</v>
      </c>
      <c r="AC78" s="50">
        <f t="shared" si="411"/>
        <v>9.1739611626119313</v>
      </c>
      <c r="AD78" s="50">
        <f t="shared" si="411"/>
        <v>10.61005588649609</v>
      </c>
      <c r="AE78" s="50">
        <f t="shared" ref="AE78:AF78" si="412">IFERROR(AE76/AE77,"n/a")</f>
        <v>15.836542704547698</v>
      </c>
      <c r="AF78" s="50">
        <f t="shared" si="412"/>
        <v>18.976240646512011</v>
      </c>
      <c r="AG78" s="50">
        <f t="shared" ref="AG78" si="413">IFERROR(AG76/AG77,"n/a")</f>
        <v>21.607299373791175</v>
      </c>
      <c r="AH78" s="50">
        <f t="shared" ref="AH78:AI78" si="414">IFERROR(AH76/AH77,"n/a")</f>
        <v>16.990151656798211</v>
      </c>
      <c r="AI78" s="50">
        <f t="shared" si="414"/>
        <v>19.204337790242175</v>
      </c>
      <c r="AJ78" s="50">
        <f t="shared" ref="AJ78:AM78" si="415">IFERROR(AJ76/AJ77,"n/a")</f>
        <v>15.950983135726668</v>
      </c>
      <c r="AK78" s="50">
        <f t="shared" si="415"/>
        <v>19.245447222192951</v>
      </c>
      <c r="AL78" s="50">
        <f t="shared" si="415"/>
        <v>18.145386944231664</v>
      </c>
      <c r="AM78" s="50">
        <f t="shared" si="415"/>
        <v>22.27649959318083</v>
      </c>
      <c r="AO78" s="50" t="str">
        <f t="shared" ref="AO78" si="416">IFERROR(AO76/AO77,"n/a")</f>
        <v>n/a</v>
      </c>
      <c r="AP78" s="50" t="str">
        <f t="shared" ref="AP78" si="417">IFERROR(AP76/AP77,"n/a")</f>
        <v>n/a</v>
      </c>
      <c r="AQ78" s="50">
        <f t="shared" ref="AQ78" si="418">IFERROR(AQ76/AQ77,"n/a")</f>
        <v>-13.768227889671859</v>
      </c>
      <c r="AR78" s="50">
        <f t="shared" ref="AR78" si="419">IFERROR(AR76/AR77,"n/a")</f>
        <v>-5.8984750862169939</v>
      </c>
      <c r="AS78" s="50">
        <f t="shared" ref="AS78" si="420">IFERROR(AS76/AS77,"n/a")</f>
        <v>-5.5181131055379185</v>
      </c>
      <c r="AT78" s="50">
        <f t="shared" ref="AT78" si="421">IFERROR(AT76/AT77,"n/a")</f>
        <v>6.2614558131132263</v>
      </c>
      <c r="AU78" s="50">
        <f t="shared" ref="AU78:AW78" si="422">IFERROR(AU76/AU77,"n/a")</f>
        <v>22.086268217336759</v>
      </c>
      <c r="AV78" s="50">
        <f t="shared" ref="AV78" si="423">IFERROR(AV76/AV77,"n/a")</f>
        <v>41.660514792889266</v>
      </c>
      <c r="AW78" s="50">
        <f t="shared" si="422"/>
        <v>76.778716522820162</v>
      </c>
      <c r="AX78" s="50">
        <f t="shared" ref="AX78" si="424">IFERROR(AX76/AX77,"n/a")</f>
        <v>75.618316895332114</v>
      </c>
    </row>
    <row r="79" spans="1:52" x14ac:dyDescent="0.2">
      <c r="B79" s="30" t="s">
        <v>86</v>
      </c>
      <c r="L79" s="46" t="str">
        <f>IFERROR(L78/H78-1,"n/a")</f>
        <v>n/a</v>
      </c>
      <c r="M79" s="28">
        <f t="shared" ref="M79" si="425">IFERROR(M78/I78-1,"n/a")</f>
        <v>-0.93551976763914391</v>
      </c>
      <c r="N79" s="28">
        <f t="shared" ref="N79" si="426">IFERROR(N78/J78-1,"n/a")</f>
        <v>0.67737842077804311</v>
      </c>
      <c r="O79" s="28">
        <f t="shared" ref="O79" si="427">IFERROR(O78/K78-1,"n/a")</f>
        <v>-0.36208986240398233</v>
      </c>
      <c r="P79" s="28">
        <f t="shared" ref="P79" si="428">IFERROR(P78/L78-1,"n/a")</f>
        <v>1.0775693829294761</v>
      </c>
      <c r="Q79" s="28">
        <f t="shared" ref="Q79" si="429">IFERROR(Q78/M78-1,"n/a")</f>
        <v>-3.8713772817510317E-2</v>
      </c>
      <c r="R79" s="28">
        <f t="shared" ref="R79" si="430">IFERROR(R78/N78-1,"n/a")</f>
        <v>-0.8247292425071453</v>
      </c>
      <c r="S79" s="28">
        <f t="shared" ref="S79" si="431">IFERROR(S78/O78-1,"n/a")</f>
        <v>-0.33650558413251852</v>
      </c>
      <c r="T79" s="28">
        <f t="shared" ref="T79" si="432">IFERROR(T78/P78-1,"n/a")</f>
        <v>-0.32858153989130368</v>
      </c>
      <c r="U79" s="28">
        <f t="shared" ref="U79" si="433">IFERROR(U78/Q78-1,"n/a")</f>
        <v>-3.4483757111984756</v>
      </c>
      <c r="V79" s="28">
        <f t="shared" ref="V79" si="434">IFERROR(V78/R78-1,"n/a")</f>
        <v>-5.0068222767250976</v>
      </c>
      <c r="W79" s="28">
        <f t="shared" ref="W79" si="435">IFERROR(W78/S78-1,"n/a")</f>
        <v>-6.2528433843641542</v>
      </c>
      <c r="X79" s="28">
        <f t="shared" ref="X79" si="436">IFERROR(X78/T78-1,"n/a")</f>
        <v>-1.8193850483902585</v>
      </c>
      <c r="Y79" s="28">
        <f t="shared" ref="Y79" si="437">IFERROR(Y78/U78-1,"n/a")</f>
        <v>2.0763917682323023</v>
      </c>
      <c r="Z79" s="28">
        <f t="shared" ref="Z79" si="438">IFERROR(Z78/V78-1,"n/a")</f>
        <v>4.2082154579018516</v>
      </c>
      <c r="AA79" s="28">
        <f t="shared" ref="AA79" si="439">IFERROR(AA78/W78-1,"n/a")</f>
        <v>0.36911600714846493</v>
      </c>
      <c r="AB79" s="28">
        <f t="shared" ref="AB79" si="440">IFERROR(AB78/X78-1,"n/a")</f>
        <v>2.1200868639373094</v>
      </c>
      <c r="AC79" s="28">
        <f t="shared" ref="AC79" si="441">IFERROR(AC78/Y78-1,"n/a")</f>
        <v>0.46796240916764331</v>
      </c>
      <c r="AD79" s="28">
        <f t="shared" ref="AD79:AG79" si="442">IFERROR(AD78/Z78-1,"n/a")</f>
        <v>0.44782411563513991</v>
      </c>
      <c r="AE79" s="28">
        <f t="shared" si="442"/>
        <v>1.3909489514602815</v>
      </c>
      <c r="AF79" s="28">
        <f t="shared" si="442"/>
        <v>2.2299054462142869</v>
      </c>
      <c r="AG79" s="28">
        <f t="shared" si="442"/>
        <v>1.3552856820291281</v>
      </c>
      <c r="AH79" s="28">
        <f t="shared" ref="AH79" si="443">IFERROR(AH78/AD78-1,"n/a")</f>
        <v>0.6013253689287692</v>
      </c>
      <c r="AI79" s="28">
        <f t="shared" ref="AI79:AJ79" si="444">IFERROR(AI78/AE78-1,"n/a")</f>
        <v>0.21265974199831916</v>
      </c>
      <c r="AJ79" s="28">
        <f t="shared" si="444"/>
        <v>-0.15942343729401487</v>
      </c>
      <c r="AK79" s="28">
        <f t="shared" ref="AK79" si="445">IFERROR(AK78/AG78-1,"n/a")</f>
        <v>-0.10930806810882898</v>
      </c>
      <c r="AL79" s="28">
        <f t="shared" ref="AL79" si="446">IFERROR(AL78/AH78-1,"n/a")</f>
        <v>6.7994407040575799E-2</v>
      </c>
      <c r="AM79" s="28">
        <f t="shared" ref="AM79" si="447">IFERROR(AM78/AI78-1,"n/a")</f>
        <v>0.15997228524586959</v>
      </c>
      <c r="AP79" s="46" t="str">
        <f>IFERROR(AP78/AO78-1,"n/a")</f>
        <v>n/a</v>
      </c>
      <c r="AQ79" s="46" t="str">
        <f t="shared" ref="AQ79" si="448">IFERROR(AQ78/AP78-1,"n/a")</f>
        <v>n/a</v>
      </c>
      <c r="AR79" s="46">
        <f t="shared" ref="AR79" si="449">IFERROR(AR78/AQ78-1,"n/a")</f>
        <v>-0.57158792449668172</v>
      </c>
      <c r="AS79" s="46">
        <f t="shared" ref="AS79" si="450">IFERROR(AS78/AR78-1,"n/a")</f>
        <v>-6.4484799057279996E-2</v>
      </c>
      <c r="AT79" s="46">
        <f t="shared" ref="AT79" si="451">IFERROR(AT78/AS78-1,"n/a")</f>
        <v>-2.1347095815831132</v>
      </c>
      <c r="AU79" s="46">
        <f t="shared" ref="AU79:AV79" si="452">IFERROR(AU78/AT78-1,"n/a")</f>
        <v>2.5273375516093211</v>
      </c>
      <c r="AV79" s="46">
        <f t="shared" si="452"/>
        <v>0.88626319226656758</v>
      </c>
      <c r="AW79" s="46">
        <f t="shared" ref="AW79:AX79" si="453">IFERROR(AW78/AV78-1,"n/a")</f>
        <v>0.84296130051482154</v>
      </c>
      <c r="AX79" s="46">
        <f t="shared" si="453"/>
        <v>-1.5113558549043393E-2</v>
      </c>
    </row>
    <row r="80" spans="1:52" x14ac:dyDescent="0.2">
      <c r="A80" t="s">
        <v>307</v>
      </c>
      <c r="B80" s="30" t="s">
        <v>232</v>
      </c>
      <c r="H80" s="53">
        <f>+H612</f>
        <v>-267.90700000000021</v>
      </c>
      <c r="I80" s="53">
        <f t="shared" ref="I80:AD80" si="454">+I612</f>
        <v>-673.39800000000014</v>
      </c>
      <c r="J80" s="53">
        <f t="shared" si="454"/>
        <v>-618.8619999999994</v>
      </c>
      <c r="K80" s="53">
        <f t="shared" si="454"/>
        <v>-1895.8809999999996</v>
      </c>
      <c r="L80" s="53">
        <f t="shared" si="454"/>
        <v>-1379.076</v>
      </c>
      <c r="M80" s="53">
        <f t="shared" si="454"/>
        <v>-411.27500000000043</v>
      </c>
      <c r="N80" s="53">
        <f t="shared" si="454"/>
        <v>-1660.4309999999991</v>
      </c>
      <c r="O80" s="53">
        <f t="shared" si="454"/>
        <v>-814.98300000000017</v>
      </c>
      <c r="P80" s="53">
        <f t="shared" si="454"/>
        <v>-3169.6439999999998</v>
      </c>
      <c r="Q80" s="53">
        <f t="shared" si="454"/>
        <v>-77.24100000000044</v>
      </c>
      <c r="R80" s="53">
        <f t="shared" si="454"/>
        <v>466.39499999999691</v>
      </c>
      <c r="S80" s="53">
        <f t="shared" si="454"/>
        <v>-184.5299999999973</v>
      </c>
      <c r="T80" s="53">
        <f t="shared" si="454"/>
        <v>-1890.3320000000003</v>
      </c>
      <c r="U80" s="53">
        <f t="shared" si="454"/>
        <v>4125.3060000000014</v>
      </c>
      <c r="V80" s="53">
        <f t="shared" si="454"/>
        <v>3150.155999999999</v>
      </c>
      <c r="W80" s="53">
        <f t="shared" si="454"/>
        <v>8444.3930000000128</v>
      </c>
      <c r="X80" s="53">
        <f t="shared" si="454"/>
        <v>4200.4409999999998</v>
      </c>
      <c r="Y80" s="53">
        <f t="shared" si="454"/>
        <v>10776.294999999998</v>
      </c>
      <c r="Z80" s="53">
        <f t="shared" si="454"/>
        <v>12447.215999999997</v>
      </c>
      <c r="AA80" s="53">
        <f t="shared" si="454"/>
        <v>12105.769999999997</v>
      </c>
      <c r="AB80" s="53">
        <f t="shared" si="454"/>
        <v>10126.392000000003</v>
      </c>
      <c r="AC80" s="53">
        <f t="shared" si="454"/>
        <v>15269.355999999996</v>
      </c>
      <c r="AD80" s="53">
        <f t="shared" si="454"/>
        <v>17027.084000000003</v>
      </c>
      <c r="AE80" s="53">
        <f t="shared" ref="AE80:AF80" si="455">+AE612</f>
        <v>25476.459999999995</v>
      </c>
      <c r="AF80" s="53">
        <f t="shared" si="455"/>
        <v>30601.805000000011</v>
      </c>
      <c r="AG80" s="53">
        <f t="shared" ref="AG80" si="456">+AG612</f>
        <v>34432.134000000005</v>
      </c>
      <c r="AH80" s="53">
        <f t="shared" ref="AH80:AI80" si="457">+AH76-AH66</f>
        <v>27592.223269117803</v>
      </c>
      <c r="AI80" s="53">
        <f t="shared" si="457"/>
        <v>31572.35126644716</v>
      </c>
      <c r="AJ80" s="53">
        <f t="shared" ref="AJ80:AM80" si="458">+AJ76-AJ66</f>
        <v>26330.021694266736</v>
      </c>
      <c r="AK80" s="53">
        <f t="shared" si="458"/>
        <v>31210.489385303164</v>
      </c>
      <c r="AL80" s="53">
        <f t="shared" si="458"/>
        <v>29580.843863642214</v>
      </c>
      <c r="AM80" s="53">
        <f t="shared" si="458"/>
        <v>36200.735075707082</v>
      </c>
      <c r="AO80" s="53">
        <f t="shared" ref="AO80:AU80" si="459">+AO612</f>
        <v>-318.34199999999998</v>
      </c>
      <c r="AP80" s="53">
        <f t="shared" si="459"/>
        <v>-372.197</v>
      </c>
      <c r="AQ80" s="53">
        <f t="shared" si="459"/>
        <v>-3456.047999999998</v>
      </c>
      <c r="AR80" s="53">
        <f t="shared" si="459"/>
        <v>-4265.7649999999994</v>
      </c>
      <c r="AS80" s="53">
        <f t="shared" si="459"/>
        <v>-2965.020999999997</v>
      </c>
      <c r="AT80" s="53">
        <f t="shared" si="459"/>
        <v>13829.522999999994</v>
      </c>
      <c r="AU80" s="53">
        <f t="shared" si="459"/>
        <v>39529.722000000016</v>
      </c>
      <c r="AV80" s="53">
        <f t="shared" ref="AV80" si="460">+AV612</f>
        <v>67899.292000000001</v>
      </c>
      <c r="AW80" s="10">
        <f>+SUM(AF80:AI80)</f>
        <v>124198.51353556498</v>
      </c>
      <c r="AX80" s="10">
        <f>+SUM(AG80:AJ80)</f>
        <v>119926.73022983171</v>
      </c>
    </row>
    <row r="81" spans="1:52" x14ac:dyDescent="0.2">
      <c r="A81" t="s">
        <v>258</v>
      </c>
      <c r="B81" s="30" t="s">
        <v>104</v>
      </c>
      <c r="H81" s="27" t="str">
        <f>+H617</f>
        <v>n/a</v>
      </c>
      <c r="I81" s="27">
        <f t="shared" ref="I81:AD81" si="461">+I617</f>
        <v>-1.3880655441755685</v>
      </c>
      <c r="J81" s="27">
        <f t="shared" si="461"/>
        <v>-0.67303254675710789</v>
      </c>
      <c r="K81" s="27">
        <f t="shared" si="461"/>
        <v>-1.7019869499464453</v>
      </c>
      <c r="L81" s="27">
        <f t="shared" si="461"/>
        <v>-1.2099766243468713</v>
      </c>
      <c r="M81" s="27">
        <f t="shared" si="461"/>
        <v>-0.3538283948416035</v>
      </c>
      <c r="N81" s="27">
        <f t="shared" si="461"/>
        <v>-1.4285031559789376</v>
      </c>
      <c r="O81" s="27">
        <f t="shared" si="461"/>
        <v>-0.70106124822472982</v>
      </c>
      <c r="P81" s="27">
        <f t="shared" si="461"/>
        <v>-2.7265098130969747</v>
      </c>
      <c r="Q81" s="27">
        <f t="shared" si="461"/>
        <v>-6.4620016175710324E-2</v>
      </c>
      <c r="R81" s="27">
        <f t="shared" si="461"/>
        <v>0.33456759060510427</v>
      </c>
      <c r="S81" s="27">
        <f t="shared" si="461"/>
        <v>-0.15204557659471821</v>
      </c>
      <c r="T81" s="27">
        <f t="shared" si="461"/>
        <v>-1.5172634658565318</v>
      </c>
      <c r="U81" s="27">
        <f t="shared" si="461"/>
        <v>2.852806123154632</v>
      </c>
      <c r="V81" s="27">
        <f t="shared" si="461"/>
        <v>2.1848745848727114</v>
      </c>
      <c r="W81" s="27">
        <f t="shared" si="461"/>
        <v>5.8766251480570695</v>
      </c>
      <c r="X81" s="27">
        <f t="shared" si="461"/>
        <v>2.9538478091255169</v>
      </c>
      <c r="Y81" s="27">
        <f t="shared" si="461"/>
        <v>7.539894982409316</v>
      </c>
      <c r="Z81" s="27">
        <f t="shared" si="461"/>
        <v>8.6197094438957311</v>
      </c>
      <c r="AA81" s="27">
        <f t="shared" si="461"/>
        <v>8.3355677155524681</v>
      </c>
      <c r="AB81" s="27">
        <f t="shared" si="461"/>
        <v>6.9235813480769988</v>
      </c>
      <c r="AC81" s="27">
        <f t="shared" si="461"/>
        <v>10.470389217307108</v>
      </c>
      <c r="AD81" s="27">
        <f t="shared" si="461"/>
        <v>11.61247255375951</v>
      </c>
      <c r="AE81" s="27">
        <f t="shared" ref="AE81:AF81" si="462">+AE617</f>
        <v>17.322146259208768</v>
      </c>
      <c r="AF81" s="27">
        <f t="shared" si="462"/>
        <v>20.722326871700652</v>
      </c>
      <c r="AG81" s="27">
        <f t="shared" ref="AG81" si="463">+AG617</f>
        <v>23.242737390052319</v>
      </c>
      <c r="AH81" s="131">
        <f t="shared" ref="AH81:AI81" si="464">+AH80/AH77</f>
        <v>18.625589673059356</v>
      </c>
      <c r="AI81" s="131">
        <f t="shared" si="464"/>
        <v>21.312297090633912</v>
      </c>
      <c r="AJ81" s="131">
        <f t="shared" ref="AJ81:AM81" si="465">+AJ80/AJ77</f>
        <v>17.773565231658953</v>
      </c>
      <c r="AK81" s="131">
        <f t="shared" si="465"/>
        <v>21.068029318125234</v>
      </c>
      <c r="AL81" s="131">
        <f t="shared" si="465"/>
        <v>19.96796904016395</v>
      </c>
      <c r="AM81" s="131">
        <f t="shared" si="465"/>
        <v>24.436596892063537</v>
      </c>
      <c r="AO81" s="27" t="str">
        <f t="shared" ref="AO81:AU81" si="466">+AO617</f>
        <v>n/a</v>
      </c>
      <c r="AP81" s="27" t="str">
        <f t="shared" si="466"/>
        <v>n/a</v>
      </c>
      <c r="AQ81" s="27">
        <f t="shared" si="466"/>
        <v>-4.6572452095520642</v>
      </c>
      <c r="AR81" s="27">
        <f t="shared" si="466"/>
        <v>-3.6874940299675094</v>
      </c>
      <c r="AS81" s="27">
        <f t="shared" si="466"/>
        <v>-2.4872547968969489</v>
      </c>
      <c r="AT81" s="27">
        <f t="shared" si="466"/>
        <v>9.5632166501137057</v>
      </c>
      <c r="AU81" s="27">
        <f t="shared" si="466"/>
        <v>27.44504243087642</v>
      </c>
      <c r="AV81" s="27">
        <f t="shared" ref="AV81" si="467">+AV617</f>
        <v>46.509311035116951</v>
      </c>
      <c r="AW81" s="27">
        <f>+AW80/AW77</f>
        <v>83.90374870699786</v>
      </c>
      <c r="AX81" s="27">
        <f>+AX80/AX77</f>
        <v>80.954189385404533</v>
      </c>
    </row>
    <row r="82" spans="1:52" x14ac:dyDescent="0.2">
      <c r="B82" s="30" t="s">
        <v>304</v>
      </c>
      <c r="H82" s="27"/>
      <c r="I82" s="27"/>
      <c r="J82" s="27"/>
      <c r="K82" s="27"/>
      <c r="L82" s="28">
        <f>+IFERROR(-L74/L73,"n/a")</f>
        <v>0</v>
      </c>
      <c r="M82" s="28">
        <f t="shared" ref="M82:AW82" si="468">+IFERROR(-M74/M73,"n/a")</f>
        <v>0</v>
      </c>
      <c r="N82" s="28">
        <f t="shared" si="468"/>
        <v>0</v>
      </c>
      <c r="O82" s="28">
        <f t="shared" si="468"/>
        <v>0</v>
      </c>
      <c r="P82" s="28">
        <f t="shared" si="468"/>
        <v>0</v>
      </c>
      <c r="Q82" s="28">
        <f t="shared" si="468"/>
        <v>0</v>
      </c>
      <c r="R82" s="28">
        <f t="shared" si="468"/>
        <v>0</v>
      </c>
      <c r="S82" s="28">
        <f t="shared" si="468"/>
        <v>0</v>
      </c>
      <c r="T82" s="28">
        <f t="shared" si="468"/>
        <v>0</v>
      </c>
      <c r="U82" s="28">
        <f t="shared" si="468"/>
        <v>0</v>
      </c>
      <c r="V82" s="28">
        <f t="shared" si="468"/>
        <v>0.30544178258169336</v>
      </c>
      <c r="W82" s="28">
        <f t="shared" si="468"/>
        <v>0.13461970167312048</v>
      </c>
      <c r="X82" s="28">
        <f t="shared" si="468"/>
        <v>0.17240327814509918</v>
      </c>
      <c r="Y82" s="28">
        <f t="shared" si="468"/>
        <v>0.14777470068534154</v>
      </c>
      <c r="Z82" s="28">
        <f t="shared" si="468"/>
        <v>0.12694731648830984</v>
      </c>
      <c r="AA82" s="28">
        <f t="shared" si="468"/>
        <v>9.8998727785248319E-2</v>
      </c>
      <c r="AB82" s="28">
        <f t="shared" si="468"/>
        <v>0.15844064124542756</v>
      </c>
      <c r="AC82" s="28">
        <f t="shared" si="468"/>
        <v>0.19110351859592095</v>
      </c>
      <c r="AD82" s="28">
        <f t="shared" si="468"/>
        <v>0.18321746616024279</v>
      </c>
      <c r="AE82" s="28">
        <f t="shared" ref="AE82:AF82" si="469">+IFERROR(-AE74/AE73,"n/a")</f>
        <v>0.13315859324071758</v>
      </c>
      <c r="AF82" s="28">
        <f t="shared" si="469"/>
        <v>0.15290359828315975</v>
      </c>
      <c r="AG82" s="28">
        <f t="shared" ref="AG82" si="470">+IFERROR(-AG74/AG73,"n/a")</f>
        <v>0.15575605115642541</v>
      </c>
      <c r="AH82" s="170">
        <v>0.15</v>
      </c>
      <c r="AI82" s="170">
        <v>0.15</v>
      </c>
      <c r="AJ82" s="170">
        <v>0.15</v>
      </c>
      <c r="AK82" s="170">
        <v>0.15</v>
      </c>
      <c r="AL82" s="170">
        <v>0.15</v>
      </c>
      <c r="AM82" s="170">
        <v>0.15</v>
      </c>
      <c r="AO82" s="28">
        <f t="shared" si="468"/>
        <v>0</v>
      </c>
      <c r="AP82" s="28">
        <f t="shared" si="468"/>
        <v>0</v>
      </c>
      <c r="AQ82" s="28">
        <f t="shared" si="468"/>
        <v>0</v>
      </c>
      <c r="AR82" s="28">
        <f t="shared" si="468"/>
        <v>0</v>
      </c>
      <c r="AS82" s="28">
        <f t="shared" si="468"/>
        <v>0</v>
      </c>
      <c r="AT82" s="28">
        <f t="shared" si="468"/>
        <v>0.18000986822199777</v>
      </c>
      <c r="AU82" s="28">
        <f t="shared" si="468"/>
        <v>0.12879175851266264</v>
      </c>
      <c r="AV82" s="28">
        <f t="shared" ref="AV82" si="471">+IFERROR(-AV74/AV73,"n/a")</f>
        <v>0.16305313006135294</v>
      </c>
      <c r="AW82" s="28">
        <f t="shared" si="468"/>
        <v>0.1523438257080145</v>
      </c>
      <c r="AX82" s="28">
        <f t="shared" ref="AX82" si="472">+IFERROR(-AX74/AX73,"n/a")</f>
        <v>0.15000000000000002</v>
      </c>
    </row>
    <row r="83" spans="1:52" x14ac:dyDescent="0.2">
      <c r="AD83" s="10"/>
    </row>
    <row r="84" spans="1:52" x14ac:dyDescent="0.2">
      <c r="B84" s="24" t="s">
        <v>216</v>
      </c>
    </row>
    <row r="85" spans="1:52" x14ac:dyDescent="0.2">
      <c r="B85" t="s">
        <v>96</v>
      </c>
      <c r="H85" s="10">
        <f>+H67</f>
        <v>-253.13300000000038</v>
      </c>
      <c r="I85" s="10">
        <f t="shared" ref="I85:AD85" si="473">+I67</f>
        <v>-6636.2199999999993</v>
      </c>
      <c r="J85" s="10">
        <f t="shared" si="473"/>
        <v>-1269.479</v>
      </c>
      <c r="K85" s="10">
        <f t="shared" si="473"/>
        <v>-2640.9089999999987</v>
      </c>
      <c r="L85" s="10">
        <f t="shared" si="473"/>
        <v>-2120.5210000000006</v>
      </c>
      <c r="M85" s="10">
        <f t="shared" si="473"/>
        <v>-1490.4130000000009</v>
      </c>
      <c r="N85" s="10">
        <f t="shared" si="473"/>
        <v>-2791.9730000000004</v>
      </c>
      <c r="O85" s="10">
        <f t="shared" si="473"/>
        <v>-2135.3039999999996</v>
      </c>
      <c r="P85" s="10">
        <f t="shared" si="473"/>
        <v>-4397.2330000000002</v>
      </c>
      <c r="Q85" s="10">
        <f t="shared" si="473"/>
        <v>-1639.5820000000017</v>
      </c>
      <c r="R85" s="10">
        <f t="shared" si="473"/>
        <v>-1295.7380000000012</v>
      </c>
      <c r="S85" s="10">
        <f t="shared" si="473"/>
        <v>-2047.7719999999977</v>
      </c>
      <c r="T85" s="10">
        <f t="shared" si="473"/>
        <v>-4146.956000000001</v>
      </c>
      <c r="U85" s="10">
        <f t="shared" si="473"/>
        <v>1997.4790000000003</v>
      </c>
      <c r="V85" s="10">
        <f t="shared" si="473"/>
        <v>2139.2719999999986</v>
      </c>
      <c r="W85" s="10">
        <f t="shared" si="473"/>
        <v>6906.9670000000133</v>
      </c>
      <c r="X85" s="10">
        <f t="shared" si="473"/>
        <v>2154.4059999999972</v>
      </c>
      <c r="Y85" s="10">
        <f t="shared" si="473"/>
        <v>8697.1669999999976</v>
      </c>
      <c r="Z85" s="10">
        <f t="shared" si="473"/>
        <v>10436.612999999999</v>
      </c>
      <c r="AA85" s="10">
        <f t="shared" si="473"/>
        <v>9113.7349999999915</v>
      </c>
      <c r="AB85" s="10">
        <f t="shared" si="473"/>
        <v>6929.0180000000018</v>
      </c>
      <c r="AC85" s="10">
        <f t="shared" si="473"/>
        <v>12718.754999999994</v>
      </c>
      <c r="AD85" s="10">
        <f t="shared" si="473"/>
        <v>16656.020999999997</v>
      </c>
      <c r="AE85" s="10">
        <f t="shared" ref="AE85:AF85" si="474">+AE67</f>
        <v>22394.967999999997</v>
      </c>
      <c r="AF85" s="10">
        <f t="shared" si="474"/>
        <v>25973.653000000009</v>
      </c>
      <c r="AG85" s="10">
        <f t="shared" ref="AG85:AI85" si="475">+AG67</f>
        <v>32564.536000000004</v>
      </c>
      <c r="AH85" s="10">
        <f t="shared" si="475"/>
        <v>24169.95443425624</v>
      </c>
      <c r="AI85" s="10">
        <f t="shared" si="475"/>
        <v>28028.928548761363</v>
      </c>
      <c r="AJ85" s="10">
        <f t="shared" ref="AJ85:AM85" si="476">+AJ67</f>
        <v>22358.849052078513</v>
      </c>
      <c r="AK85" s="10">
        <f t="shared" si="476"/>
        <v>28100.575747415489</v>
      </c>
      <c r="AL85" s="10">
        <f t="shared" si="476"/>
        <v>26183.345721932019</v>
      </c>
      <c r="AM85" s="10">
        <f t="shared" si="476"/>
        <v>33383.217736125982</v>
      </c>
      <c r="AO85" s="10">
        <f t="shared" ref="AO85:AU85" si="477">+AO67</f>
        <v>-286.20900000000006</v>
      </c>
      <c r="AP85" s="10">
        <f t="shared" si="477"/>
        <v>-585.72399999999993</v>
      </c>
      <c r="AQ85" s="10">
        <f t="shared" si="477"/>
        <v>-10799.740999999998</v>
      </c>
      <c r="AR85" s="10">
        <f t="shared" si="477"/>
        <v>-8538.2110000000011</v>
      </c>
      <c r="AS85" s="10">
        <f t="shared" si="477"/>
        <v>-9380.3249999999989</v>
      </c>
      <c r="AT85" s="10">
        <f t="shared" si="477"/>
        <v>6896.7619999999988</v>
      </c>
      <c r="AU85" s="10">
        <f t="shared" si="477"/>
        <v>30401.921000000017</v>
      </c>
      <c r="AV85" s="10">
        <f t="shared" ref="AV85" si="478">+AV67</f>
        <v>58698.761999999995</v>
      </c>
      <c r="AW85" s="10">
        <f>+SUM(AF85:AI85)</f>
        <v>110737.07198301762</v>
      </c>
      <c r="AX85" s="10">
        <f t="shared" ref="AX85" si="479">+SUM(AJ85:AM85)</f>
        <v>110025.988257552</v>
      </c>
    </row>
    <row r="86" spans="1:52" ht="12" x14ac:dyDescent="0.35">
      <c r="A86" t="s">
        <v>217</v>
      </c>
      <c r="B86" t="s">
        <v>218</v>
      </c>
      <c r="H86" s="57">
        <f>+$AQ86/4</f>
        <v>124.25075</v>
      </c>
      <c r="I86" s="57">
        <f t="shared" ref="I86:K86" si="480">+$AQ86/4</f>
        <v>124.25075</v>
      </c>
      <c r="J86" s="57">
        <f t="shared" si="480"/>
        <v>124.25075</v>
      </c>
      <c r="K86" s="57">
        <f t="shared" si="480"/>
        <v>124.25075</v>
      </c>
      <c r="L86" s="57">
        <f>+$AR86/4</f>
        <v>159.45775</v>
      </c>
      <c r="M86" s="57">
        <f t="shared" ref="M86:O86" si="481">+$AR86/4</f>
        <v>159.45775</v>
      </c>
      <c r="N86" s="57">
        <f t="shared" si="481"/>
        <v>159.45775</v>
      </c>
      <c r="O86" s="57">
        <f t="shared" si="481"/>
        <v>159.45775</v>
      </c>
      <c r="P86" s="57">
        <f>+$AS86/4</f>
        <v>162.88075000000001</v>
      </c>
      <c r="Q86" s="57">
        <f t="shared" ref="Q86:S86" si="482">+$AS86/4</f>
        <v>162.88075000000001</v>
      </c>
      <c r="R86" s="57">
        <f t="shared" si="482"/>
        <v>162.88075000000001</v>
      </c>
      <c r="S86" s="57">
        <f t="shared" si="482"/>
        <v>162.88075000000001</v>
      </c>
      <c r="T86" s="57">
        <f>+$AT86/4</f>
        <v>373.84500000000003</v>
      </c>
      <c r="U86" s="57">
        <f t="shared" ref="U86:W86" si="483">+$AT86/4</f>
        <v>373.84500000000003</v>
      </c>
      <c r="V86" s="57">
        <f t="shared" si="483"/>
        <v>373.84500000000003</v>
      </c>
      <c r="W86" s="57">
        <f t="shared" si="483"/>
        <v>373.84500000000003</v>
      </c>
      <c r="X86" s="57">
        <f>+$AU86/4</f>
        <v>556.04224999999997</v>
      </c>
      <c r="Y86" s="57">
        <f t="shared" ref="Y86:AA86" si="484">+$AU86/4</f>
        <v>556.04224999999997</v>
      </c>
      <c r="Z86" s="57">
        <f t="shared" si="484"/>
        <v>556.04224999999997</v>
      </c>
      <c r="AA86" s="57">
        <f t="shared" si="484"/>
        <v>556.04224999999997</v>
      </c>
      <c r="AB86" s="57">
        <f>+$AV86/4</f>
        <v>196.55875</v>
      </c>
      <c r="AC86" s="57">
        <f t="shared" ref="AC86:AE86" si="485">+$AV86/4</f>
        <v>196.55875</v>
      </c>
      <c r="AD86" s="57">
        <f t="shared" si="485"/>
        <v>196.55875</v>
      </c>
      <c r="AE86" s="57">
        <f t="shared" si="485"/>
        <v>196.55875</v>
      </c>
      <c r="AF86" s="57">
        <f t="shared" ref="AF86:AI86" si="486">+$AW86/4</f>
        <v>459.72705292973092</v>
      </c>
      <c r="AG86" s="57">
        <f t="shared" si="486"/>
        <v>459.72705292973092</v>
      </c>
      <c r="AH86" s="57">
        <f t="shared" si="486"/>
        <v>459.72705292973092</v>
      </c>
      <c r="AI86" s="57">
        <f t="shared" si="486"/>
        <v>459.72705292973092</v>
      </c>
      <c r="AJ86" s="57">
        <f>+$AX86/4</f>
        <v>516.25</v>
      </c>
      <c r="AK86" s="57">
        <f t="shared" ref="AK86:AM86" si="487">+$AX86/4</f>
        <v>516.25</v>
      </c>
      <c r="AL86" s="57">
        <f t="shared" si="487"/>
        <v>516.25</v>
      </c>
      <c r="AM86" s="57">
        <f t="shared" si="487"/>
        <v>516.25</v>
      </c>
      <c r="AO86" s="35">
        <f t="shared" ref="AO86:AU86" si="488">+AO642</f>
        <v>0.75600000000000001</v>
      </c>
      <c r="AP86" s="35">
        <f t="shared" si="488"/>
        <v>2.2650000000000001</v>
      </c>
      <c r="AQ86" s="35">
        <f t="shared" si="488"/>
        <v>497.00299999999999</v>
      </c>
      <c r="AR86" s="35">
        <f t="shared" si="488"/>
        <v>637.83100000000002</v>
      </c>
      <c r="AS86" s="35">
        <f t="shared" si="488"/>
        <v>651.52300000000002</v>
      </c>
      <c r="AT86" s="35">
        <f t="shared" si="488"/>
        <v>1495.38</v>
      </c>
      <c r="AU86" s="35">
        <f t="shared" si="488"/>
        <v>2224.1689999999999</v>
      </c>
      <c r="AV86" s="35">
        <f t="shared" ref="AV86" si="489">+AV642</f>
        <v>786.23500000000001</v>
      </c>
      <c r="AW86" s="54">
        <v>1838.9082117189237</v>
      </c>
      <c r="AX86" s="54">
        <v>2065</v>
      </c>
    </row>
    <row r="87" spans="1:52" s="1" customFormat="1" ht="10.15" x14ac:dyDescent="0.2">
      <c r="B87" s="38" t="s">
        <v>219</v>
      </c>
      <c r="H87" s="41">
        <f>IFERROR(H85+H86,"n/a")</f>
        <v>-128.8822500000004</v>
      </c>
      <c r="I87" s="41">
        <f t="shared" ref="I87:AD87" si="490">IFERROR(I85+I86,"n/a")</f>
        <v>-6511.9692499999992</v>
      </c>
      <c r="J87" s="41">
        <f t="shared" si="490"/>
        <v>-1145.2282500000001</v>
      </c>
      <c r="K87" s="41">
        <f t="shared" si="490"/>
        <v>-2516.6582499999986</v>
      </c>
      <c r="L87" s="41">
        <f t="shared" si="490"/>
        <v>-1961.0632500000006</v>
      </c>
      <c r="M87" s="41">
        <f t="shared" si="490"/>
        <v>-1330.9552500000009</v>
      </c>
      <c r="N87" s="41">
        <f t="shared" si="490"/>
        <v>-2632.5152500000004</v>
      </c>
      <c r="O87" s="41">
        <f t="shared" si="490"/>
        <v>-1975.8462499999996</v>
      </c>
      <c r="P87" s="41">
        <f t="shared" si="490"/>
        <v>-4234.3522499999999</v>
      </c>
      <c r="Q87" s="41">
        <f t="shared" si="490"/>
        <v>-1476.7012500000017</v>
      </c>
      <c r="R87" s="41">
        <f t="shared" si="490"/>
        <v>-1132.8572500000012</v>
      </c>
      <c r="S87" s="41">
        <f t="shared" si="490"/>
        <v>-1884.8912499999976</v>
      </c>
      <c r="T87" s="41">
        <f t="shared" si="490"/>
        <v>-3773.1110000000008</v>
      </c>
      <c r="U87" s="41">
        <f t="shared" si="490"/>
        <v>2371.3240000000005</v>
      </c>
      <c r="V87" s="41">
        <f t="shared" si="490"/>
        <v>2513.1169999999984</v>
      </c>
      <c r="W87" s="41">
        <f t="shared" si="490"/>
        <v>7280.8120000000135</v>
      </c>
      <c r="X87" s="41">
        <f t="shared" si="490"/>
        <v>2710.4482499999972</v>
      </c>
      <c r="Y87" s="41">
        <f t="shared" si="490"/>
        <v>9253.2092499999981</v>
      </c>
      <c r="Z87" s="41">
        <f t="shared" si="490"/>
        <v>10992.65525</v>
      </c>
      <c r="AA87" s="41">
        <f t="shared" si="490"/>
        <v>9669.7772499999919</v>
      </c>
      <c r="AB87" s="41">
        <f t="shared" si="490"/>
        <v>7125.576750000002</v>
      </c>
      <c r="AC87" s="41">
        <f t="shared" si="490"/>
        <v>12915.313749999994</v>
      </c>
      <c r="AD87" s="41">
        <f t="shared" si="490"/>
        <v>16852.579749999997</v>
      </c>
      <c r="AE87" s="41">
        <f t="shared" ref="AE87:AF87" si="491">IFERROR(AE85+AE86,"n/a")</f>
        <v>22591.526749999997</v>
      </c>
      <c r="AF87" s="41">
        <f t="shared" si="491"/>
        <v>26433.38005292974</v>
      </c>
      <c r="AG87" s="41">
        <f t="shared" ref="AG87:AI87" si="492">IFERROR(AG85+AG86,"n/a")</f>
        <v>33024.263052929731</v>
      </c>
      <c r="AH87" s="41">
        <f t="shared" si="492"/>
        <v>24629.681487185971</v>
      </c>
      <c r="AI87" s="41">
        <f t="shared" si="492"/>
        <v>28488.655601691094</v>
      </c>
      <c r="AJ87" s="41">
        <f t="shared" ref="AJ87:AM87" si="493">IFERROR(AJ85+AJ86,"n/a")</f>
        <v>22875.099052078513</v>
      </c>
      <c r="AK87" s="41">
        <f t="shared" si="493"/>
        <v>28616.825747415489</v>
      </c>
      <c r="AL87" s="41">
        <f t="shared" si="493"/>
        <v>26699.595721932019</v>
      </c>
      <c r="AM87" s="41">
        <f t="shared" si="493"/>
        <v>33899.467736125982</v>
      </c>
      <c r="AO87" s="41">
        <f t="shared" ref="AO87" si="494">IFERROR(AO85+AO86,"n/a")</f>
        <v>-285.45300000000009</v>
      </c>
      <c r="AP87" s="41">
        <f t="shared" ref="AP87" si="495">IFERROR(AP85+AP86,"n/a")</f>
        <v>-583.45899999999995</v>
      </c>
      <c r="AQ87" s="41">
        <f t="shared" ref="AQ87" si="496">IFERROR(AQ85+AQ86,"n/a")</f>
        <v>-10302.737999999998</v>
      </c>
      <c r="AR87" s="41">
        <f t="shared" ref="AR87" si="497">IFERROR(AR85+AR86,"n/a")</f>
        <v>-7900.380000000001</v>
      </c>
      <c r="AS87" s="41">
        <f t="shared" ref="AS87" si="498">IFERROR(AS85+AS86,"n/a")</f>
        <v>-8728.8019999999997</v>
      </c>
      <c r="AT87" s="41">
        <f t="shared" ref="AT87" si="499">IFERROR(AT85+AT86,"n/a")</f>
        <v>8392.1419999999998</v>
      </c>
      <c r="AU87" s="41">
        <f t="shared" ref="AU87:AW87" si="500">IFERROR(AU85+AU86,"n/a")</f>
        <v>32626.090000000018</v>
      </c>
      <c r="AV87" s="41">
        <f t="shared" ref="AV87" si="501">IFERROR(AV85+AV86,"n/a")</f>
        <v>59484.996999999996</v>
      </c>
      <c r="AW87" s="41">
        <f t="shared" si="500"/>
        <v>112575.98019473655</v>
      </c>
      <c r="AX87" s="41">
        <f t="shared" ref="AX87" si="502">IFERROR(AX85+AX86,"n/a")</f>
        <v>112090.988257552</v>
      </c>
    </row>
    <row r="88" spans="1:52" ht="10.15" x14ac:dyDescent="0.2">
      <c r="B88" s="30" t="s">
        <v>86</v>
      </c>
      <c r="L88" s="46">
        <f>IFERROR(L87/H87-1,"n/a")</f>
        <v>14.215929656721499</v>
      </c>
      <c r="M88" s="46">
        <f t="shared" ref="M88" si="503">IFERROR(M87/I87-1,"n/a")</f>
        <v>-0.79561401491568762</v>
      </c>
      <c r="N88" s="46">
        <f t="shared" ref="N88" si="504">IFERROR(N87/J87-1,"n/a")</f>
        <v>1.2986817256734629</v>
      </c>
      <c r="O88" s="46">
        <f t="shared" ref="O88" si="505">IFERROR(O87/K87-1,"n/a")</f>
        <v>-0.21489290411202999</v>
      </c>
      <c r="P88" s="46">
        <f t="shared" ref="P88" si="506">IFERROR(P87/L87-1,"n/a")</f>
        <v>1.159212483330152</v>
      </c>
      <c r="Q88" s="46">
        <f t="shared" ref="Q88" si="507">IFERROR(Q87/M87-1,"n/a")</f>
        <v>0.10950480867031454</v>
      </c>
      <c r="R88" s="46">
        <f t="shared" ref="R88" si="508">IFERROR(R87/N87-1,"n/a")</f>
        <v>-0.5696673552033551</v>
      </c>
      <c r="S88" s="46">
        <f t="shared" ref="S88" si="509">IFERROR(S87/O87-1,"n/a")</f>
        <v>-4.6033440101931999E-2</v>
      </c>
      <c r="T88" s="46">
        <f t="shared" ref="T88" si="510">IFERROR(T87/P87-1,"n/a")</f>
        <v>-0.1089284081172035</v>
      </c>
      <c r="U88" s="46">
        <f t="shared" ref="U88" si="511">IFERROR(U87/Q87-1,"n/a")</f>
        <v>-2.6058251457429171</v>
      </c>
      <c r="V88" s="46">
        <f t="shared" ref="V88" si="512">IFERROR(V87/R87-1,"n/a")</f>
        <v>-3.2183880625736347</v>
      </c>
      <c r="W88" s="46">
        <f t="shared" ref="W88" si="513">IFERROR(W87/S87-1,"n/a")</f>
        <v>-4.8627225841278765</v>
      </c>
      <c r="X88" s="46">
        <f t="shared" ref="X88" si="514">IFERROR(X87/T87-1,"n/a")</f>
        <v>-1.7183590013651857</v>
      </c>
      <c r="Y88" s="46">
        <f t="shared" ref="Y88" si="515">IFERROR(Y87/U87-1,"n/a")</f>
        <v>2.9021277775622378</v>
      </c>
      <c r="Z88" s="46">
        <f t="shared" ref="Z88" si="516">IFERROR(Z87/V87-1,"n/a")</f>
        <v>3.3741120091106014</v>
      </c>
      <c r="AA88" s="46">
        <f t="shared" ref="AA88" si="517">IFERROR(AA87/W87-1,"n/a")</f>
        <v>0.32811796953416383</v>
      </c>
      <c r="AB88" s="46">
        <f t="shared" ref="AB88" si="518">IFERROR(AB87/X87-1,"n/a")</f>
        <v>1.6289292739678793</v>
      </c>
      <c r="AC88" s="46">
        <f t="shared" ref="AC88" si="519">IFERROR(AC87/Y87-1,"n/a")</f>
        <v>0.39576587982164102</v>
      </c>
      <c r="AD88" s="46">
        <f t="shared" ref="AD88:AF88" si="520">IFERROR(AD87/Z87-1,"n/a")</f>
        <v>0.53307634659060166</v>
      </c>
      <c r="AE88" s="46">
        <f t="shared" si="520"/>
        <v>1.3363027054216805</v>
      </c>
      <c r="AF88" s="46">
        <f t="shared" si="520"/>
        <v>2.7096477913776922</v>
      </c>
      <c r="AG88" s="46">
        <f t="shared" ref="AG88" si="521">IFERROR(AG87/AC87-1,"n/a")</f>
        <v>1.5569849631357</v>
      </c>
      <c r="AH88" s="46">
        <f t="shared" ref="AH88" si="522">IFERROR(AH87/AD87-1,"n/a")</f>
        <v>0.46147841176576998</v>
      </c>
      <c r="AI88" s="46">
        <f t="shared" ref="AI88:AJ88" si="523">IFERROR(AI87/AE87-1,"n/a")</f>
        <v>0.26103277201887631</v>
      </c>
      <c r="AJ88" s="46">
        <f t="shared" si="523"/>
        <v>-0.13461316690208325</v>
      </c>
      <c r="AK88" s="46">
        <f t="shared" ref="AK88" si="524">IFERROR(AK87/AG87-1,"n/a")</f>
        <v>-0.13346058013316486</v>
      </c>
      <c r="AL88" s="46">
        <f t="shared" ref="AL88" si="525">IFERROR(AL87/AH87-1,"n/a")</f>
        <v>8.4041453634833063E-2</v>
      </c>
      <c r="AM88" s="46">
        <f t="shared" ref="AM88" si="526">IFERROR(AM87/AI87-1,"n/a")</f>
        <v>0.18992865827314431</v>
      </c>
      <c r="AP88" s="28">
        <f>IFERROR(AP87/AO87-1,"n/a")</f>
        <v>1.043975715792091</v>
      </c>
      <c r="AQ88" s="28">
        <f t="shared" ref="AQ88" si="527">IFERROR(AQ87/AP87-1,"n/a")</f>
        <v>16.6580325267071</v>
      </c>
      <c r="AR88" s="28">
        <f t="shared" ref="AR88" si="528">IFERROR(AR87/AQ87-1,"n/a")</f>
        <v>-0.233176656535379</v>
      </c>
      <c r="AS88" s="28">
        <f t="shared" ref="AS88" si="529">IFERROR(AS87/AR87-1,"n/a")</f>
        <v>0.10485850047719203</v>
      </c>
      <c r="AT88" s="28">
        <f t="shared" ref="AT88" si="530">IFERROR(AT87/AS87-1,"n/a")</f>
        <v>-1.9614311333903554</v>
      </c>
      <c r="AU88" s="28">
        <f t="shared" ref="AU88:AV88" si="531">IFERROR(AU87/AT87-1,"n/a")</f>
        <v>2.8876951796096897</v>
      </c>
      <c r="AV88" s="28">
        <f t="shared" si="531"/>
        <v>0.82323401302454458</v>
      </c>
      <c r="AW88" s="28">
        <f t="shared" ref="AW88:AX88" si="532">IFERROR(AW87/AV87-1,"n/a")</f>
        <v>0.89251047948672757</v>
      </c>
      <c r="AX88" s="28">
        <f t="shared" si="532"/>
        <v>-4.3081298190394968E-3</v>
      </c>
    </row>
    <row r="89" spans="1:52" ht="10.15" x14ac:dyDescent="0.2">
      <c r="B89" s="30" t="s">
        <v>88</v>
      </c>
      <c r="H89" s="44">
        <f t="shared" ref="H89:AI89" si="533">IFERROR(H87/H16,"n/a")</f>
        <v>-9.3082390344098681E-2</v>
      </c>
      <c r="I89" s="44">
        <f t="shared" si="533"/>
        <v>-2.403786886601408</v>
      </c>
      <c r="J89" s="44">
        <f t="shared" si="533"/>
        <v>-0.33958668528041308</v>
      </c>
      <c r="K89" s="44">
        <f t="shared" si="533"/>
        <v>-0.44511725665829821</v>
      </c>
      <c r="L89" s="44">
        <f t="shared" si="533"/>
        <v>-0.43145769694825598</v>
      </c>
      <c r="M89" s="44">
        <f t="shared" si="533"/>
        <v>-0.18257253627156525</v>
      </c>
      <c r="N89" s="44">
        <f t="shared" si="533"/>
        <v>-0.35035047487685572</v>
      </c>
      <c r="O89" s="44">
        <f t="shared" si="533"/>
        <v>-0.183072029253777</v>
      </c>
      <c r="P89" s="44">
        <f t="shared" si="533"/>
        <v>-0.64734964934577099</v>
      </c>
      <c r="Q89" s="44">
        <f t="shared" si="533"/>
        <v>-0.1211074469904207</v>
      </c>
      <c r="R89" s="44">
        <f t="shared" si="533"/>
        <v>-7.972376001264489E-2</v>
      </c>
      <c r="S89" s="44">
        <f t="shared" si="533"/>
        <v>-7.1000147319680101E-2</v>
      </c>
      <c r="T89" s="44">
        <f t="shared" si="533"/>
        <v>-0.17021221405651688</v>
      </c>
      <c r="U89" s="44">
        <f t="shared" si="533"/>
        <v>0.10289427073073157</v>
      </c>
      <c r="V89" s="44">
        <f t="shared" si="533"/>
        <v>0.11685786662344094</v>
      </c>
      <c r="W89" s="44">
        <f t="shared" si="533"/>
        <v>0.26737354109465983</v>
      </c>
      <c r="X89" s="44">
        <f t="shared" si="533"/>
        <v>0.1139145867629016</v>
      </c>
      <c r="Y89" s="44">
        <f t="shared" si="533"/>
        <v>0.29431731536514744</v>
      </c>
      <c r="Z89" s="44">
        <f t="shared" si="533"/>
        <v>0.30961472304878868</v>
      </c>
      <c r="AA89" s="44">
        <f t="shared" si="533"/>
        <v>0.24283702788958345</v>
      </c>
      <c r="AB89" s="44">
        <f t="shared" si="533"/>
        <v>0.18932346584017615</v>
      </c>
      <c r="AC89" s="44">
        <f t="shared" si="533"/>
        <v>0.24703766193245733</v>
      </c>
      <c r="AD89" s="44">
        <f t="shared" si="533"/>
        <v>0.24480663751797616</v>
      </c>
      <c r="AE89" s="44">
        <f t="shared" si="533"/>
        <v>0.25417713121615726</v>
      </c>
      <c r="AF89" s="44">
        <f t="shared" ref="AF89" si="534">IFERROR(AF87/AF16,"n/a")</f>
        <v>0.30448972593692009</v>
      </c>
      <c r="AG89" s="44">
        <f t="shared" si="533"/>
        <v>0.34024750287459898</v>
      </c>
      <c r="AH89" s="44">
        <f t="shared" si="533"/>
        <v>0.25228821355351305</v>
      </c>
      <c r="AI89" s="44">
        <f t="shared" si="533"/>
        <v>0.25814369712230584</v>
      </c>
      <c r="AJ89" s="44">
        <f t="shared" ref="AJ89:AM89" si="535">IFERROR(AJ87/AJ16,"n/a")</f>
        <v>0.23788698169361747</v>
      </c>
      <c r="AK89" s="44">
        <f t="shared" si="535"/>
        <v>0.25284113762220589</v>
      </c>
      <c r="AL89" s="44">
        <f t="shared" si="535"/>
        <v>0.22938343707290343</v>
      </c>
      <c r="AM89" s="44">
        <f t="shared" si="535"/>
        <v>0.25188821564138769</v>
      </c>
      <c r="AO89" s="44">
        <f t="shared" ref="AO89:AW89" si="536">IFERROR(AO87/AO16,"n/a")</f>
        <v>-0.56540573302909314</v>
      </c>
      <c r="AP89" s="44">
        <f t="shared" si="536"/>
        <v>-0.33453760042566943</v>
      </c>
      <c r="AQ89" s="44">
        <f t="shared" si="536"/>
        <v>-0.78527026316331006</v>
      </c>
      <c r="AR89" s="44">
        <f t="shared" si="536"/>
        <v>-0.26210635923710951</v>
      </c>
      <c r="AS89" s="44">
        <f t="shared" si="536"/>
        <v>-0.14672261493231048</v>
      </c>
      <c r="AT89" s="44">
        <f t="shared" si="536"/>
        <v>8.9325678008157092E-2</v>
      </c>
      <c r="AU89" s="44">
        <f t="shared" si="536"/>
        <v>0.24989807371519412</v>
      </c>
      <c r="AV89" s="44">
        <f t="shared" ref="AV89" si="537">IFERROR(AV87/AV16,"n/a")</f>
        <v>0.24020831838803552</v>
      </c>
      <c r="AW89" s="44">
        <f t="shared" si="536"/>
        <v>0.28728883065443034</v>
      </c>
      <c r="AX89" s="44">
        <f t="shared" ref="AX89" si="538">IFERROR(AX87/AX16,"n/a")</f>
        <v>0.24350708989269884</v>
      </c>
    </row>
    <row r="90" spans="1:52" ht="10.15" x14ac:dyDescent="0.2">
      <c r="B90" s="4"/>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O90" s="37"/>
      <c r="AP90" s="37"/>
      <c r="AQ90" s="37"/>
      <c r="AR90" s="37"/>
      <c r="AS90" s="37"/>
      <c r="AT90" s="37"/>
      <c r="AU90" s="37"/>
      <c r="AV90" s="37"/>
      <c r="AW90" s="37"/>
      <c r="AX90" s="37"/>
    </row>
    <row r="91" spans="1:52" ht="12" x14ac:dyDescent="0.35">
      <c r="A91" t="s">
        <v>259</v>
      </c>
      <c r="B91" t="s">
        <v>220</v>
      </c>
      <c r="H91" s="57">
        <f>+$AQ91/4</f>
        <v>-6.8327499999999999</v>
      </c>
      <c r="I91" s="57">
        <f t="shared" ref="I91:K91" si="539">+$AQ91/4</f>
        <v>-6.8327499999999999</v>
      </c>
      <c r="J91" s="57">
        <f t="shared" si="539"/>
        <v>-6.8327499999999999</v>
      </c>
      <c r="K91" s="57">
        <f t="shared" si="539"/>
        <v>-6.8327499999999999</v>
      </c>
      <c r="L91" s="57">
        <f>+$AR91/4</f>
        <v>-6.859</v>
      </c>
      <c r="M91" s="57">
        <f t="shared" ref="M91:O91" si="540">+$AR91/4</f>
        <v>-6.859</v>
      </c>
      <c r="N91" s="57">
        <f t="shared" si="540"/>
        <v>-6.859</v>
      </c>
      <c r="O91" s="57">
        <f t="shared" si="540"/>
        <v>-6.859</v>
      </c>
      <c r="P91" s="57">
        <f>+$AS91/4</f>
        <v>-10.7615</v>
      </c>
      <c r="Q91" s="57">
        <f t="shared" ref="Q91:S91" si="541">+$AS91/4</f>
        <v>-10.7615</v>
      </c>
      <c r="R91" s="57">
        <f t="shared" si="541"/>
        <v>-10.7615</v>
      </c>
      <c r="S91" s="57">
        <f t="shared" si="541"/>
        <v>-10.7615</v>
      </c>
      <c r="T91" s="57">
        <f>+$AT91/4</f>
        <v>-821.80799999999999</v>
      </c>
      <c r="U91" s="57">
        <f t="shared" ref="U91:W91" si="542">+$AT91/4</f>
        <v>-821.80799999999999</v>
      </c>
      <c r="V91" s="57">
        <f t="shared" si="542"/>
        <v>-821.80799999999999</v>
      </c>
      <c r="W91" s="57">
        <f t="shared" si="542"/>
        <v>-821.80799999999999</v>
      </c>
      <c r="X91" s="57">
        <f>+$AU91/4</f>
        <v>-158.929</v>
      </c>
      <c r="Y91" s="57">
        <f t="shared" ref="Y91:AA91" si="543">+$AU91/4</f>
        <v>-158.929</v>
      </c>
      <c r="Z91" s="57">
        <f t="shared" si="543"/>
        <v>-158.929</v>
      </c>
      <c r="AA91" s="57">
        <f t="shared" si="543"/>
        <v>-158.929</v>
      </c>
      <c r="AB91" s="57">
        <f>+$AV91/4</f>
        <v>-145.96975</v>
      </c>
      <c r="AC91" s="57">
        <f t="shared" ref="AC91:AE91" si="544">+$AV91/4</f>
        <v>-145.96975</v>
      </c>
      <c r="AD91" s="57">
        <f t="shared" si="544"/>
        <v>-145.96975</v>
      </c>
      <c r="AE91" s="57">
        <f t="shared" si="544"/>
        <v>-145.96975</v>
      </c>
      <c r="AF91" s="57">
        <f t="shared" ref="AF91:AI91" si="545">+$AW91/4</f>
        <v>-682.01492024038862</v>
      </c>
      <c r="AG91" s="57">
        <f t="shared" si="545"/>
        <v>-682.01492024038862</v>
      </c>
      <c r="AH91" s="57">
        <f t="shared" si="545"/>
        <v>-682.01492024038862</v>
      </c>
      <c r="AI91" s="57">
        <f t="shared" si="545"/>
        <v>-682.01492024038862</v>
      </c>
      <c r="AJ91" s="57">
        <f>+$AX91/4</f>
        <v>-765.75</v>
      </c>
      <c r="AK91" s="57">
        <f t="shared" ref="AK91:AM91" si="546">+$AX91/4</f>
        <v>-765.75</v>
      </c>
      <c r="AL91" s="57">
        <f t="shared" si="546"/>
        <v>-765.75</v>
      </c>
      <c r="AM91" s="57">
        <f t="shared" si="546"/>
        <v>-765.75</v>
      </c>
      <c r="AO91" s="35">
        <f t="shared" ref="AO91:AU91" si="547">AO681</f>
        <v>-2.3010000000000002</v>
      </c>
      <c r="AP91" s="35">
        <f t="shared" si="547"/>
        <v>-8.9209999999999994</v>
      </c>
      <c r="AQ91" s="35">
        <f t="shared" si="547"/>
        <v>-27.331</v>
      </c>
      <c r="AR91" s="35">
        <f t="shared" si="547"/>
        <v>-27.436</v>
      </c>
      <c r="AS91" s="35">
        <f t="shared" si="547"/>
        <v>-43.045999999999999</v>
      </c>
      <c r="AT91" s="35">
        <f t="shared" si="547"/>
        <v>-3287.232</v>
      </c>
      <c r="AU91" s="35">
        <f t="shared" si="547"/>
        <v>-635.71600000000001</v>
      </c>
      <c r="AV91" s="35">
        <f t="shared" ref="AV91" si="548">AV681</f>
        <v>-583.87900000000002</v>
      </c>
      <c r="AW91" s="54">
        <v>-2728.0596809615545</v>
      </c>
      <c r="AX91" s="54">
        <v>-3063</v>
      </c>
    </row>
    <row r="92" spans="1:52" s="1" customFormat="1" ht="10.15" x14ac:dyDescent="0.2">
      <c r="B92" s="38" t="s">
        <v>221</v>
      </c>
      <c r="H92" s="41">
        <f t="shared" ref="H92:K92" si="549">IFERROR(H87+H91,"n/a")</f>
        <v>-135.7150000000004</v>
      </c>
      <c r="I92" s="41">
        <f t="shared" si="549"/>
        <v>-6518.8019999999988</v>
      </c>
      <c r="J92" s="41">
        <f t="shared" si="549"/>
        <v>-1152.0610000000001</v>
      </c>
      <c r="K92" s="41">
        <f t="shared" si="549"/>
        <v>-2523.4909999999986</v>
      </c>
      <c r="L92" s="41">
        <f>IFERROR(L87+L91,"n/a")</f>
        <v>-1967.9222500000005</v>
      </c>
      <c r="M92" s="41">
        <f t="shared" ref="M92:AO92" si="550">IFERROR(M87+M91,"n/a")</f>
        <v>-1337.8142500000008</v>
      </c>
      <c r="N92" s="41">
        <f t="shared" si="550"/>
        <v>-2639.3742500000003</v>
      </c>
      <c r="O92" s="41">
        <f t="shared" si="550"/>
        <v>-1982.7052499999995</v>
      </c>
      <c r="P92" s="41">
        <f t="shared" si="550"/>
        <v>-4245.1137499999995</v>
      </c>
      <c r="Q92" s="41">
        <f t="shared" si="550"/>
        <v>-1487.4627500000017</v>
      </c>
      <c r="R92" s="41">
        <f t="shared" si="550"/>
        <v>-1143.6187500000012</v>
      </c>
      <c r="S92" s="41">
        <f t="shared" si="550"/>
        <v>-1895.6527499999977</v>
      </c>
      <c r="T92" s="41">
        <f t="shared" si="550"/>
        <v>-4594.9190000000008</v>
      </c>
      <c r="U92" s="41">
        <f t="shared" si="550"/>
        <v>1549.5160000000005</v>
      </c>
      <c r="V92" s="41">
        <f t="shared" si="550"/>
        <v>1691.3089999999984</v>
      </c>
      <c r="W92" s="41">
        <f t="shared" si="550"/>
        <v>6459.0040000000135</v>
      </c>
      <c r="X92" s="41">
        <f t="shared" si="550"/>
        <v>2551.5192499999971</v>
      </c>
      <c r="Y92" s="41">
        <f t="shared" si="550"/>
        <v>9094.280249999998</v>
      </c>
      <c r="Z92" s="41">
        <f t="shared" si="550"/>
        <v>10833.72625</v>
      </c>
      <c r="AA92" s="41">
        <f t="shared" si="550"/>
        <v>9510.8482499999918</v>
      </c>
      <c r="AB92" s="41">
        <f t="shared" si="550"/>
        <v>6979.6070000000018</v>
      </c>
      <c r="AC92" s="41">
        <f t="shared" si="550"/>
        <v>12769.343999999994</v>
      </c>
      <c r="AD92" s="41">
        <f t="shared" si="550"/>
        <v>16706.609999999997</v>
      </c>
      <c r="AE92" s="41">
        <f t="shared" ref="AE92:AF92" si="551">IFERROR(AE87+AE91,"n/a")</f>
        <v>22445.556999999997</v>
      </c>
      <c r="AF92" s="41">
        <f t="shared" si="551"/>
        <v>25751.365132689352</v>
      </c>
      <c r="AG92" s="41">
        <f t="shared" si="550"/>
        <v>32342.248132689343</v>
      </c>
      <c r="AH92" s="41">
        <f t="shared" si="550"/>
        <v>23947.666566945583</v>
      </c>
      <c r="AI92" s="41">
        <f t="shared" si="550"/>
        <v>27806.640681450706</v>
      </c>
      <c r="AJ92" s="41">
        <f t="shared" ref="AJ92:AM92" si="552">IFERROR(AJ87+AJ91,"n/a")</f>
        <v>22109.349052078513</v>
      </c>
      <c r="AK92" s="41">
        <f t="shared" si="552"/>
        <v>27851.075747415489</v>
      </c>
      <c r="AL92" s="41">
        <f t="shared" si="552"/>
        <v>25933.845721932019</v>
      </c>
      <c r="AM92" s="41">
        <f t="shared" si="552"/>
        <v>33133.717736125982</v>
      </c>
      <c r="AO92" s="41">
        <f t="shared" si="550"/>
        <v>-287.75400000000008</v>
      </c>
      <c r="AP92" s="41">
        <f t="shared" ref="AP92" si="553">IFERROR(AP87+AP91,"n/a")</f>
        <v>-592.38</v>
      </c>
      <c r="AQ92" s="41">
        <f t="shared" ref="AQ92" si="554">IFERROR(AQ87+AQ91,"n/a")</f>
        <v>-10330.068999999998</v>
      </c>
      <c r="AR92" s="41">
        <f t="shared" ref="AR92" si="555">IFERROR(AR87+AR91,"n/a")</f>
        <v>-7927.8160000000007</v>
      </c>
      <c r="AS92" s="41">
        <f t="shared" ref="AS92" si="556">IFERROR(AS87+AS91,"n/a")</f>
        <v>-8771.848</v>
      </c>
      <c r="AT92" s="41">
        <f t="shared" ref="AT92" si="557">IFERROR(AT87+AT91,"n/a")</f>
        <v>5104.91</v>
      </c>
      <c r="AU92" s="41">
        <f t="shared" ref="AU92" si="558">IFERROR(AU87+AU91,"n/a")</f>
        <v>31990.374000000018</v>
      </c>
      <c r="AV92" s="41">
        <f t="shared" ref="AV92" si="559">IFERROR(AV87+AV91,"n/a")</f>
        <v>58901.117999999995</v>
      </c>
      <c r="AW92" s="41">
        <f t="shared" ref="AW92:AX92" si="560">IFERROR(AW87+AW91,"n/a")</f>
        <v>109847.920513775</v>
      </c>
      <c r="AX92" s="41">
        <f t="shared" si="560"/>
        <v>109027.988257552</v>
      </c>
      <c r="AY92" s="42"/>
      <c r="AZ92" s="42"/>
    </row>
    <row r="93" spans="1:52" ht="10.15" x14ac:dyDescent="0.2">
      <c r="B93" s="30" t="s">
        <v>86</v>
      </c>
      <c r="L93" s="46">
        <f>IFERROR(L92/H92-1,"n/a")</f>
        <v>13.500403418929334</v>
      </c>
      <c r="M93" s="46">
        <f t="shared" ref="M93" si="561">IFERROR(M92/I92-1,"n/a")</f>
        <v>-0.79477605701170229</v>
      </c>
      <c r="N93" s="46">
        <f t="shared" ref="N93" si="562">IFERROR(N92/J92-1,"n/a")</f>
        <v>1.2910021691559734</v>
      </c>
      <c r="O93" s="46">
        <f t="shared" ref="O93" si="563">IFERROR(O92/K92-1,"n/a")</f>
        <v>-0.21430064541541827</v>
      </c>
      <c r="P93" s="46">
        <f t="shared" ref="P93" si="564">IFERROR(P92/L92-1,"n/a")</f>
        <v>1.1571552178954216</v>
      </c>
      <c r="Q93" s="46">
        <f t="shared" ref="Q93" si="565">IFERROR(Q92/M92-1,"n/a")</f>
        <v>0.11186044699404341</v>
      </c>
      <c r="R93" s="46">
        <f t="shared" ref="R93" si="566">IFERROR(R92/N92-1,"n/a")</f>
        <v>-0.5667083779422335</v>
      </c>
      <c r="S93" s="46">
        <f t="shared" ref="S93" si="567">IFERROR(S92/O92-1,"n/a")</f>
        <v>-4.3905920963290823E-2</v>
      </c>
      <c r="T93" s="46">
        <f t="shared" ref="T93" si="568">IFERROR(T92/P92-1,"n/a")</f>
        <v>8.2401855545096048E-2</v>
      </c>
      <c r="U93" s="46">
        <f t="shared" ref="U93" si="569">IFERROR(U92/Q92-1,"n/a")</f>
        <v>-2.0417175152789531</v>
      </c>
      <c r="V93" s="46">
        <f t="shared" ref="V93" si="570">IFERROR(V92/R92-1,"n/a")</f>
        <v>-2.4789098202525945</v>
      </c>
      <c r="W93" s="46">
        <f t="shared" ref="W93" si="571">IFERROR(W92/S92-1,"n/a")</f>
        <v>-4.4072717168268403</v>
      </c>
      <c r="X93" s="46">
        <f t="shared" ref="X93" si="572">IFERROR(X92/T92-1,"n/a")</f>
        <v>-1.5552914534510829</v>
      </c>
      <c r="Y93" s="46">
        <f t="shared" ref="Y93" si="573">IFERROR(Y92/U92-1,"n/a")</f>
        <v>4.8691102576546452</v>
      </c>
      <c r="Z93" s="46">
        <f t="shared" ref="Z93" si="574">IFERROR(Z92/V92-1,"n/a")</f>
        <v>5.4055274642303743</v>
      </c>
      <c r="AA93" s="46">
        <f t="shared" ref="AA93" si="575">IFERROR(AA92/W92-1,"n/a")</f>
        <v>0.4724945595327037</v>
      </c>
      <c r="AB93" s="46">
        <f t="shared" ref="AB93" si="576">IFERROR(AB92/X92-1,"n/a")</f>
        <v>1.7354710335812711</v>
      </c>
      <c r="AC93" s="46">
        <f t="shared" ref="AC93" si="577">IFERROR(AC92/Y92-1,"n/a")</f>
        <v>0.40410715845269851</v>
      </c>
      <c r="AD93" s="46">
        <f t="shared" ref="AD93:AF93" si="578">IFERROR(AD92/Z92-1,"n/a")</f>
        <v>0.54209268486916007</v>
      </c>
      <c r="AE93" s="46">
        <f t="shared" si="578"/>
        <v>1.3599952822294283</v>
      </c>
      <c r="AF93" s="46">
        <f t="shared" si="578"/>
        <v>2.689515059041196</v>
      </c>
      <c r="AG93" s="46">
        <f t="shared" ref="AG93" si="579">IFERROR(AG92/AC92-1,"n/a")</f>
        <v>1.5328042014287782</v>
      </c>
      <c r="AH93" s="46">
        <f t="shared" ref="AH93" si="580">IFERROR(AH92/AD92-1,"n/a")</f>
        <v>0.43342464850413021</v>
      </c>
      <c r="AI93" s="46">
        <f t="shared" ref="AI93:AJ93" si="581">IFERROR(AI92/AE92-1,"n/a")</f>
        <v>0.23884832447912574</v>
      </c>
      <c r="AJ93" s="46">
        <f t="shared" si="581"/>
        <v>-0.14143001980068171</v>
      </c>
      <c r="AK93" s="46">
        <f t="shared" ref="AK93" si="582">IFERROR(AK92/AG92-1,"n/a")</f>
        <v>-0.13886395178368827</v>
      </c>
      <c r="AL93" s="46">
        <f t="shared" ref="AL93" si="583">IFERROR(AL92/AH92-1,"n/a")</f>
        <v>8.2938316743056406E-2</v>
      </c>
      <c r="AM93" s="46">
        <f t="shared" ref="AM93" si="584">IFERROR(AM92/AI92-1,"n/a")</f>
        <v>0.19157571443820154</v>
      </c>
      <c r="AP93" s="28">
        <f>IFERROR(AP92/AO92-1,"n/a")</f>
        <v>1.0586334160428694</v>
      </c>
      <c r="AQ93" s="28">
        <f t="shared" ref="AQ93" si="585">IFERROR(AQ92/AP92-1,"n/a")</f>
        <v>16.438247408757888</v>
      </c>
      <c r="AR93" s="28">
        <f t="shared" ref="AR93" si="586">IFERROR(AR92/AQ92-1,"n/a")</f>
        <v>-0.23254955993033521</v>
      </c>
      <c r="AS93" s="28">
        <f t="shared" ref="AS93" si="587">IFERROR(AS92/AR92-1,"n/a")</f>
        <v>0.10646463035973586</v>
      </c>
      <c r="AT93" s="28">
        <f t="shared" ref="AT93" si="588">IFERROR(AT92/AS92-1,"n/a")</f>
        <v>-1.5819651685710925</v>
      </c>
      <c r="AU93" s="28">
        <f t="shared" ref="AU93:AX93" si="589">IFERROR(AU92/AT92-1,"n/a")</f>
        <v>5.2665892248834982</v>
      </c>
      <c r="AV93" s="28">
        <f t="shared" si="589"/>
        <v>0.84121379762549697</v>
      </c>
      <c r="AW93" s="28">
        <f t="shared" si="589"/>
        <v>0.86495476221308754</v>
      </c>
      <c r="AX93" s="28">
        <f t="shared" si="589"/>
        <v>-7.4642492310099673E-3</v>
      </c>
    </row>
    <row r="94" spans="1:52" ht="10.15" x14ac:dyDescent="0.2">
      <c r="B94" s="30" t="s">
        <v>88</v>
      </c>
      <c r="H94" s="44">
        <f t="shared" ref="H94:AI94" si="590">IFERROR(H92/H16,"n/a")</f>
        <v>-9.8017194808046507E-2</v>
      </c>
      <c r="I94" s="44">
        <f t="shared" si="590"/>
        <v>-2.4063090844526074</v>
      </c>
      <c r="J94" s="44">
        <f t="shared" si="590"/>
        <v>-0.34161275381640122</v>
      </c>
      <c r="K94" s="44">
        <f t="shared" si="590"/>
        <v>-0.44632575405178898</v>
      </c>
      <c r="L94" s="44">
        <f t="shared" si="590"/>
        <v>-0.43296676012781837</v>
      </c>
      <c r="M94" s="44">
        <f t="shared" si="590"/>
        <v>-0.18351341315400488</v>
      </c>
      <c r="N94" s="44">
        <f t="shared" si="590"/>
        <v>-0.35126331057920551</v>
      </c>
      <c r="O94" s="44">
        <f t="shared" si="590"/>
        <v>-0.1837075498812811</v>
      </c>
      <c r="P94" s="44">
        <f t="shared" si="590"/>
        <v>-0.64899487223704899</v>
      </c>
      <c r="Q94" s="44">
        <f t="shared" si="590"/>
        <v>-0.12199002076137636</v>
      </c>
      <c r="R94" s="44">
        <f t="shared" si="590"/>
        <v>-8.0481090420669463E-2</v>
      </c>
      <c r="S94" s="44">
        <f t="shared" si="590"/>
        <v>-7.1405511865449384E-2</v>
      </c>
      <c r="T94" s="44">
        <f t="shared" si="590"/>
        <v>-0.20728553610014558</v>
      </c>
      <c r="U94" s="44">
        <f t="shared" si="590"/>
        <v>6.7235147455851782E-2</v>
      </c>
      <c r="V94" s="44">
        <f t="shared" si="590"/>
        <v>7.8644472796541201E-2</v>
      </c>
      <c r="W94" s="44">
        <f t="shared" si="590"/>
        <v>0.23719425407833258</v>
      </c>
      <c r="X94" s="44">
        <f t="shared" si="590"/>
        <v>0.10723512650770535</v>
      </c>
      <c r="Y94" s="44">
        <f t="shared" si="590"/>
        <v>0.28926225226758834</v>
      </c>
      <c r="Z94" s="44">
        <f t="shared" si="590"/>
        <v>0.30513839251714386</v>
      </c>
      <c r="AA94" s="44">
        <f t="shared" si="590"/>
        <v>0.23884584536203726</v>
      </c>
      <c r="AB94" s="44">
        <f t="shared" si="590"/>
        <v>0.18544511325940799</v>
      </c>
      <c r="AC94" s="44">
        <f t="shared" si="590"/>
        <v>0.24424562555990961</v>
      </c>
      <c r="AD94" s="44">
        <f t="shared" si="590"/>
        <v>0.2426862284051316</v>
      </c>
      <c r="AE94" s="44">
        <f t="shared" si="590"/>
        <v>0.25253482643924174</v>
      </c>
      <c r="AF94" s="44">
        <f t="shared" ref="AF94" si="591">IFERROR(AF92/AF16,"n/a")</f>
        <v>0.29663350264148614</v>
      </c>
      <c r="AG94" s="44">
        <f t="shared" si="590"/>
        <v>0.33322073370300276</v>
      </c>
      <c r="AH94" s="44">
        <f t="shared" si="590"/>
        <v>0.24530215788999141</v>
      </c>
      <c r="AI94" s="44">
        <f t="shared" si="590"/>
        <v>0.25196376868114145</v>
      </c>
      <c r="AJ94" s="44">
        <f t="shared" ref="AJ94:AM94" si="592">IFERROR(AJ92/AJ16,"n/a")</f>
        <v>0.22992365196913545</v>
      </c>
      <c r="AK94" s="44">
        <f t="shared" si="592"/>
        <v>0.24607542912458574</v>
      </c>
      <c r="AL94" s="44">
        <f t="shared" si="592"/>
        <v>0.22280467203211707</v>
      </c>
      <c r="AM94" s="44">
        <f t="shared" si="592"/>
        <v>0.24619835046035299</v>
      </c>
      <c r="AO94" s="44">
        <f t="shared" ref="AO94:AW94" si="593">IFERROR(AO92/AO16,"n/a")</f>
        <v>-0.56996339608290558</v>
      </c>
      <c r="AP94" s="44">
        <f t="shared" si="593"/>
        <v>-0.3396526298165905</v>
      </c>
      <c r="AQ94" s="44">
        <f t="shared" si="593"/>
        <v>-0.7873534202388871</v>
      </c>
      <c r="AR94" s="44">
        <f t="shared" si="593"/>
        <v>-0.26301658761498869</v>
      </c>
      <c r="AS94" s="44">
        <f t="shared" si="593"/>
        <v>-0.14744617604440538</v>
      </c>
      <c r="AT94" s="44">
        <f t="shared" si="593"/>
        <v>5.4336490841148923E-2</v>
      </c>
      <c r="AU94" s="44">
        <f t="shared" si="593"/>
        <v>0.24502883551257995</v>
      </c>
      <c r="AV94" s="44">
        <f t="shared" ref="AV94" si="594">IFERROR(AV92/AV16,"n/a")</f>
        <v>0.23785053743812495</v>
      </c>
      <c r="AW94" s="44">
        <f t="shared" si="593"/>
        <v>0.28032694522964247</v>
      </c>
      <c r="AX94" s="44">
        <f t="shared" ref="AX94" si="595">IFERROR(AX92/AX16,"n/a")</f>
        <v>0.23685301155923313</v>
      </c>
    </row>
    <row r="95" spans="1:52" ht="10.15" x14ac:dyDescent="0.2">
      <c r="B95" s="30"/>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O95" s="44"/>
      <c r="AP95" s="44"/>
      <c r="AQ95" s="44"/>
      <c r="AR95" s="44"/>
      <c r="AS95" s="44"/>
      <c r="AT95" s="44"/>
      <c r="AU95" s="44"/>
    </row>
    <row r="96" spans="1:52" ht="10.15" x14ac:dyDescent="0.2">
      <c r="B96" t="s">
        <v>238</v>
      </c>
      <c r="H96" s="10">
        <f>+H71</f>
        <v>50.162999999999997</v>
      </c>
      <c r="I96" s="10">
        <f t="shared" ref="I96:AD96" si="596">+I71</f>
        <v>136.601</v>
      </c>
      <c r="J96" s="10">
        <f t="shared" si="596"/>
        <v>164.81899999999999</v>
      </c>
      <c r="K96" s="10">
        <f t="shared" si="596"/>
        <v>233.35700000000008</v>
      </c>
      <c r="L96" s="10">
        <f t="shared" si="596"/>
        <v>252.102</v>
      </c>
      <c r="M96" s="10">
        <f t="shared" si="596"/>
        <v>402.56799999999998</v>
      </c>
      <c r="N96" s="10">
        <f t="shared" si="596"/>
        <v>414.61500000000001</v>
      </c>
      <c r="O96" s="10">
        <f t="shared" si="596"/>
        <v>470.81399999999996</v>
      </c>
      <c r="P96" s="10">
        <f t="shared" si="596"/>
        <v>449.96000000000004</v>
      </c>
      <c r="Q96" s="10">
        <f t="shared" si="596"/>
        <v>821.80299999999988</v>
      </c>
      <c r="R96" s="10">
        <f t="shared" si="596"/>
        <v>466.85599999999999</v>
      </c>
      <c r="S96" s="10">
        <f t="shared" si="596"/>
        <v>650.01699999999994</v>
      </c>
      <c r="T96" s="10">
        <f t="shared" si="596"/>
        <v>953.63199999999995</v>
      </c>
      <c r="U96" s="10">
        <f t="shared" si="596"/>
        <v>549.49299999999994</v>
      </c>
      <c r="V96" s="10">
        <f t="shared" si="596"/>
        <v>631.92499999999995</v>
      </c>
      <c r="W96" s="10">
        <f t="shared" si="596"/>
        <v>914.66799999999967</v>
      </c>
      <c r="X96" s="10">
        <f t="shared" si="596"/>
        <v>796.26099999999997</v>
      </c>
      <c r="Y96" s="10">
        <f t="shared" si="596"/>
        <v>756.99099999999999</v>
      </c>
      <c r="Z96" s="10">
        <f t="shared" si="596"/>
        <v>1092.1500000000001</v>
      </c>
      <c r="AA96" s="10">
        <f t="shared" si="596"/>
        <v>1351.6979999999999</v>
      </c>
      <c r="AB96" s="10">
        <f t="shared" si="596"/>
        <v>1463.5989999999999</v>
      </c>
      <c r="AC96" s="10">
        <f t="shared" si="596"/>
        <v>2287.741</v>
      </c>
      <c r="AD96" s="10">
        <f t="shared" si="596"/>
        <v>2127.3560000000002</v>
      </c>
      <c r="AE96" s="10">
        <f t="shared" ref="AE96:AF96" si="597">+AE71</f>
        <v>4359.384</v>
      </c>
      <c r="AF96" s="10">
        <f t="shared" si="597"/>
        <v>5048.5889999999999</v>
      </c>
      <c r="AG96" s="10">
        <f t="shared" ref="AG96:AI96" si="598">+AG71</f>
        <v>4855.5919999999996</v>
      </c>
      <c r="AH96" s="10">
        <f t="shared" si="598"/>
        <v>5000</v>
      </c>
      <c r="AI96" s="10">
        <f t="shared" si="598"/>
        <v>5000</v>
      </c>
      <c r="AJ96" s="10">
        <f t="shared" ref="AJ96:AM96" si="599">+AJ71</f>
        <v>5000</v>
      </c>
      <c r="AK96" s="10">
        <f t="shared" si="599"/>
        <v>5000</v>
      </c>
      <c r="AL96" s="10">
        <f t="shared" si="599"/>
        <v>5000</v>
      </c>
      <c r="AM96" s="10">
        <f t="shared" si="599"/>
        <v>5000</v>
      </c>
      <c r="AO96" s="10">
        <f>+AO71</f>
        <v>4.46</v>
      </c>
      <c r="AP96" s="10">
        <f t="shared" ref="AP96:AU96" si="600">+AP71</f>
        <v>80.783000000000001</v>
      </c>
      <c r="AQ96" s="10">
        <f t="shared" si="600"/>
        <v>584.94000000000005</v>
      </c>
      <c r="AR96" s="10">
        <f t="shared" si="600"/>
        <v>1540.0990000000002</v>
      </c>
      <c r="AS96" s="10">
        <f t="shared" si="600"/>
        <v>2388.636</v>
      </c>
      <c r="AT96" s="10">
        <f t="shared" si="600"/>
        <v>3049.7179999999998</v>
      </c>
      <c r="AU96" s="10">
        <f t="shared" si="600"/>
        <v>3997.1</v>
      </c>
      <c r="AV96" s="10">
        <f t="shared" ref="AV96" si="601">+AV71</f>
        <v>10238.08</v>
      </c>
      <c r="AW96" s="10">
        <f>+SUM(AF96:AI96)</f>
        <v>19904.181</v>
      </c>
      <c r="AX96" s="10">
        <f t="shared" ref="AX96:AX102" si="602">+SUM(AJ96:AM96)</f>
        <v>20000</v>
      </c>
    </row>
    <row r="97" spans="2:52" ht="10.15" x14ac:dyDescent="0.2">
      <c r="B97" t="s">
        <v>97</v>
      </c>
      <c r="H97" s="10">
        <f>+H72</f>
        <v>1.9489999999999998</v>
      </c>
      <c r="I97" s="10">
        <f t="shared" ref="I97:AD97" si="603">+I72</f>
        <v>5.7309999999999999</v>
      </c>
      <c r="J97" s="10">
        <f t="shared" si="603"/>
        <v>6.3369999999999997</v>
      </c>
      <c r="K97" s="10">
        <f t="shared" si="603"/>
        <v>-16.341000000000001</v>
      </c>
      <c r="L97" s="10">
        <f t="shared" si="603"/>
        <v>-9.2889999999999997</v>
      </c>
      <c r="M97" s="10">
        <f t="shared" si="603"/>
        <v>84.594999999999999</v>
      </c>
      <c r="N97" s="10">
        <f t="shared" si="603"/>
        <v>56.718000000000004</v>
      </c>
      <c r="O97" s="10">
        <f t="shared" si="603"/>
        <v>13.941000000000001</v>
      </c>
      <c r="P97" s="10">
        <f t="shared" si="603"/>
        <v>-31.664000000000001</v>
      </c>
      <c r="Q97" s="10">
        <f t="shared" si="603"/>
        <v>-174.23700000000002</v>
      </c>
      <c r="R97" s="10">
        <f t="shared" si="603"/>
        <v>303.89</v>
      </c>
      <c r="S97" s="10">
        <f t="shared" si="603"/>
        <v>231.983</v>
      </c>
      <c r="T97" s="10">
        <f t="shared" si="603"/>
        <v>183.67399999999998</v>
      </c>
      <c r="U97" s="10">
        <f t="shared" si="603"/>
        <v>391.94299999999998</v>
      </c>
      <c r="V97" s="10">
        <f t="shared" si="603"/>
        <v>27.260999999999996</v>
      </c>
      <c r="W97" s="10">
        <f t="shared" si="603"/>
        <v>192.19200000000004</v>
      </c>
      <c r="X97" s="10">
        <f t="shared" si="603"/>
        <v>325.45399999999995</v>
      </c>
      <c r="Y97" s="10">
        <f t="shared" si="603"/>
        <v>1089.345</v>
      </c>
      <c r="Z97" s="10">
        <f t="shared" si="603"/>
        <v>580.01600000000008</v>
      </c>
      <c r="AA97" s="10">
        <f t="shared" si="603"/>
        <v>298.4730000000003</v>
      </c>
      <c r="AB97" s="10">
        <f t="shared" si="603"/>
        <v>1691.759</v>
      </c>
      <c r="AC97" s="10">
        <f t="shared" si="603"/>
        <v>1520.8920000000001</v>
      </c>
      <c r="AD97" s="10">
        <f t="shared" si="603"/>
        <v>393.17900000000003</v>
      </c>
      <c r="AE97" s="10">
        <f t="shared" ref="AE97:AF97" si="604">+AE72</f>
        <v>132.43700000000001</v>
      </c>
      <c r="AF97" s="10">
        <f t="shared" si="604"/>
        <v>2121.203</v>
      </c>
      <c r="AG97" s="10">
        <f t="shared" ref="AG97:AI97" si="605">+AG72</f>
        <v>553.44000000000005</v>
      </c>
      <c r="AH97" s="10">
        <f t="shared" si="605"/>
        <v>500</v>
      </c>
      <c r="AI97" s="10">
        <f t="shared" si="605"/>
        <v>500</v>
      </c>
      <c r="AJ97" s="10">
        <f t="shared" ref="AJ97:AM97" si="606">+AJ72</f>
        <v>500</v>
      </c>
      <c r="AK97" s="10">
        <f t="shared" si="606"/>
        <v>500</v>
      </c>
      <c r="AL97" s="10">
        <f t="shared" si="606"/>
        <v>500</v>
      </c>
      <c r="AM97" s="10">
        <f t="shared" si="606"/>
        <v>500</v>
      </c>
      <c r="AO97" s="10">
        <f>+AO72</f>
        <v>-10.227</v>
      </c>
      <c r="AP97" s="10">
        <f t="shared" ref="AP97:AU97" si="607">+AP72</f>
        <v>-10.174000000000001</v>
      </c>
      <c r="AQ97" s="10">
        <f t="shared" si="607"/>
        <v>-2.3239999999999998</v>
      </c>
      <c r="AR97" s="10">
        <f t="shared" si="607"/>
        <v>145.965</v>
      </c>
      <c r="AS97" s="10">
        <f t="shared" si="607"/>
        <v>329.971</v>
      </c>
      <c r="AT97" s="10">
        <f t="shared" si="607"/>
        <v>795.06999999999994</v>
      </c>
      <c r="AU97" s="10">
        <f t="shared" si="607"/>
        <v>2293.288</v>
      </c>
      <c r="AV97" s="10">
        <f t="shared" ref="AV97" si="608">+AV72</f>
        <v>3738.2670000000003</v>
      </c>
      <c r="AW97" s="10">
        <f>+SUM(AF97:AI97)</f>
        <v>3674.643</v>
      </c>
      <c r="AX97" s="10">
        <f t="shared" si="602"/>
        <v>2000</v>
      </c>
    </row>
    <row r="98" spans="2:52" ht="10.15" x14ac:dyDescent="0.2">
      <c r="B98" t="s">
        <v>228</v>
      </c>
      <c r="H98" s="10">
        <f>+H74</f>
        <v>0</v>
      </c>
      <c r="I98" s="10">
        <f t="shared" ref="I98:AD98" si="609">+I74</f>
        <v>0</v>
      </c>
      <c r="J98" s="10">
        <f t="shared" si="609"/>
        <v>0</v>
      </c>
      <c r="K98" s="10">
        <f t="shared" si="609"/>
        <v>0</v>
      </c>
      <c r="L98" s="10">
        <f t="shared" si="609"/>
        <v>0</v>
      </c>
      <c r="M98" s="10">
        <f t="shared" si="609"/>
        <v>0</v>
      </c>
      <c r="N98" s="10">
        <f t="shared" si="609"/>
        <v>0</v>
      </c>
      <c r="O98" s="10">
        <f t="shared" si="609"/>
        <v>0</v>
      </c>
      <c r="P98" s="10">
        <f t="shared" si="609"/>
        <v>0</v>
      </c>
      <c r="Q98" s="10">
        <f t="shared" si="609"/>
        <v>0</v>
      </c>
      <c r="R98" s="10">
        <f t="shared" si="609"/>
        <v>0</v>
      </c>
      <c r="S98" s="10">
        <f t="shared" si="609"/>
        <v>0</v>
      </c>
      <c r="T98" s="10">
        <f t="shared" si="609"/>
        <v>0</v>
      </c>
      <c r="U98" s="10">
        <f t="shared" si="609"/>
        <v>0</v>
      </c>
      <c r="V98" s="10">
        <f t="shared" si="609"/>
        <v>-854.76599999999996</v>
      </c>
      <c r="W98" s="10">
        <f t="shared" si="609"/>
        <v>-1078.819</v>
      </c>
      <c r="X98" s="10">
        <f t="shared" si="609"/>
        <v>-564.81399999999996</v>
      </c>
      <c r="Y98" s="10">
        <f t="shared" si="609"/>
        <v>-1558.0630000000001</v>
      </c>
      <c r="Z98" s="10">
        <f t="shared" si="609"/>
        <v>-1537.1769999999999</v>
      </c>
      <c r="AA98" s="10">
        <f t="shared" si="609"/>
        <v>-1065.6130000000003</v>
      </c>
      <c r="AB98" s="10">
        <f t="shared" si="609"/>
        <v>-1597.7750000000001</v>
      </c>
      <c r="AC98" s="10">
        <f t="shared" si="609"/>
        <v>-3158.442</v>
      </c>
      <c r="AD98" s="10">
        <f t="shared" si="609"/>
        <v>-3513.48</v>
      </c>
      <c r="AE98" s="10">
        <f t="shared" ref="AE98:AF98" si="610">+AE74</f>
        <v>-3580.2069999999999</v>
      </c>
      <c r="AF98" s="10">
        <f t="shared" si="610"/>
        <v>-5067.7520000000004</v>
      </c>
      <c r="AG98" s="10">
        <f t="shared" ref="AG98:AI98" si="611">+AG74</f>
        <v>-5914.6130000000003</v>
      </c>
      <c r="AH98" s="10">
        <f t="shared" si="611"/>
        <v>-4450.4931651384359</v>
      </c>
      <c r="AI98" s="10">
        <f t="shared" si="611"/>
        <v>-5029.3392823142049</v>
      </c>
      <c r="AJ98" s="10">
        <f t="shared" ref="AJ98:AM98" si="612">+AJ74</f>
        <v>-4178.8273578117769</v>
      </c>
      <c r="AK98" s="10">
        <f t="shared" si="612"/>
        <v>-5040.0863621123235</v>
      </c>
      <c r="AL98" s="10">
        <f t="shared" si="612"/>
        <v>-4752.5018582898028</v>
      </c>
      <c r="AM98" s="10">
        <f t="shared" si="612"/>
        <v>-5832.4826604188975</v>
      </c>
      <c r="AO98" s="10">
        <f>+AO74</f>
        <v>0</v>
      </c>
      <c r="AP98" s="10">
        <f t="shared" ref="AP98:AU98" si="613">+AP74</f>
        <v>0</v>
      </c>
      <c r="AQ98" s="10">
        <f t="shared" si="613"/>
        <v>0</v>
      </c>
      <c r="AR98" s="10">
        <f t="shared" si="613"/>
        <v>0</v>
      </c>
      <c r="AS98" s="10">
        <f t="shared" si="613"/>
        <v>0</v>
      </c>
      <c r="AT98" s="10">
        <f t="shared" si="613"/>
        <v>-1933.585</v>
      </c>
      <c r="AU98" s="10">
        <f t="shared" si="613"/>
        <v>-4725.6670000000004</v>
      </c>
      <c r="AV98" s="10">
        <f t="shared" ref="AV98" si="614">+AV74</f>
        <v>-11849.904</v>
      </c>
      <c r="AW98" s="10">
        <f>+SUM(AF98:AI98)</f>
        <v>-20462.197447452643</v>
      </c>
      <c r="AX98" s="10">
        <f t="shared" si="602"/>
        <v>-19803.898238632803</v>
      </c>
    </row>
    <row r="99" spans="2:52" ht="12" x14ac:dyDescent="0.35">
      <c r="B99" t="s">
        <v>100</v>
      </c>
      <c r="H99" s="25">
        <f>+H75</f>
        <v>0</v>
      </c>
      <c r="I99" s="25">
        <f t="shared" ref="I99:AD99" si="615">+I75</f>
        <v>0</v>
      </c>
      <c r="J99" s="25">
        <f t="shared" si="615"/>
        <v>0</v>
      </c>
      <c r="K99" s="25">
        <f t="shared" si="615"/>
        <v>0</v>
      </c>
      <c r="L99" s="25">
        <f t="shared" si="615"/>
        <v>0</v>
      </c>
      <c r="M99" s="25">
        <f t="shared" si="615"/>
        <v>0</v>
      </c>
      <c r="N99" s="25">
        <f t="shared" si="615"/>
        <v>-8.218</v>
      </c>
      <c r="O99" s="25">
        <f t="shared" si="615"/>
        <v>36.893999999999998</v>
      </c>
      <c r="P99" s="25">
        <f t="shared" si="615"/>
        <v>-0.08</v>
      </c>
      <c r="Q99" s="25">
        <f t="shared" si="615"/>
        <v>0.26400000000000001</v>
      </c>
      <c r="R99" s="25">
        <f t="shared" si="615"/>
        <v>35.457999999999998</v>
      </c>
      <c r="S99" s="25">
        <f t="shared" si="615"/>
        <v>48.012</v>
      </c>
      <c r="T99" s="25">
        <f t="shared" si="615"/>
        <v>146.50899999999999</v>
      </c>
      <c r="U99" s="25">
        <f t="shared" si="615"/>
        <v>-1.3720000000000001</v>
      </c>
      <c r="V99" s="25">
        <f t="shared" si="615"/>
        <v>85.010999999999996</v>
      </c>
      <c r="W99" s="25">
        <f t="shared" si="615"/>
        <v>16.680000000000035</v>
      </c>
      <c r="X99" s="25">
        <f t="shared" si="615"/>
        <v>-33.616</v>
      </c>
      <c r="Y99" s="25">
        <f t="shared" si="615"/>
        <v>-53.493000000000002</v>
      </c>
      <c r="Z99" s="25">
        <f t="shared" si="615"/>
        <v>10.731999999999999</v>
      </c>
      <c r="AA99" s="25">
        <f t="shared" si="615"/>
        <v>-78.907999999999987</v>
      </c>
      <c r="AB99" s="25">
        <f t="shared" si="615"/>
        <v>106.389</v>
      </c>
      <c r="AC99" s="25">
        <f t="shared" si="615"/>
        <v>9.7810000000000006</v>
      </c>
      <c r="AD99" s="25">
        <f t="shared" si="615"/>
        <v>-105.81100000000001</v>
      </c>
      <c r="AE99" s="25">
        <f t="shared" ref="AE99:AF99" si="616">+AE75</f>
        <v>-15.066000000000001</v>
      </c>
      <c r="AF99" s="25">
        <f t="shared" si="616"/>
        <v>-52.43</v>
      </c>
      <c r="AG99" s="25">
        <f t="shared" ref="AG99:AI99" si="617">+AG75</f>
        <v>-49.582999999999998</v>
      </c>
      <c r="AH99" s="25">
        <f t="shared" si="617"/>
        <v>-50</v>
      </c>
      <c r="AI99" s="25">
        <f t="shared" si="617"/>
        <v>-50</v>
      </c>
      <c r="AJ99" s="25">
        <f t="shared" ref="AJ99:AM99" si="618">+AJ75</f>
        <v>-50</v>
      </c>
      <c r="AK99" s="25">
        <f t="shared" si="618"/>
        <v>-50</v>
      </c>
      <c r="AL99" s="25">
        <f t="shared" si="618"/>
        <v>-50</v>
      </c>
      <c r="AM99" s="25">
        <f t="shared" si="618"/>
        <v>-50</v>
      </c>
      <c r="AO99" s="25">
        <f>+AO75</f>
        <v>0</v>
      </c>
      <c r="AP99" s="25">
        <f t="shared" ref="AP99:AU99" si="619">+AP75</f>
        <v>0</v>
      </c>
      <c r="AQ99" s="25">
        <f t="shared" si="619"/>
        <v>0</v>
      </c>
      <c r="AR99" s="25">
        <f t="shared" si="619"/>
        <v>28.675999999999998</v>
      </c>
      <c r="AS99" s="25">
        <f t="shared" si="619"/>
        <v>83.653999999999996</v>
      </c>
      <c r="AT99" s="25">
        <f t="shared" si="619"/>
        <v>246.828</v>
      </c>
      <c r="AU99" s="25">
        <f t="shared" si="619"/>
        <v>-155.285</v>
      </c>
      <c r="AV99" s="25">
        <f t="shared" ref="AV99" si="620">+AV75</f>
        <v>-4.7070000000000061</v>
      </c>
      <c r="AW99" s="25">
        <f>+SUM(AF99:AI99)</f>
        <v>-202.01300000000001</v>
      </c>
      <c r="AX99" s="25">
        <f t="shared" si="602"/>
        <v>-200</v>
      </c>
    </row>
    <row r="100" spans="2:52" s="1" customFormat="1" ht="10.15" x14ac:dyDescent="0.2">
      <c r="B100" s="38" t="s">
        <v>229</v>
      </c>
      <c r="H100" s="41">
        <f>+IFERROR(H92+SUM(H96:H99),"n/a")</f>
        <v>-83.603000000000407</v>
      </c>
      <c r="I100" s="41">
        <f t="shared" ref="I100:AD100" si="621">+IFERROR(I92+SUM(I96:I99),"n/a")</f>
        <v>-6376.4699999999984</v>
      </c>
      <c r="J100" s="41">
        <f t="shared" si="621"/>
        <v>-980.9050000000002</v>
      </c>
      <c r="K100" s="41">
        <f t="shared" si="621"/>
        <v>-2306.4749999999985</v>
      </c>
      <c r="L100" s="41">
        <f t="shared" si="621"/>
        <v>-1725.1092500000004</v>
      </c>
      <c r="M100" s="41">
        <f t="shared" si="621"/>
        <v>-850.6512500000008</v>
      </c>
      <c r="N100" s="41">
        <f t="shared" si="621"/>
        <v>-2176.2592500000001</v>
      </c>
      <c r="O100" s="41">
        <f t="shared" si="621"/>
        <v>-1461.0562499999996</v>
      </c>
      <c r="P100" s="41">
        <f t="shared" si="621"/>
        <v>-3826.8977499999996</v>
      </c>
      <c r="Q100" s="41">
        <f t="shared" si="621"/>
        <v>-839.63275000000192</v>
      </c>
      <c r="R100" s="41">
        <f t="shared" si="621"/>
        <v>-337.41475000000128</v>
      </c>
      <c r="S100" s="41">
        <f t="shared" si="621"/>
        <v>-965.64074999999775</v>
      </c>
      <c r="T100" s="41">
        <f t="shared" si="621"/>
        <v>-3311.1040000000007</v>
      </c>
      <c r="U100" s="41">
        <f t="shared" si="621"/>
        <v>2489.5800000000004</v>
      </c>
      <c r="V100" s="41">
        <f t="shared" si="621"/>
        <v>1580.7399999999984</v>
      </c>
      <c r="W100" s="41">
        <f t="shared" si="621"/>
        <v>6503.7250000000131</v>
      </c>
      <c r="X100" s="41">
        <f t="shared" si="621"/>
        <v>3074.804249999997</v>
      </c>
      <c r="Y100" s="41">
        <f t="shared" si="621"/>
        <v>9329.0602499999986</v>
      </c>
      <c r="Z100" s="41">
        <f t="shared" si="621"/>
        <v>10979.447249999999</v>
      </c>
      <c r="AA100" s="41">
        <f t="shared" si="621"/>
        <v>10016.498249999991</v>
      </c>
      <c r="AB100" s="41">
        <f t="shared" si="621"/>
        <v>8643.5790000000015</v>
      </c>
      <c r="AC100" s="41">
        <f t="shared" si="621"/>
        <v>13429.315999999993</v>
      </c>
      <c r="AD100" s="41">
        <f t="shared" si="621"/>
        <v>15607.853999999998</v>
      </c>
      <c r="AE100" s="41">
        <f t="shared" ref="AE100:AF100" si="622">+IFERROR(AE92+SUM(AE96:AE99),"n/a")</f>
        <v>23342.104999999996</v>
      </c>
      <c r="AF100" s="41">
        <f t="shared" si="622"/>
        <v>27800.975132689353</v>
      </c>
      <c r="AG100" s="41">
        <f t="shared" ref="AG100" si="623">+IFERROR(AG92+SUM(AG96:AG99),"n/a")</f>
        <v>31787.084132689342</v>
      </c>
      <c r="AH100" s="41">
        <f t="shared" ref="AH100" si="624">+IFERROR(AH92+SUM(AH96:AH99),"n/a")</f>
        <v>24947.173401807147</v>
      </c>
      <c r="AI100" s="41">
        <f t="shared" ref="AI100:AJ100" si="625">+IFERROR(AI92+SUM(AI96:AI99),"n/a")</f>
        <v>28227.301399136501</v>
      </c>
      <c r="AJ100" s="41">
        <f t="shared" si="625"/>
        <v>23380.521694266736</v>
      </c>
      <c r="AK100" s="41">
        <f t="shared" ref="AK100:AM100" si="626">+IFERROR(AK92+SUM(AK96:AK99),"n/a")</f>
        <v>28260.989385303164</v>
      </c>
      <c r="AL100" s="41">
        <f t="shared" si="626"/>
        <v>26631.343863642214</v>
      </c>
      <c r="AM100" s="41">
        <f t="shared" si="626"/>
        <v>32751.235075707085</v>
      </c>
      <c r="AO100" s="41">
        <f t="shared" ref="AO100" si="627">+IFERROR(AO92+SUM(AO96:AO99),"n/a")</f>
        <v>-293.52100000000007</v>
      </c>
      <c r="AP100" s="41">
        <f t="shared" ref="AP100" si="628">+IFERROR(AP92+SUM(AP96:AP99),"n/a")</f>
        <v>-521.77099999999996</v>
      </c>
      <c r="AQ100" s="41">
        <f t="shared" ref="AQ100" si="629">+IFERROR(AQ92+SUM(AQ96:AQ99),"n/a")</f>
        <v>-9747.4529999999977</v>
      </c>
      <c r="AR100" s="41">
        <f t="shared" ref="AR100" si="630">+IFERROR(AR92+SUM(AR96:AR99),"n/a")</f>
        <v>-6213.0760000000009</v>
      </c>
      <c r="AS100" s="41">
        <f t="shared" ref="AS100" si="631">+IFERROR(AS92+SUM(AS96:AS99),"n/a")</f>
        <v>-5969.5869999999995</v>
      </c>
      <c r="AT100" s="41">
        <f t="shared" ref="AT100" si="632">+IFERROR(AT92+SUM(AT96:AT99),"n/a")</f>
        <v>7262.9409999999989</v>
      </c>
      <c r="AU100" s="41">
        <f t="shared" ref="AU100:AW100" si="633">+IFERROR(AU92+SUM(AU96:AU99),"n/a")</f>
        <v>33399.810000000019</v>
      </c>
      <c r="AV100" s="41">
        <f t="shared" ref="AV100" si="634">+IFERROR(AV92+SUM(AV96:AV99),"n/a")</f>
        <v>61022.853999999992</v>
      </c>
      <c r="AW100" s="41">
        <f t="shared" si="633"/>
        <v>112762.53406632235</v>
      </c>
      <c r="AX100" s="41">
        <f t="shared" si="602"/>
        <v>111024.0900189192</v>
      </c>
    </row>
    <row r="101" spans="2:52" ht="10.15" x14ac:dyDescent="0.2">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O101" s="44"/>
      <c r="AP101" s="44"/>
      <c r="AQ101" s="44"/>
      <c r="AR101" s="44"/>
      <c r="AS101" s="44"/>
      <c r="AT101" s="44"/>
      <c r="AU101" s="44"/>
    </row>
    <row r="102" spans="2:52" ht="10.15" x14ac:dyDescent="0.2">
      <c r="B102" t="s">
        <v>70</v>
      </c>
      <c r="H102" s="10">
        <f>-H66</f>
        <v>13.61</v>
      </c>
      <c r="I102" s="10">
        <f t="shared" ref="I102:AD102" si="635">-I66</f>
        <v>5820.49</v>
      </c>
      <c r="J102" s="10">
        <f t="shared" si="635"/>
        <v>479.46099999999996</v>
      </c>
      <c r="K102" s="10">
        <f t="shared" si="635"/>
        <v>528.01199999999994</v>
      </c>
      <c r="L102" s="10">
        <f t="shared" si="635"/>
        <v>498.63199999999995</v>
      </c>
      <c r="M102" s="10">
        <f t="shared" si="635"/>
        <v>591.97500000000002</v>
      </c>
      <c r="N102" s="10">
        <f t="shared" si="635"/>
        <v>668.42700000000002</v>
      </c>
      <c r="O102" s="10">
        <f t="shared" si="635"/>
        <v>798.67200000000003</v>
      </c>
      <c r="P102" s="10">
        <f t="shared" si="635"/>
        <v>809.37300000000005</v>
      </c>
      <c r="Q102" s="10">
        <f t="shared" si="635"/>
        <v>914.51099999999997</v>
      </c>
      <c r="R102" s="10">
        <f t="shared" si="635"/>
        <v>955.92899999999997</v>
      </c>
      <c r="S102" s="10">
        <f t="shared" si="635"/>
        <v>933.23</v>
      </c>
      <c r="T102" s="10">
        <f t="shared" si="635"/>
        <v>972.80899999999997</v>
      </c>
      <c r="U102" s="10">
        <f t="shared" si="635"/>
        <v>1187.7629999999999</v>
      </c>
      <c r="V102" s="10">
        <f t="shared" si="635"/>
        <v>1121.453</v>
      </c>
      <c r="W102" s="10">
        <f t="shared" si="635"/>
        <v>1492.7049999999999</v>
      </c>
      <c r="X102" s="10">
        <f t="shared" si="635"/>
        <v>1522.75</v>
      </c>
      <c r="Y102" s="10">
        <f t="shared" si="635"/>
        <v>1844.348</v>
      </c>
      <c r="Z102" s="10">
        <f t="shared" si="635"/>
        <v>1864.8819999999998</v>
      </c>
      <c r="AA102" s="10">
        <f t="shared" si="635"/>
        <v>2486.3850000000002</v>
      </c>
      <c r="AB102" s="10">
        <f t="shared" si="635"/>
        <v>1533.402</v>
      </c>
      <c r="AC102" s="10">
        <f t="shared" si="635"/>
        <v>1890.6289999999999</v>
      </c>
      <c r="AD102" s="10">
        <f t="shared" si="635"/>
        <v>1469.819</v>
      </c>
      <c r="AE102" s="10">
        <f t="shared" ref="AE102:AF102" si="636">-AE66</f>
        <v>2184.944</v>
      </c>
      <c r="AF102" s="10">
        <f t="shared" si="636"/>
        <v>2578.5420000000004</v>
      </c>
      <c r="AG102" s="10">
        <f t="shared" ref="AG102" si="637">-AG66</f>
        <v>2422.7620000000002</v>
      </c>
      <c r="AH102" s="58">
        <v>0</v>
      </c>
      <c r="AI102" s="58">
        <v>0</v>
      </c>
      <c r="AJ102" s="58">
        <v>0</v>
      </c>
      <c r="AK102" s="58">
        <v>0</v>
      </c>
      <c r="AL102" s="58">
        <v>0</v>
      </c>
      <c r="AM102" s="58">
        <v>0</v>
      </c>
      <c r="AO102" s="10">
        <f t="shared" ref="AO102:AU102" si="638">-AO66</f>
        <v>4.0640000000000001</v>
      </c>
      <c r="AP102" s="10">
        <f t="shared" si="638"/>
        <v>116.50500000000001</v>
      </c>
      <c r="AQ102" s="10">
        <f t="shared" si="638"/>
        <v>6841.5729999999994</v>
      </c>
      <c r="AR102" s="10">
        <f t="shared" si="638"/>
        <v>2557.7060000000001</v>
      </c>
      <c r="AS102" s="10">
        <f t="shared" si="638"/>
        <v>3613.0429999999997</v>
      </c>
      <c r="AT102" s="10">
        <f t="shared" si="638"/>
        <v>4774.7299999999996</v>
      </c>
      <c r="AU102" s="10">
        <f t="shared" si="638"/>
        <v>7718.3649999999998</v>
      </c>
      <c r="AV102" s="10">
        <f t="shared" ref="AV102" si="639">-AV66</f>
        <v>7078.7939999999999</v>
      </c>
      <c r="AW102" s="10">
        <f>+SUM(AF102:AI102)</f>
        <v>5001.3040000000001</v>
      </c>
      <c r="AX102" s="10">
        <f t="shared" si="602"/>
        <v>0</v>
      </c>
    </row>
    <row r="103" spans="2:52" ht="12" x14ac:dyDescent="0.35">
      <c r="B103" t="s">
        <v>97</v>
      </c>
      <c r="H103" s="35">
        <f>+IFERROR(H104-H102-H100,"n/a")</f>
        <v>500.6150379396604</v>
      </c>
      <c r="I103" s="35">
        <f t="shared" ref="I103:AD103" si="640">+IFERROR(I104-I102-I100,"n/a")</f>
        <v>1406.4326784597988</v>
      </c>
      <c r="J103" s="35">
        <f t="shared" si="640"/>
        <v>864.77790302102107</v>
      </c>
      <c r="K103" s="35">
        <f t="shared" si="640"/>
        <v>7874.6503805795173</v>
      </c>
      <c r="L103" s="35">
        <f t="shared" si="640"/>
        <v>4725.0552745247933</v>
      </c>
      <c r="M103" s="35">
        <f t="shared" si="640"/>
        <v>2624.7982500000003</v>
      </c>
      <c r="N103" s="35">
        <f t="shared" si="640"/>
        <v>1234.0593936273535</v>
      </c>
      <c r="O103" s="35">
        <f t="shared" si="640"/>
        <v>9864.9970818478523</v>
      </c>
      <c r="P103" s="35">
        <f t="shared" si="640"/>
        <v>2214.8353569636574</v>
      </c>
      <c r="Q103" s="35">
        <f t="shared" si="640"/>
        <v>-575.97504674449476</v>
      </c>
      <c r="R103" s="35">
        <f t="shared" si="640"/>
        <v>-4005.4312500000001</v>
      </c>
      <c r="S103" s="35">
        <f t="shared" si="640"/>
        <v>32876.694939780835</v>
      </c>
      <c r="T103" s="35">
        <f t="shared" si="640"/>
        <v>2883.4440000000059</v>
      </c>
      <c r="U103" s="35">
        <f t="shared" si="640"/>
        <v>5943.2980000000043</v>
      </c>
      <c r="V103" s="35">
        <f t="shared" si="640"/>
        <v>2692.0730000000199</v>
      </c>
      <c r="W103" s="35">
        <f t="shared" si="640"/>
        <v>1939.2929999999596</v>
      </c>
      <c r="X103" s="35">
        <f t="shared" si="640"/>
        <v>-4588.1412499999969</v>
      </c>
      <c r="Y103" s="35">
        <f t="shared" si="640"/>
        <v>12168.161749999996</v>
      </c>
      <c r="Z103" s="35">
        <f t="shared" si="640"/>
        <v>4710.1547499999833</v>
      </c>
      <c r="AA103" s="35">
        <f t="shared" si="640"/>
        <v>-5536.2062499999665</v>
      </c>
      <c r="AB103" s="35">
        <f t="shared" si="640"/>
        <v>-2386.348</v>
      </c>
      <c r="AC103" s="35">
        <f t="shared" si="640"/>
        <v>6354.824000000006</v>
      </c>
      <c r="AD103" s="35">
        <f t="shared" si="640"/>
        <v>6351.1789999999874</v>
      </c>
      <c r="AE103" s="35">
        <f t="shared" ref="AE103:AF103" si="641">+IFERROR(AE104-AE102-AE100,"n/a")</f>
        <v>15157.349000000017</v>
      </c>
      <c r="AF103" s="35">
        <f t="shared" si="641"/>
        <v>-4892.1971326893472</v>
      </c>
      <c r="AG103" s="35">
        <f t="shared" ref="AG103" si="642">+IFERROR(AG104-AG102-AG100,"n/a")</f>
        <v>8635.9258673106524</v>
      </c>
      <c r="AH103" s="57">
        <f t="shared" ref="AH103" si="643">+$AW103/4</f>
        <v>2500</v>
      </c>
      <c r="AI103" s="36">
        <f>+AW103-SUM(AF103:AH103)</f>
        <v>3756.2712653786948</v>
      </c>
      <c r="AJ103" s="57">
        <f>+$AX103/4</f>
        <v>2500</v>
      </c>
      <c r="AK103" s="57">
        <f t="shared" ref="AK103:AM103" si="644">+$AX103/4</f>
        <v>2500</v>
      </c>
      <c r="AL103" s="57">
        <f t="shared" si="644"/>
        <v>2500</v>
      </c>
      <c r="AM103" s="57">
        <f t="shared" si="644"/>
        <v>2500</v>
      </c>
      <c r="AO103" s="35">
        <f t="shared" ref="AO103" si="645">+IFERROR(AO104-AO102-AO100,"n/a")</f>
        <v>1166.9330000000004</v>
      </c>
      <c r="AP103" s="35">
        <f t="shared" ref="AP103" si="646">+IFERROR(AP104-AP102-AP100,"n/a")</f>
        <v>711.82400000000189</v>
      </c>
      <c r="AQ103" s="35">
        <f t="shared" ref="AQ103" si="647">+IFERROR(AQ104-AQ102-AQ100,"n/a")</f>
        <v>10646.475999999999</v>
      </c>
      <c r="AR103" s="35">
        <f t="shared" ref="AR103" si="648">+IFERROR(AR104-AR102-AR100,"n/a")</f>
        <v>18448.91</v>
      </c>
      <c r="AS103" s="35">
        <f t="shared" ref="AS103" si="649">+IFERROR(AS104-AS102-AS100,"n/a")</f>
        <v>30510.125</v>
      </c>
      <c r="AT103" s="35">
        <f t="shared" ref="AT103" si="650">+IFERROR(AT104-AT102-AT100,"n/a")</f>
        <v>13458.108</v>
      </c>
      <c r="AU103" s="35">
        <f t="shared" ref="AU103" si="651">+IFERROR(AU104-AU102-AU100,"n/a")</f>
        <v>6753.9689999999828</v>
      </c>
      <c r="AV103" s="35">
        <f t="shared" ref="AV103" si="652">+IFERROR(AV104-AV102-AV100,"n/a")</f>
        <v>25477.004000000015</v>
      </c>
      <c r="AW103" s="57">
        <v>10000</v>
      </c>
      <c r="AX103" s="57">
        <v>10000</v>
      </c>
    </row>
    <row r="104" spans="2:52" s="1" customFormat="1" ht="10.15" x14ac:dyDescent="0.2">
      <c r="B104" s="38" t="s">
        <v>230</v>
      </c>
      <c r="H104" s="225">
        <f>+-(H113-AP113)-SUM(H108:H108)</f>
        <v>430.62203793966</v>
      </c>
      <c r="I104" s="225">
        <f>+-(I113-H113)-SUM(I108:I108)</f>
        <v>850.45267845979993</v>
      </c>
      <c r="J104" s="225">
        <f>+-(J113-I113)-SUM(J108:J108)</f>
        <v>363.33390302102089</v>
      </c>
      <c r="K104" s="225">
        <f>+AQ104-SUM(H104:J104)</f>
        <v>6096.1873805795185</v>
      </c>
      <c r="L104" s="225">
        <f>+-(L113-K113)-SUM(L108:L108)</f>
        <v>3498.5780245247934</v>
      </c>
      <c r="M104" s="225">
        <f>+-(M113-L113)-SUM(M108:M108)</f>
        <v>2366.1219999999994</v>
      </c>
      <c r="N104" s="225">
        <f>+-(N113-M113)-SUM(N108:N108)</f>
        <v>-273.7728563726464</v>
      </c>
      <c r="O104" s="225">
        <f>+AR104-SUM(L104:N104)</f>
        <v>9202.6128318478532</v>
      </c>
      <c r="P104" s="225">
        <f>+-(P113-O113)-SUM(P108:P108)</f>
        <v>-802.68939303634215</v>
      </c>
      <c r="Q104" s="225">
        <f>+-(Q113-P113)-SUM(Q108:Q108)</f>
        <v>-501.09679674449671</v>
      </c>
      <c r="R104" s="225">
        <f>+-(R113-Q113)-SUM(R108:R108)</f>
        <v>-3386.9170000000013</v>
      </c>
      <c r="S104" s="225">
        <f>+AS104-SUM(P104:R104)</f>
        <v>32844.284189780839</v>
      </c>
      <c r="T104" s="225">
        <f>+-(T113-S113)-SUM(T108:T108)</f>
        <v>545.14900000000489</v>
      </c>
      <c r="U104" s="225">
        <f>+-(U113-T113)-SUM(U108:U108)</f>
        <v>9620.6410000000033</v>
      </c>
      <c r="V104" s="225">
        <f>+-(V113-U113)-SUM(V108:V108)</f>
        <v>5394.2660000000178</v>
      </c>
      <c r="W104" s="225">
        <f>+AT104-SUM(T104:V104)</f>
        <v>9935.7229999999727</v>
      </c>
      <c r="X104" s="225">
        <f>+-(X113-W113)-SUM(X108:X108)</f>
        <v>9.4130000000004657</v>
      </c>
      <c r="Y104" s="225">
        <f>+-(Y113-X113)-SUM(Y108:Y108)</f>
        <v>23341.569999999992</v>
      </c>
      <c r="Z104" s="225">
        <f>+-(Z113-Y113)-SUM(Z108:Z108)</f>
        <v>17554.483999999982</v>
      </c>
      <c r="AA104" s="225">
        <f>+AU104-SUM(X104:Z104)</f>
        <v>6966.6770000000251</v>
      </c>
      <c r="AB104" s="225">
        <f>+-(AB113-AA113)-SUM(AB108:AB108)</f>
        <v>7790.6330000000016</v>
      </c>
      <c r="AC104" s="225">
        <f>+-(AC113-AB113)-SUM(AC108:AC108)</f>
        <v>21674.769</v>
      </c>
      <c r="AD104" s="225">
        <f>+-(AD113-AC113)-SUM(AD108:AD108)</f>
        <v>23428.851999999984</v>
      </c>
      <c r="AE104" s="225">
        <f>+AV104-SUM(AB104:AD104)</f>
        <v>40684.398000000016</v>
      </c>
      <c r="AF104" s="225">
        <f>+-(AF113-AE113)-SUM(AF108:AF108)</f>
        <v>25487.320000000007</v>
      </c>
      <c r="AG104" s="225">
        <f>+-(AG113-AF113)-SUM(AG108:AG108)</f>
        <v>42845.771999999997</v>
      </c>
      <c r="AH104" s="41">
        <f t="shared" ref="AH104:AI104" si="653">+IFERROR(AH100+AH102+AH103,"n/a")</f>
        <v>27447.173401807147</v>
      </c>
      <c r="AI104" s="41">
        <f t="shared" si="653"/>
        <v>31983.572664515195</v>
      </c>
      <c r="AJ104" s="41">
        <f t="shared" ref="AJ104:AM104" si="654">+IFERROR(AJ100+AJ102+AJ103,"n/a")</f>
        <v>25880.521694266736</v>
      </c>
      <c r="AK104" s="41">
        <f t="shared" si="654"/>
        <v>30760.989385303164</v>
      </c>
      <c r="AL104" s="41">
        <f t="shared" si="654"/>
        <v>29131.343863642214</v>
      </c>
      <c r="AM104" s="41">
        <f t="shared" si="654"/>
        <v>35251.235075707082</v>
      </c>
      <c r="AO104" s="41">
        <f t="shared" ref="AO104:AV104" si="655">+IFERROR(AO671+AO681,"n/a")</f>
        <v>877.47600000000023</v>
      </c>
      <c r="AP104" s="41">
        <f t="shared" si="655"/>
        <v>306.55800000000193</v>
      </c>
      <c r="AQ104" s="41">
        <f t="shared" si="655"/>
        <v>7740.5959999999995</v>
      </c>
      <c r="AR104" s="41">
        <f t="shared" si="655"/>
        <v>14793.539999999999</v>
      </c>
      <c r="AS104" s="41">
        <f t="shared" si="655"/>
        <v>28153.581000000002</v>
      </c>
      <c r="AT104" s="41">
        <f t="shared" si="655"/>
        <v>25495.778999999999</v>
      </c>
      <c r="AU104" s="41">
        <f t="shared" si="655"/>
        <v>47872.144</v>
      </c>
      <c r="AV104" s="41">
        <f t="shared" si="655"/>
        <v>93578.652000000002</v>
      </c>
      <c r="AW104" s="41">
        <f t="shared" ref="AW104:AX104" si="656">+IFERROR(AW100+AW102+AW103,"n/a")</f>
        <v>127763.83806632235</v>
      </c>
      <c r="AX104" s="41">
        <f t="shared" si="656"/>
        <v>121024.0900189192</v>
      </c>
      <c r="AZ104" s="207"/>
    </row>
    <row r="105" spans="2:52" ht="10.15" x14ac:dyDescent="0.2">
      <c r="B105" s="30" t="s">
        <v>231</v>
      </c>
      <c r="H105" s="46">
        <f>+IFERROR(H104/H80,"n/a")</f>
        <v>-1.6073564256986927</v>
      </c>
      <c r="I105" s="46">
        <f t="shared" ref="I105:AD105" si="657">+IFERROR(I104/I80,"n/a")</f>
        <v>-1.2629272413339507</v>
      </c>
      <c r="J105" s="46">
        <f t="shared" si="657"/>
        <v>-0.58710003687578372</v>
      </c>
      <c r="K105" s="46">
        <f t="shared" si="657"/>
        <v>-3.2154905189616434</v>
      </c>
      <c r="L105" s="46">
        <f t="shared" si="657"/>
        <v>-2.5369000871052743</v>
      </c>
      <c r="M105" s="46">
        <f t="shared" si="657"/>
        <v>-5.7531384110388348</v>
      </c>
      <c r="N105" s="46">
        <f t="shared" si="657"/>
        <v>0.16488059809329417</v>
      </c>
      <c r="O105" s="46">
        <f t="shared" si="657"/>
        <v>-11.291785021095963</v>
      </c>
      <c r="P105" s="46">
        <f t="shared" si="657"/>
        <v>0.25324275945069613</v>
      </c>
      <c r="Q105" s="46">
        <f t="shared" si="657"/>
        <v>6.4874457444167462</v>
      </c>
      <c r="R105" s="46">
        <f t="shared" si="657"/>
        <v>-7.2619067528597512</v>
      </c>
      <c r="S105" s="46">
        <f t="shared" si="657"/>
        <v>-177.98885920869949</v>
      </c>
      <c r="T105" s="46">
        <f t="shared" si="657"/>
        <v>-0.28838796571184577</v>
      </c>
      <c r="U105" s="46">
        <f t="shared" si="657"/>
        <v>2.332103606374897</v>
      </c>
      <c r="V105" s="46">
        <f t="shared" si="657"/>
        <v>1.7123805932150724</v>
      </c>
      <c r="W105" s="46">
        <f t="shared" si="657"/>
        <v>1.1766059443230505</v>
      </c>
      <c r="X105" s="46">
        <f t="shared" si="657"/>
        <v>2.2409551758971178E-3</v>
      </c>
      <c r="Y105" s="46">
        <f t="shared" si="657"/>
        <v>2.1660106743551468</v>
      </c>
      <c r="Z105" s="46">
        <f t="shared" si="657"/>
        <v>1.4103140814781383</v>
      </c>
      <c r="AA105" s="46">
        <f t="shared" si="657"/>
        <v>0.57548400473493444</v>
      </c>
      <c r="AB105" s="46">
        <f t="shared" si="657"/>
        <v>0.76933946463854042</v>
      </c>
      <c r="AC105" s="46">
        <f t="shared" si="657"/>
        <v>1.4194946401144886</v>
      </c>
      <c r="AD105" s="46">
        <f t="shared" si="657"/>
        <v>1.3759755927673805</v>
      </c>
      <c r="AE105" s="46">
        <f t="shared" ref="AE105:AF105" si="658">+IFERROR(AE104/AE80,"n/a")</f>
        <v>1.5969407837666623</v>
      </c>
      <c r="AF105" s="46">
        <f t="shared" si="658"/>
        <v>0.83286982581583002</v>
      </c>
      <c r="AG105" s="46">
        <f t="shared" ref="AG105" si="659">+IFERROR(AG104/AG80,"n/a")</f>
        <v>1.2443542418834683</v>
      </c>
      <c r="AH105" s="46">
        <f t="shared" ref="AH105" si="660">+IFERROR(AH104/AH80,"n/a")</f>
        <v>0.99474308880817874</v>
      </c>
      <c r="AI105" s="46">
        <f t="shared" ref="AI105:AJ105" si="661">+IFERROR(AI104/AI80,"n/a")</f>
        <v>1.0130247314999643</v>
      </c>
      <c r="AJ105" s="46">
        <f t="shared" si="661"/>
        <v>0.98292823282793285</v>
      </c>
      <c r="AK105" s="46">
        <f t="shared" ref="AK105:AM105" si="662">+IFERROR(AK104/AK80,"n/a")</f>
        <v>0.98559779071546161</v>
      </c>
      <c r="AL105" s="46">
        <f t="shared" si="662"/>
        <v>0.9848043550727611</v>
      </c>
      <c r="AM105" s="46">
        <f t="shared" si="662"/>
        <v>0.97377125083194316</v>
      </c>
      <c r="AN105" s="28"/>
      <c r="AO105" s="28">
        <f t="shared" ref="AO105" si="663">+IFERROR(AO104/AO80,"n/a")</f>
        <v>-2.7563940667583928</v>
      </c>
      <c r="AP105" s="28">
        <f t="shared" ref="AP105" si="664">+IFERROR(AP104/AP80,"n/a")</f>
        <v>-0.82364446784902057</v>
      </c>
      <c r="AQ105" s="28">
        <f t="shared" ref="AQ105" si="665">+IFERROR(AQ104/AQ80,"n/a")</f>
        <v>-2.2397246797498194</v>
      </c>
      <c r="AR105" s="28">
        <f t="shared" ref="AR105" si="666">+IFERROR(AR104/AR80,"n/a")</f>
        <v>-3.4679688168476233</v>
      </c>
      <c r="AS105" s="28">
        <f t="shared" ref="AS105" si="667">+IFERROR(AS104/AS80,"n/a")</f>
        <v>-9.495238313657822</v>
      </c>
      <c r="AT105" s="28">
        <f t="shared" ref="AT105" si="668">+IFERROR(AT104/AT80,"n/a")</f>
        <v>1.8435761667267925</v>
      </c>
      <c r="AU105" s="28">
        <f t="shared" ref="AU105:AV105" si="669">+IFERROR(AU104/AU80,"n/a")</f>
        <v>1.2110417573895405</v>
      </c>
      <c r="AV105" s="28">
        <f t="shared" si="669"/>
        <v>1.3781977579383302</v>
      </c>
      <c r="AW105" s="28">
        <f t="shared" ref="AW105:AX105" si="670">+IFERROR(AW104/AW80,"n/a")</f>
        <v>1.0287066602430504</v>
      </c>
      <c r="AX105" s="28">
        <f t="shared" si="670"/>
        <v>1.0091502518828328</v>
      </c>
    </row>
    <row r="106" spans="2:52" ht="10.15" x14ac:dyDescent="0.2">
      <c r="B106" s="30"/>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28"/>
      <c r="AO106" s="28"/>
      <c r="AP106" s="28"/>
      <c r="AQ106" s="28"/>
      <c r="AR106" s="28"/>
      <c r="AS106" s="28"/>
      <c r="AT106" s="28"/>
      <c r="AU106" s="28"/>
      <c r="AV106" s="28"/>
      <c r="AW106" s="28"/>
      <c r="AX106" s="28"/>
    </row>
    <row r="107" spans="2:52" ht="10.15" x14ac:dyDescent="0.2">
      <c r="B107" s="19" t="s">
        <v>66</v>
      </c>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28"/>
      <c r="AO107" s="28"/>
      <c r="AP107" s="28"/>
      <c r="AQ107" s="28"/>
      <c r="AR107" s="28"/>
      <c r="AS107" s="28"/>
      <c r="AT107" s="28"/>
      <c r="AU107" s="28"/>
      <c r="AV107" s="28"/>
      <c r="AW107" s="28"/>
      <c r="AX107" s="28"/>
    </row>
    <row r="108" spans="2:52" ht="10.15" x14ac:dyDescent="0.2">
      <c r="B108" s="20" t="s">
        <v>333</v>
      </c>
      <c r="H108" s="224">
        <f>+$AQ108*H707/$AQ707</f>
        <v>5945.5149620603406</v>
      </c>
      <c r="I108" s="224">
        <f>+$AQ108*I707/$AQ707</f>
        <v>-3.86767845980083</v>
      </c>
      <c r="J108" s="224">
        <f>+$AQ108*J707/$AQ707</f>
        <v>11777.090096978978</v>
      </c>
      <c r="K108" s="224">
        <f>+AQ108-SUM(H108:J108)</f>
        <v>-14.225380579518969</v>
      </c>
      <c r="L108" s="224">
        <f>+$AR108*L707/$AR707</f>
        <v>4131.6499754752058</v>
      </c>
      <c r="M108" s="224">
        <f>+$AR108*M707/$AR707</f>
        <v>0</v>
      </c>
      <c r="N108" s="224">
        <f>+$AR108*N707/$AR707</f>
        <v>3600.9308563726495</v>
      </c>
      <c r="O108" s="224">
        <f>+AR108-SUM(L108:N108)</f>
        <v>462.01616815214402</v>
      </c>
      <c r="P108" s="224">
        <f>+$AS108*P707/$AS707</f>
        <v>881.28639303634372</v>
      </c>
      <c r="Q108" s="224">
        <f>+$AS108*Q707/$AS707</f>
        <v>6154.7027967444965</v>
      </c>
      <c r="R108" s="224">
        <f>+$AS108*R707/$AS707</f>
        <v>0</v>
      </c>
      <c r="S108" s="224">
        <f>+AS108-SUM(P108:R108)</f>
        <v>30832.787810219161</v>
      </c>
      <c r="T108" s="224">
        <f>+$AT108*T707/$AT707</f>
        <v>0</v>
      </c>
      <c r="U108" s="224">
        <f>+$AT108*U707/$AT707</f>
        <v>0</v>
      </c>
      <c r="V108" s="224">
        <f>+$AT108*V707/$AT707</f>
        <v>0</v>
      </c>
      <c r="W108" s="224">
        <f>+AW108-SUM(T108:V108)</f>
        <v>0</v>
      </c>
      <c r="X108" s="224">
        <f>+$AU108*X707/$AU707</f>
        <v>0</v>
      </c>
      <c r="Y108" s="224">
        <f>+$AU108*Y707/$AU707</f>
        <v>0</v>
      </c>
      <c r="Z108" s="224">
        <f>+$AU108*Z707/$AU707</f>
        <v>0</v>
      </c>
      <c r="AA108" s="224">
        <f>+BA108-SUM(X108:Z108)</f>
        <v>0</v>
      </c>
      <c r="AB108" s="224">
        <f>+$AV108*AB707/$AV707</f>
        <v>0</v>
      </c>
      <c r="AC108" s="224">
        <f>+$AV108*AC707/$AV707</f>
        <v>0</v>
      </c>
      <c r="AD108" s="224">
        <f>+$AV108*AD707/$AV707</f>
        <v>0</v>
      </c>
      <c r="AE108" s="224">
        <f>+BE108-SUM(AB108:AD108)</f>
        <v>0</v>
      </c>
      <c r="AF108" s="146">
        <v>0</v>
      </c>
      <c r="AG108" s="146">
        <v>0</v>
      </c>
      <c r="AH108" s="146">
        <v>0</v>
      </c>
      <c r="AI108" s="146">
        <v>0</v>
      </c>
      <c r="AJ108" s="146">
        <v>0</v>
      </c>
      <c r="AK108" s="146">
        <v>0</v>
      </c>
      <c r="AL108" s="146">
        <v>0</v>
      </c>
      <c r="AM108" s="146">
        <v>0</v>
      </c>
      <c r="AN108" s="28"/>
      <c r="AO108" s="147">
        <f>+IFERROR(AO692+AO696+AO705+AO697+AO703,"n/a")</f>
        <v>511.911</v>
      </c>
      <c r="AP108" s="147">
        <f t="shared" ref="AP108:AU108" si="671">+IFERROR(AP692+AP696+AP705+AP697+AP703,"n/a")</f>
        <v>1414.229</v>
      </c>
      <c r="AQ108" s="147">
        <f t="shared" si="671"/>
        <v>17704.511999999999</v>
      </c>
      <c r="AR108" s="147">
        <f t="shared" si="671"/>
        <v>8194.5969999999998</v>
      </c>
      <c r="AS108" s="147">
        <f t="shared" si="671"/>
        <v>37868.777000000002</v>
      </c>
      <c r="AT108" s="147">
        <f t="shared" si="671"/>
        <v>0</v>
      </c>
      <c r="AU108" s="147">
        <f t="shared" si="671"/>
        <v>0</v>
      </c>
      <c r="AV108" s="147">
        <f t="shared" ref="AV108" si="672">+IFERROR(AV692+AV696+AV705+AV697+AV703,"n/a")</f>
        <v>0</v>
      </c>
      <c r="AW108" s="53">
        <f>+SUM(AF108:AI108)</f>
        <v>0</v>
      </c>
      <c r="AX108" s="53">
        <f t="shared" ref="AX108" si="673">+SUM(AJ108:AM108)</f>
        <v>0</v>
      </c>
    </row>
    <row r="109" spans="2:52" ht="10.15" x14ac:dyDescent="0.2">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10"/>
      <c r="AG109" s="33"/>
      <c r="AI109" s="10"/>
      <c r="AJ109" s="10"/>
      <c r="AK109" s="10"/>
      <c r="AL109" s="10"/>
      <c r="AM109" s="10"/>
      <c r="AO109" s="44"/>
      <c r="AP109" s="44"/>
      <c r="AQ109" s="44"/>
      <c r="AR109" s="44"/>
      <c r="AS109" s="44"/>
      <c r="AT109" s="44"/>
      <c r="AU109" s="44"/>
    </row>
    <row r="110" spans="2:52" ht="10.15" x14ac:dyDescent="0.2">
      <c r="B110" s="24" t="s">
        <v>233</v>
      </c>
      <c r="H110" s="44"/>
      <c r="I110" s="44"/>
      <c r="J110" s="44"/>
      <c r="K110" s="44"/>
      <c r="L110" s="44"/>
      <c r="M110" s="44"/>
      <c r="N110" s="44"/>
      <c r="O110" s="44"/>
      <c r="P110" s="44"/>
      <c r="Q110" s="44"/>
      <c r="R110" s="44"/>
      <c r="S110" s="44"/>
      <c r="T110" s="44"/>
      <c r="U110" s="44"/>
      <c r="V110" s="44"/>
      <c r="W110" s="44"/>
      <c r="X110" s="44"/>
      <c r="Y110" s="44"/>
      <c r="Z110" s="44"/>
      <c r="AA110" s="44"/>
      <c r="AB110" s="10"/>
      <c r="AC110" s="10"/>
      <c r="AD110" s="44"/>
      <c r="AE110" s="44"/>
      <c r="AF110" s="10"/>
      <c r="AG110" s="10"/>
      <c r="AH110" s="10"/>
      <c r="AO110" s="44"/>
      <c r="AP110" s="44"/>
      <c r="AQ110" s="44"/>
      <c r="AR110" s="44"/>
      <c r="AS110" s="44"/>
      <c r="AT110" s="44"/>
      <c r="AU110" s="44"/>
    </row>
    <row r="111" spans="2:52" ht="10.15" x14ac:dyDescent="0.2">
      <c r="B111" t="s">
        <v>236</v>
      </c>
      <c r="H111" s="10">
        <f>+H818+H820+H827</f>
        <v>0</v>
      </c>
      <c r="I111" s="10">
        <f t="shared" ref="I111:AD111" si="674">+I818+I820+I827</f>
        <v>0</v>
      </c>
      <c r="J111" s="10">
        <f t="shared" si="674"/>
        <v>0</v>
      </c>
      <c r="K111" s="10">
        <f t="shared" si="674"/>
        <v>0</v>
      </c>
      <c r="L111" s="10">
        <f t="shared" si="674"/>
        <v>0</v>
      </c>
      <c r="M111" s="10">
        <f t="shared" si="674"/>
        <v>0</v>
      </c>
      <c r="N111" s="10">
        <f t="shared" si="674"/>
        <v>5140.3050000000003</v>
      </c>
      <c r="O111" s="10">
        <f t="shared" si="674"/>
        <v>6105.43</v>
      </c>
      <c r="P111" s="10">
        <f t="shared" si="674"/>
        <v>7545.0280000000002</v>
      </c>
      <c r="Q111" s="10">
        <f t="shared" si="674"/>
        <v>8326.9149999999991</v>
      </c>
      <c r="R111" s="10">
        <f t="shared" si="674"/>
        <v>8277.8960000000006</v>
      </c>
      <c r="S111" s="10">
        <f t="shared" si="674"/>
        <v>16299.108</v>
      </c>
      <c r="T111" s="10">
        <f t="shared" si="674"/>
        <v>12137.467000000001</v>
      </c>
      <c r="U111" s="10">
        <f t="shared" si="674"/>
        <v>11342.314</v>
      </c>
      <c r="V111" s="10">
        <f t="shared" si="674"/>
        <v>11684.597</v>
      </c>
      <c r="W111" s="10">
        <f t="shared" si="674"/>
        <v>11788.906999999999</v>
      </c>
      <c r="X111" s="10">
        <f t="shared" si="674"/>
        <v>14057.021000000001</v>
      </c>
      <c r="Y111" s="10">
        <f t="shared" si="674"/>
        <v>14874.632</v>
      </c>
      <c r="Z111" s="10">
        <f t="shared" si="674"/>
        <v>15749.602999999999</v>
      </c>
      <c r="AA111" s="10">
        <f t="shared" si="674"/>
        <v>15461.506000000001</v>
      </c>
      <c r="AB111" s="10">
        <f t="shared" si="674"/>
        <v>15266.945000000002</v>
      </c>
      <c r="AC111" s="10">
        <f t="shared" si="674"/>
        <v>16065.944000000001</v>
      </c>
      <c r="AD111" s="10">
        <f t="shared" si="674"/>
        <v>15975.171</v>
      </c>
      <c r="AE111" s="10">
        <f t="shared" ref="AE111:AF111" si="675">+AE818+AE820+AE827</f>
        <v>5880.0929999999998</v>
      </c>
      <c r="AF111" s="10">
        <f t="shared" si="675"/>
        <v>5314.5590000000002</v>
      </c>
      <c r="AG111" s="10">
        <f t="shared" ref="AG111" si="676">+AG818+AG820+AG827</f>
        <v>5264.3459999999995</v>
      </c>
      <c r="AH111" s="58">
        <f t="shared" ref="AH111:AJ111" si="677">+AG111</f>
        <v>5264.3459999999995</v>
      </c>
      <c r="AI111" s="58">
        <f t="shared" si="677"/>
        <v>5264.3459999999995</v>
      </c>
      <c r="AJ111" s="58">
        <f t="shared" si="677"/>
        <v>5264.3459999999995</v>
      </c>
      <c r="AK111" s="58">
        <f t="shared" ref="AK111" si="678">+AJ111</f>
        <v>5264.3459999999995</v>
      </c>
      <c r="AL111" s="58">
        <f t="shared" ref="AL111" si="679">+AK111</f>
        <v>5264.3459999999995</v>
      </c>
      <c r="AM111" s="58">
        <f t="shared" ref="AM111" si="680">+AL111</f>
        <v>5264.3459999999995</v>
      </c>
      <c r="AO111" s="10">
        <f t="shared" ref="AO111:AU111" si="681">+AO818+AO820+AO827</f>
        <v>0</v>
      </c>
      <c r="AP111" s="10">
        <f t="shared" si="681"/>
        <v>0</v>
      </c>
      <c r="AQ111" s="10">
        <f t="shared" si="681"/>
        <v>0</v>
      </c>
      <c r="AR111" s="10">
        <f t="shared" si="681"/>
        <v>6105.43</v>
      </c>
      <c r="AS111" s="10">
        <f t="shared" si="681"/>
        <v>16299.108</v>
      </c>
      <c r="AT111" s="10">
        <f t="shared" si="681"/>
        <v>11788.906999999999</v>
      </c>
      <c r="AU111" s="10">
        <f t="shared" si="681"/>
        <v>15461.506000000001</v>
      </c>
      <c r="AV111" s="10">
        <f t="shared" ref="AV111" si="682">+AV818+AV820+AV827</f>
        <v>5880.0929999999998</v>
      </c>
      <c r="AW111" s="10">
        <f>+AI111</f>
        <v>5264.3459999999995</v>
      </c>
      <c r="AX111" s="10">
        <f>+AM111</f>
        <v>5264.3459999999995</v>
      </c>
    </row>
    <row r="112" spans="2:52" ht="12" x14ac:dyDescent="0.35">
      <c r="B112" t="s">
        <v>234</v>
      </c>
      <c r="H112" s="25">
        <f>+H791+H795</f>
        <v>9484.2890000000007</v>
      </c>
      <c r="I112" s="25">
        <f t="shared" ref="I112:AD112" si="683">+I791+I795</f>
        <v>10330.874</v>
      </c>
      <c r="J112" s="25">
        <f t="shared" si="683"/>
        <v>22471.297999999999</v>
      </c>
      <c r="K112" s="25">
        <f t="shared" si="683"/>
        <v>21791.010999999999</v>
      </c>
      <c r="L112" s="25">
        <f t="shared" si="683"/>
        <v>29421.238999999998</v>
      </c>
      <c r="M112" s="25">
        <f t="shared" si="683"/>
        <v>31787.360999999997</v>
      </c>
      <c r="N112" s="25">
        <f t="shared" si="683"/>
        <v>40254.824000000001</v>
      </c>
      <c r="O112" s="25">
        <f t="shared" si="683"/>
        <v>41057.012999999999</v>
      </c>
      <c r="P112" s="25">
        <f t="shared" si="683"/>
        <v>42575.207999999999</v>
      </c>
      <c r="Q112" s="25">
        <f t="shared" si="683"/>
        <v>49010.701000000001</v>
      </c>
      <c r="R112" s="25">
        <f t="shared" si="683"/>
        <v>45574.764999999999</v>
      </c>
      <c r="S112" s="25">
        <f t="shared" si="683"/>
        <v>86972.282999999996</v>
      </c>
      <c r="T112" s="25">
        <f t="shared" si="683"/>
        <v>83355.790999999997</v>
      </c>
      <c r="U112" s="25">
        <f t="shared" si="683"/>
        <v>92181.278999999995</v>
      </c>
      <c r="V112" s="25">
        <f t="shared" si="683"/>
        <v>97917.828000000009</v>
      </c>
      <c r="W112" s="25">
        <f t="shared" si="683"/>
        <v>92943.332999999999</v>
      </c>
      <c r="X112" s="25">
        <f t="shared" si="683"/>
        <v>95220.86</v>
      </c>
      <c r="Y112" s="25">
        <f t="shared" si="683"/>
        <v>119380.041</v>
      </c>
      <c r="Z112" s="25">
        <f t="shared" si="683"/>
        <v>137809.49599999998</v>
      </c>
      <c r="AA112" s="25">
        <f t="shared" si="683"/>
        <v>149438.74600000001</v>
      </c>
      <c r="AB112" s="25">
        <f t="shared" si="683"/>
        <v>157034.81800000003</v>
      </c>
      <c r="AC112" s="25">
        <f t="shared" si="683"/>
        <v>179508.58600000001</v>
      </c>
      <c r="AD112" s="25">
        <f t="shared" si="683"/>
        <v>202846.66500000001</v>
      </c>
      <c r="AE112" s="25">
        <f t="shared" ref="AE112:AF112" si="684">+AE791+AE795</f>
        <v>217209.83399999997</v>
      </c>
      <c r="AF112" s="25">
        <f t="shared" si="684"/>
        <v>242131.62</v>
      </c>
      <c r="AG112" s="25">
        <f t="shared" ref="AG112" si="685">+AG791+AG795</f>
        <v>284927.179</v>
      </c>
      <c r="AH112" s="25">
        <f t="shared" ref="AH112:AM112" si="686">+AG112+AH104</f>
        <v>312374.35240180715</v>
      </c>
      <c r="AI112" s="25">
        <f t="shared" si="686"/>
        <v>344357.92506632232</v>
      </c>
      <c r="AJ112" s="25">
        <f t="shared" si="686"/>
        <v>370238.44676058908</v>
      </c>
      <c r="AK112" s="25">
        <f t="shared" si="686"/>
        <v>400999.43614589225</v>
      </c>
      <c r="AL112" s="25">
        <f t="shared" si="686"/>
        <v>430130.78000953444</v>
      </c>
      <c r="AM112" s="25">
        <f t="shared" si="686"/>
        <v>465382.01508524152</v>
      </c>
      <c r="AO112" s="25">
        <f t="shared" ref="AO112:AU112" si="687">+AO791+AO795</f>
        <v>1609.8430000000001</v>
      </c>
      <c r="AP112" s="25">
        <f t="shared" si="687"/>
        <v>3108.152</v>
      </c>
      <c r="AQ112" s="25">
        <f t="shared" si="687"/>
        <v>21791.010999999999</v>
      </c>
      <c r="AR112" s="25">
        <f t="shared" si="687"/>
        <v>41057.012999999999</v>
      </c>
      <c r="AS112" s="25">
        <f t="shared" si="687"/>
        <v>86972.282999999996</v>
      </c>
      <c r="AT112" s="25">
        <f t="shared" si="687"/>
        <v>92943.332999999999</v>
      </c>
      <c r="AU112" s="25">
        <f t="shared" si="687"/>
        <v>149438.74600000001</v>
      </c>
      <c r="AV112" s="25">
        <f t="shared" ref="AV112" si="688">+AV791+AV795</f>
        <v>217209.83399999997</v>
      </c>
      <c r="AW112" s="25">
        <f>+AI112</f>
        <v>344357.92506632232</v>
      </c>
      <c r="AX112" s="25">
        <f t="shared" ref="AX112:AX114" si="689">+AM112</f>
        <v>465382.01508524152</v>
      </c>
    </row>
    <row r="113" spans="1:50" s="1" customFormat="1" ht="10.15" x14ac:dyDescent="0.2">
      <c r="B113" s="38" t="s">
        <v>235</v>
      </c>
      <c r="H113" s="42">
        <f>+H111-H112</f>
        <v>-9484.2890000000007</v>
      </c>
      <c r="I113" s="42">
        <f t="shared" ref="I113:AD113" si="690">+I111-I112</f>
        <v>-10330.874</v>
      </c>
      <c r="J113" s="42">
        <f t="shared" si="690"/>
        <v>-22471.297999999999</v>
      </c>
      <c r="K113" s="42">
        <f t="shared" si="690"/>
        <v>-21791.010999999999</v>
      </c>
      <c r="L113" s="42">
        <f t="shared" si="690"/>
        <v>-29421.238999999998</v>
      </c>
      <c r="M113" s="42">
        <f t="shared" si="690"/>
        <v>-31787.360999999997</v>
      </c>
      <c r="N113" s="42">
        <f t="shared" si="690"/>
        <v>-35114.519</v>
      </c>
      <c r="O113" s="42">
        <f t="shared" si="690"/>
        <v>-34951.582999999999</v>
      </c>
      <c r="P113" s="42">
        <f t="shared" si="690"/>
        <v>-35030.18</v>
      </c>
      <c r="Q113" s="42">
        <f t="shared" si="690"/>
        <v>-40683.786</v>
      </c>
      <c r="R113" s="42">
        <f t="shared" si="690"/>
        <v>-37296.868999999999</v>
      </c>
      <c r="S113" s="42">
        <f t="shared" si="690"/>
        <v>-70673.174999999988</v>
      </c>
      <c r="T113" s="42">
        <f t="shared" si="690"/>
        <v>-71218.323999999993</v>
      </c>
      <c r="U113" s="42">
        <f t="shared" si="690"/>
        <v>-80838.964999999997</v>
      </c>
      <c r="V113" s="42">
        <f t="shared" si="690"/>
        <v>-86233.231000000014</v>
      </c>
      <c r="W113" s="42">
        <f t="shared" si="690"/>
        <v>-81154.426000000007</v>
      </c>
      <c r="X113" s="42">
        <f t="shared" si="690"/>
        <v>-81163.839000000007</v>
      </c>
      <c r="Y113" s="42">
        <f t="shared" si="690"/>
        <v>-104505.409</v>
      </c>
      <c r="Z113" s="42">
        <f t="shared" si="690"/>
        <v>-122059.89299999998</v>
      </c>
      <c r="AA113" s="42">
        <f t="shared" si="690"/>
        <v>-133977.24000000002</v>
      </c>
      <c r="AB113" s="42">
        <f t="shared" si="690"/>
        <v>-141767.87300000002</v>
      </c>
      <c r="AC113" s="42">
        <f t="shared" si="690"/>
        <v>-163442.64200000002</v>
      </c>
      <c r="AD113" s="42">
        <f t="shared" si="690"/>
        <v>-186871.49400000001</v>
      </c>
      <c r="AE113" s="42">
        <f t="shared" ref="AE113:AF113" si="691">+AE111-AE112</f>
        <v>-211329.74099999998</v>
      </c>
      <c r="AF113" s="42">
        <f t="shared" si="691"/>
        <v>-236817.06099999999</v>
      </c>
      <c r="AG113" s="42">
        <f t="shared" ref="AG113" si="692">+AG111-AG112</f>
        <v>-279662.83299999998</v>
      </c>
      <c r="AH113" s="42">
        <f t="shared" ref="AH113" si="693">+AH111-AH112</f>
        <v>-307110.00640180713</v>
      </c>
      <c r="AI113" s="42">
        <f t="shared" ref="AI113:AJ113" si="694">+AI111-AI112</f>
        <v>-339093.5790663223</v>
      </c>
      <c r="AJ113" s="42">
        <f t="shared" si="694"/>
        <v>-364974.10076058906</v>
      </c>
      <c r="AK113" s="42">
        <f t="shared" ref="AK113:AM113" si="695">+AK111-AK112</f>
        <v>-395735.09014589223</v>
      </c>
      <c r="AL113" s="42">
        <f t="shared" si="695"/>
        <v>-424866.43400953442</v>
      </c>
      <c r="AM113" s="42">
        <f t="shared" si="695"/>
        <v>-460117.6690852415</v>
      </c>
      <c r="AO113" s="42">
        <f t="shared" ref="AO113" si="696">+AO111-AO112</f>
        <v>-1609.8430000000001</v>
      </c>
      <c r="AP113" s="42">
        <f t="shared" ref="AP113" si="697">+AP111-AP112</f>
        <v>-3108.152</v>
      </c>
      <c r="AQ113" s="42">
        <f t="shared" ref="AQ113" si="698">+AQ111-AQ112</f>
        <v>-21791.010999999999</v>
      </c>
      <c r="AR113" s="42">
        <f t="shared" ref="AR113" si="699">+AR111-AR112</f>
        <v>-34951.582999999999</v>
      </c>
      <c r="AS113" s="42">
        <f t="shared" ref="AS113" si="700">+AS111-AS112</f>
        <v>-70673.174999999988</v>
      </c>
      <c r="AT113" s="42">
        <f t="shared" ref="AT113" si="701">+AT111-AT112</f>
        <v>-81154.426000000007</v>
      </c>
      <c r="AU113" s="42">
        <f t="shared" ref="AU113:AV113" si="702">+AU111-AU112</f>
        <v>-133977.24000000002</v>
      </c>
      <c r="AV113" s="42">
        <f t="shared" si="702"/>
        <v>-211329.74099999998</v>
      </c>
      <c r="AW113" s="42">
        <f>+AI113</f>
        <v>-339093.5790663223</v>
      </c>
      <c r="AX113" s="42">
        <f t="shared" si="689"/>
        <v>-460117.6690852415</v>
      </c>
    </row>
    <row r="114" spans="1:50" s="1" customFormat="1" ht="10.15" x14ac:dyDescent="0.2">
      <c r="B114" s="20" t="s">
        <v>237</v>
      </c>
      <c r="E114" s="42"/>
      <c r="H114" s="53">
        <f t="shared" ref="H114:AG114" si="703">+H113-H820-H827</f>
        <v>-9484.2890000000007</v>
      </c>
      <c r="I114" s="53">
        <f t="shared" si="703"/>
        <v>-10330.874</v>
      </c>
      <c r="J114" s="53">
        <f t="shared" si="703"/>
        <v>-22471.297999999999</v>
      </c>
      <c r="K114" s="53">
        <f t="shared" si="703"/>
        <v>-21791.010999999999</v>
      </c>
      <c r="L114" s="53">
        <f t="shared" si="703"/>
        <v>-29421.238999999998</v>
      </c>
      <c r="M114" s="53">
        <f t="shared" si="703"/>
        <v>-31787.360999999997</v>
      </c>
      <c r="N114" s="53">
        <f t="shared" si="703"/>
        <v>-40254.824000000001</v>
      </c>
      <c r="O114" s="53">
        <f t="shared" si="703"/>
        <v>-40158.264999999999</v>
      </c>
      <c r="P114" s="53">
        <f t="shared" si="703"/>
        <v>-40460.667000000001</v>
      </c>
      <c r="Q114" s="53">
        <f t="shared" si="703"/>
        <v>-46256.235000000001</v>
      </c>
      <c r="R114" s="53">
        <f t="shared" si="703"/>
        <v>-42801.741999999998</v>
      </c>
      <c r="S114" s="53">
        <f t="shared" si="703"/>
        <v>-85105.96699999999</v>
      </c>
      <c r="T114" s="53">
        <f t="shared" si="703"/>
        <v>-82720.795999999988</v>
      </c>
      <c r="U114" s="53">
        <f t="shared" si="703"/>
        <v>-92181.278999999995</v>
      </c>
      <c r="V114" s="53">
        <f t="shared" si="703"/>
        <v>-97917.828000000009</v>
      </c>
      <c r="W114" s="53">
        <f t="shared" si="703"/>
        <v>-92943.333000000013</v>
      </c>
      <c r="X114" s="53">
        <f t="shared" si="703"/>
        <v>-95220.860000000015</v>
      </c>
      <c r="Y114" s="53">
        <f t="shared" si="703"/>
        <v>-119380.041</v>
      </c>
      <c r="Z114" s="53">
        <f t="shared" si="703"/>
        <v>-137809.49599999998</v>
      </c>
      <c r="AA114" s="53">
        <f t="shared" si="703"/>
        <v>-149438.74600000001</v>
      </c>
      <c r="AB114" s="53">
        <f t="shared" si="703"/>
        <v>-157034.81800000003</v>
      </c>
      <c r="AC114" s="53">
        <f t="shared" si="703"/>
        <v>-179508.58600000004</v>
      </c>
      <c r="AD114" s="53">
        <f t="shared" si="703"/>
        <v>-202846.66500000001</v>
      </c>
      <c r="AE114" s="53">
        <f t="shared" si="703"/>
        <v>-217209.83399999997</v>
      </c>
      <c r="AF114" s="53">
        <f t="shared" si="703"/>
        <v>-242131.62</v>
      </c>
      <c r="AG114" s="53">
        <f t="shared" si="703"/>
        <v>-284927.179</v>
      </c>
      <c r="AH114" s="53">
        <f t="shared" ref="AH114:AI114" si="704">+-AH112</f>
        <v>-312374.35240180715</v>
      </c>
      <c r="AI114" s="53">
        <f t="shared" si="704"/>
        <v>-344357.92506632232</v>
      </c>
      <c r="AJ114" s="53">
        <f t="shared" ref="AJ114:AM114" si="705">+-AJ112</f>
        <v>-370238.44676058908</v>
      </c>
      <c r="AK114" s="53">
        <f t="shared" si="705"/>
        <v>-400999.43614589225</v>
      </c>
      <c r="AL114" s="53">
        <f t="shared" si="705"/>
        <v>-430130.78000953444</v>
      </c>
      <c r="AM114" s="53">
        <f t="shared" si="705"/>
        <v>-465382.01508524152</v>
      </c>
      <c r="AO114" s="53">
        <f t="shared" ref="AO114:AV114" si="706">+AO113-AO820-AO827</f>
        <v>-1609.8430000000001</v>
      </c>
      <c r="AP114" s="53">
        <f t="shared" si="706"/>
        <v>-3108.152</v>
      </c>
      <c r="AQ114" s="53">
        <f t="shared" si="706"/>
        <v>-21791.010999999999</v>
      </c>
      <c r="AR114" s="53">
        <f t="shared" si="706"/>
        <v>-40158.264999999999</v>
      </c>
      <c r="AS114" s="53">
        <f t="shared" si="706"/>
        <v>-85105.96699999999</v>
      </c>
      <c r="AT114" s="53">
        <f t="shared" si="706"/>
        <v>-92943.333000000013</v>
      </c>
      <c r="AU114" s="53">
        <f t="shared" si="706"/>
        <v>-149438.74600000001</v>
      </c>
      <c r="AV114" s="53">
        <f t="shared" si="706"/>
        <v>-217209.83399999997</v>
      </c>
      <c r="AW114" s="53">
        <f>+AI114</f>
        <v>-344357.92506632232</v>
      </c>
      <c r="AX114" s="53">
        <f t="shared" si="689"/>
        <v>-465382.01508524152</v>
      </c>
    </row>
    <row r="115" spans="1:50" ht="10.15" x14ac:dyDescent="0.2">
      <c r="B115" s="30"/>
      <c r="H115" s="44"/>
      <c r="I115" s="44"/>
      <c r="J115" s="44"/>
      <c r="K115" s="44"/>
      <c r="L115" s="44"/>
      <c r="M115" s="44"/>
      <c r="N115" s="44"/>
      <c r="O115" s="44"/>
      <c r="P115" s="44"/>
      <c r="Q115" s="44"/>
      <c r="R115" s="44"/>
      <c r="S115" s="44"/>
      <c r="T115" s="44"/>
      <c r="U115" s="44"/>
      <c r="V115" s="44"/>
      <c r="W115" s="44"/>
      <c r="X115" s="44"/>
      <c r="Y115" s="44"/>
      <c r="Z115" s="44"/>
      <c r="AA115" s="42"/>
      <c r="AB115" s="213"/>
      <c r="AC115" s="214"/>
      <c r="AD115" s="214"/>
      <c r="AE115" s="213"/>
      <c r="AF115" s="213"/>
      <c r="AG115" s="33"/>
      <c r="AO115" s="44"/>
      <c r="AP115" s="44"/>
      <c r="AQ115" s="44"/>
      <c r="AR115" s="44"/>
      <c r="AS115" s="44"/>
      <c r="AT115" s="44"/>
      <c r="AU115" s="44"/>
    </row>
    <row r="116" spans="1:50" ht="10.15" outlineLevel="1" x14ac:dyDescent="0.2">
      <c r="B116" s="6" t="s">
        <v>377</v>
      </c>
      <c r="C116" s="5"/>
    </row>
    <row r="117" spans="1:50" ht="10.15" outlineLevel="1" x14ac:dyDescent="0.2">
      <c r="B117" s="1"/>
      <c r="F117" s="10"/>
    </row>
    <row r="118" spans="1:50" ht="10.15" outlineLevel="1" x14ac:dyDescent="0.2">
      <c r="A118" t="s">
        <v>246</v>
      </c>
      <c r="B118" t="s">
        <v>226</v>
      </c>
      <c r="H118" s="10">
        <f>+H548</f>
        <v>1108.0999999999999</v>
      </c>
      <c r="I118" s="10">
        <f t="shared" ref="I118:AD118" si="707">+I548</f>
        <v>2370.9520000000002</v>
      </c>
      <c r="J118" s="10">
        <f t="shared" si="707"/>
        <v>2974.145</v>
      </c>
      <c r="K118" s="10">
        <f t="shared" si="707"/>
        <v>5062.3779999999997</v>
      </c>
      <c r="L118" s="10">
        <f t="shared" si="707"/>
        <v>3948.4140000000002</v>
      </c>
      <c r="M118" s="10">
        <f t="shared" si="707"/>
        <v>6467.0730000000003</v>
      </c>
      <c r="N118" s="10">
        <f t="shared" si="707"/>
        <v>6711.4549999999999</v>
      </c>
      <c r="O118" s="10">
        <f t="shared" si="707"/>
        <v>9686.6990000000005</v>
      </c>
      <c r="P118" s="10">
        <f t="shared" si="707"/>
        <v>5492.27</v>
      </c>
      <c r="Q118" s="10">
        <f t="shared" si="707"/>
        <v>11054.698</v>
      </c>
      <c r="R118" s="10">
        <f t="shared" si="707"/>
        <v>12484.835999999999</v>
      </c>
      <c r="S118" s="10">
        <f t="shared" si="707"/>
        <v>18921.974999999999</v>
      </c>
      <c r="T118" s="10">
        <f t="shared" si="707"/>
        <v>14111.486000000001</v>
      </c>
      <c r="U118" s="10">
        <f t="shared" si="707"/>
        <v>18080.419000000002</v>
      </c>
      <c r="V118" s="10">
        <f t="shared" si="707"/>
        <v>17946.495999999999</v>
      </c>
      <c r="W118" s="10">
        <f t="shared" si="707"/>
        <v>22425.001000000004</v>
      </c>
      <c r="X118" s="10">
        <f t="shared" si="707"/>
        <v>18158.424999999999</v>
      </c>
      <c r="Y118" s="10">
        <f t="shared" si="707"/>
        <v>25172.651000000002</v>
      </c>
      <c r="Z118" s="10">
        <f t="shared" si="707"/>
        <v>28425.645</v>
      </c>
      <c r="AA118" s="10">
        <f t="shared" si="707"/>
        <v>30965.202999999994</v>
      </c>
      <c r="AB118" s="10">
        <f t="shared" si="707"/>
        <v>27244.425999999999</v>
      </c>
      <c r="AC118" s="10">
        <f t="shared" si="707"/>
        <v>37932.830999999998</v>
      </c>
      <c r="AD118" s="10">
        <f t="shared" si="707"/>
        <v>39687.678</v>
      </c>
      <c r="AE118" s="10">
        <f t="shared" ref="AE118:AG118" si="708">+AE548</f>
        <v>48675.618000000002</v>
      </c>
      <c r="AF118" s="10">
        <f t="shared" si="708"/>
        <v>42456.243000000002</v>
      </c>
      <c r="AG118" s="10">
        <f t="shared" si="708"/>
        <v>49115.866000000002</v>
      </c>
      <c r="AH118" s="14">
        <f t="shared" ref="AH118:AI121" si="709">+AH192</f>
        <v>48156.01129980883</v>
      </c>
      <c r="AI118" s="14">
        <f t="shared" si="709"/>
        <v>57505.364976837387</v>
      </c>
      <c r="AJ118" s="14">
        <f t="shared" ref="AJ118:AM118" si="710">+AJ192</f>
        <v>47730.348550340503</v>
      </c>
      <c r="AK118" s="14">
        <f t="shared" si="710"/>
        <v>55788.38336061361</v>
      </c>
      <c r="AL118" s="14">
        <f t="shared" si="710"/>
        <v>55273.899706789445</v>
      </c>
      <c r="AM118" s="14">
        <f t="shared" si="710"/>
        <v>67927.652046612813</v>
      </c>
      <c r="AO118" s="10">
        <f t="shared" ref="AO118:AU118" si="711">+AO548</f>
        <v>0</v>
      </c>
      <c r="AP118" s="10">
        <f t="shared" si="711"/>
        <v>1209.2750000000001</v>
      </c>
      <c r="AQ118" s="10">
        <f t="shared" si="711"/>
        <v>11515.575000000001</v>
      </c>
      <c r="AR118" s="10">
        <f t="shared" si="711"/>
        <v>26813.641</v>
      </c>
      <c r="AS118" s="10">
        <f t="shared" si="711"/>
        <v>47953.779000000002</v>
      </c>
      <c r="AT118" s="10">
        <f t="shared" si="711"/>
        <v>72563.402000000002</v>
      </c>
      <c r="AU118" s="10">
        <f t="shared" si="711"/>
        <v>102721.924</v>
      </c>
      <c r="AV118" s="10">
        <f t="shared" ref="AV118" si="712">+AV548</f>
        <v>153540.55300000001</v>
      </c>
      <c r="AW118" s="10">
        <f>+SUM(AF118:AI118)</f>
        <v>197233.48527664621</v>
      </c>
      <c r="AX118" s="10"/>
    </row>
    <row r="119" spans="1:50" ht="12" outlineLevel="1" x14ac:dyDescent="0.35">
      <c r="A119" t="s">
        <v>247</v>
      </c>
      <c r="B119" t="s">
        <v>227</v>
      </c>
      <c r="H119" s="25">
        <f>+H549</f>
        <v>276.50400000000002</v>
      </c>
      <c r="I119" s="25">
        <f t="shared" ref="I119:AD119" si="713">+I549</f>
        <v>338.09399999999999</v>
      </c>
      <c r="J119" s="25">
        <f t="shared" si="713"/>
        <v>398.27300000000002</v>
      </c>
      <c r="K119" s="25">
        <f t="shared" si="713"/>
        <v>591.54399999999998</v>
      </c>
      <c r="L119" s="25">
        <f t="shared" si="713"/>
        <v>596.79</v>
      </c>
      <c r="M119" s="25">
        <f t="shared" si="713"/>
        <v>822.93499999999995</v>
      </c>
      <c r="N119" s="25">
        <f t="shared" si="713"/>
        <v>802.49300000000005</v>
      </c>
      <c r="O119" s="25">
        <f t="shared" si="713"/>
        <v>1106.027</v>
      </c>
      <c r="P119" s="25">
        <f t="shared" si="713"/>
        <v>1048.789</v>
      </c>
      <c r="Q119" s="25">
        <f t="shared" si="713"/>
        <v>1138.617</v>
      </c>
      <c r="R119" s="25">
        <f t="shared" si="713"/>
        <v>1332.124</v>
      </c>
      <c r="S119" s="25">
        <f t="shared" si="713"/>
        <v>2267.8850000000002</v>
      </c>
      <c r="T119" s="25">
        <f t="shared" si="713"/>
        <v>2931.4749999999999</v>
      </c>
      <c r="U119" s="25">
        <f t="shared" si="713"/>
        <v>3007.6379999999999</v>
      </c>
      <c r="V119" s="25">
        <f t="shared" si="713"/>
        <v>3477.1469999999999</v>
      </c>
      <c r="W119" s="25">
        <f t="shared" si="713"/>
        <v>4724.1890000000021</v>
      </c>
      <c r="X119" s="25">
        <f t="shared" si="713"/>
        <v>5591.4070000000002</v>
      </c>
      <c r="Y119" s="25">
        <f t="shared" si="713"/>
        <v>6216.2070000000003</v>
      </c>
      <c r="Z119" s="25">
        <f t="shared" si="713"/>
        <v>7022.2520000000004</v>
      </c>
      <c r="AA119" s="25">
        <f t="shared" si="713"/>
        <v>8796.627999999997</v>
      </c>
      <c r="AB119" s="25">
        <f t="shared" si="713"/>
        <v>10392.624</v>
      </c>
      <c r="AC119" s="25">
        <f t="shared" si="713"/>
        <v>14347.916999999999</v>
      </c>
      <c r="AD119" s="25">
        <f t="shared" si="713"/>
        <v>29152.692999999999</v>
      </c>
      <c r="AE119" s="25">
        <f t="shared" ref="AE119:AG119" si="714">+AE549</f>
        <v>40205.417999999998</v>
      </c>
      <c r="AF119" s="25">
        <f t="shared" si="714"/>
        <v>44355.815999999999</v>
      </c>
      <c r="AG119" s="25">
        <f t="shared" si="714"/>
        <v>47943.665000000001</v>
      </c>
      <c r="AH119" s="15">
        <f t="shared" si="709"/>
        <v>49469.165636813108</v>
      </c>
      <c r="AI119" s="15">
        <f t="shared" si="709"/>
        <v>52854.314222277295</v>
      </c>
      <c r="AJ119" s="15">
        <f t="shared" ref="AJ119:AM119" si="715">+AJ193</f>
        <v>48429.175981943954</v>
      </c>
      <c r="AK119" s="15">
        <f t="shared" si="715"/>
        <v>57392.667858095207</v>
      </c>
      <c r="AL119" s="15">
        <f t="shared" si="715"/>
        <v>61123.32610270202</v>
      </c>
      <c r="AM119" s="15">
        <f t="shared" si="715"/>
        <v>66653.744108848987</v>
      </c>
      <c r="AO119" s="25">
        <f t="shared" ref="AO119:AU119" si="716">+AO549</f>
        <v>48.276000000000003</v>
      </c>
      <c r="AP119" s="25">
        <f t="shared" si="716"/>
        <v>531.41600000000005</v>
      </c>
      <c r="AQ119" s="25">
        <f t="shared" si="716"/>
        <v>1604.415</v>
      </c>
      <c r="AR119" s="25">
        <f t="shared" si="716"/>
        <v>3328.2449999999999</v>
      </c>
      <c r="AS119" s="25">
        <f t="shared" si="716"/>
        <v>5787.415</v>
      </c>
      <c r="AT119" s="25">
        <f t="shared" si="716"/>
        <v>14140.449000000001</v>
      </c>
      <c r="AU119" s="25">
        <f t="shared" si="716"/>
        <v>27626.493999999999</v>
      </c>
      <c r="AV119" s="25">
        <f t="shared" ref="AV119" si="717">+AV549</f>
        <v>94098.652000000002</v>
      </c>
      <c r="AW119" s="25">
        <f>+SUM(AF119:AI119)</f>
        <v>194622.96085909041</v>
      </c>
      <c r="AX119" s="25"/>
    </row>
    <row r="120" spans="1:50" ht="10.15" outlineLevel="1" x14ac:dyDescent="0.2">
      <c r="B120" s="4" t="s">
        <v>224</v>
      </c>
      <c r="H120" s="10">
        <f>SUM(H118:H119)</f>
        <v>1384.6039999999998</v>
      </c>
      <c r="I120" s="10">
        <f t="shared" ref="I120:AD120" si="718">SUM(I118:I119)</f>
        <v>2709.0460000000003</v>
      </c>
      <c r="J120" s="10">
        <f t="shared" si="718"/>
        <v>3372.4180000000001</v>
      </c>
      <c r="K120" s="10">
        <f t="shared" si="718"/>
        <v>5653.9219999999996</v>
      </c>
      <c r="L120" s="10">
        <f t="shared" si="718"/>
        <v>4545.2039999999997</v>
      </c>
      <c r="M120" s="10">
        <f t="shared" si="718"/>
        <v>7290.0079999999998</v>
      </c>
      <c r="N120" s="10">
        <f t="shared" si="718"/>
        <v>7513.9480000000003</v>
      </c>
      <c r="O120" s="10">
        <f t="shared" si="718"/>
        <v>10792.726000000001</v>
      </c>
      <c r="P120" s="10">
        <f t="shared" si="718"/>
        <v>6541.0590000000002</v>
      </c>
      <c r="Q120" s="10">
        <f t="shared" si="718"/>
        <v>12193.315000000001</v>
      </c>
      <c r="R120" s="10">
        <f t="shared" si="718"/>
        <v>13816.96</v>
      </c>
      <c r="S120" s="10">
        <f t="shared" si="718"/>
        <v>21189.86</v>
      </c>
      <c r="T120" s="10">
        <f t="shared" si="718"/>
        <v>17042.960999999999</v>
      </c>
      <c r="U120" s="10">
        <f t="shared" si="718"/>
        <v>21088.057000000001</v>
      </c>
      <c r="V120" s="10">
        <f t="shared" si="718"/>
        <v>21423.643</v>
      </c>
      <c r="W120" s="10">
        <f t="shared" si="718"/>
        <v>27149.190000000006</v>
      </c>
      <c r="X120" s="10">
        <f t="shared" si="718"/>
        <v>23749.831999999999</v>
      </c>
      <c r="Y120" s="10">
        <f t="shared" si="718"/>
        <v>31388.858</v>
      </c>
      <c r="Z120" s="10">
        <f t="shared" si="718"/>
        <v>35447.896999999997</v>
      </c>
      <c r="AA120" s="10">
        <f t="shared" si="718"/>
        <v>39761.830999999991</v>
      </c>
      <c r="AB120" s="10">
        <f t="shared" si="718"/>
        <v>37637.050000000003</v>
      </c>
      <c r="AC120" s="10">
        <f t="shared" si="718"/>
        <v>52280.748</v>
      </c>
      <c r="AD120" s="10">
        <f t="shared" si="718"/>
        <v>68840.370999999999</v>
      </c>
      <c r="AE120" s="10">
        <f t="shared" ref="AE120:AG120" si="719">SUM(AE118:AE119)</f>
        <v>88881.035999999993</v>
      </c>
      <c r="AF120" s="10">
        <f t="shared" si="719"/>
        <v>86812.059000000008</v>
      </c>
      <c r="AG120" s="10">
        <f t="shared" si="719"/>
        <v>97059.531000000003</v>
      </c>
      <c r="AH120" s="10">
        <f t="shared" ref="AH120" si="720">SUM(AH118:AH119)</f>
        <v>97625.176936621938</v>
      </c>
      <c r="AI120" s="10">
        <f t="shared" ref="AI120" si="721">SUM(AI118:AI119)</f>
        <v>110359.67919911467</v>
      </c>
      <c r="AJ120" s="10">
        <f t="shared" ref="AJ120:AM120" si="722">SUM(AJ118:AJ119)</f>
        <v>96159.524532284457</v>
      </c>
      <c r="AK120" s="10">
        <f t="shared" si="722"/>
        <v>113181.05121870882</v>
      </c>
      <c r="AL120" s="10">
        <f t="shared" si="722"/>
        <v>116397.22580949147</v>
      </c>
      <c r="AM120" s="10">
        <f t="shared" si="722"/>
        <v>134581.39615546179</v>
      </c>
      <c r="AO120" s="10">
        <f t="shared" ref="AO120" si="723">SUM(AO118:AO119)</f>
        <v>48.276000000000003</v>
      </c>
      <c r="AP120" s="10">
        <f t="shared" ref="AP120" si="724">SUM(AP118:AP119)</f>
        <v>1740.6910000000003</v>
      </c>
      <c r="AQ120" s="10">
        <f t="shared" ref="AQ120" si="725">SUM(AQ118:AQ119)</f>
        <v>13119.990000000002</v>
      </c>
      <c r="AR120" s="10">
        <f t="shared" ref="AR120" si="726">SUM(AR118:AR119)</f>
        <v>30141.885999999999</v>
      </c>
      <c r="AS120" s="10">
        <f t="shared" ref="AS120" si="727">SUM(AS118:AS119)</f>
        <v>53741.194000000003</v>
      </c>
      <c r="AT120" s="10">
        <f t="shared" ref="AT120" si="728">SUM(AT118:AT119)</f>
        <v>86703.850999999995</v>
      </c>
      <c r="AU120" s="10">
        <f t="shared" ref="AU120:AV120" si="729">SUM(AU118:AU119)</f>
        <v>130348.41800000001</v>
      </c>
      <c r="AV120" s="10">
        <f t="shared" si="729"/>
        <v>247639.20500000002</v>
      </c>
      <c r="AW120" s="10">
        <f>+SUM(AF120:AI120)</f>
        <v>391856.44613573665</v>
      </c>
      <c r="AX120" s="10"/>
    </row>
    <row r="121" spans="1:50" ht="12" outlineLevel="1" x14ac:dyDescent="0.35">
      <c r="B121" t="s">
        <v>223</v>
      </c>
      <c r="H121" s="25">
        <f>+H550</f>
        <v>0</v>
      </c>
      <c r="I121" s="25">
        <f t="shared" ref="I121:AD121" si="730">+I550</f>
        <v>0</v>
      </c>
      <c r="J121" s="25">
        <f t="shared" si="730"/>
        <v>0</v>
      </c>
      <c r="K121" s="25">
        <f t="shared" si="730"/>
        <v>0</v>
      </c>
      <c r="L121" s="25">
        <f t="shared" si="730"/>
        <v>0</v>
      </c>
      <c r="M121" s="25">
        <f t="shared" si="730"/>
        <v>0</v>
      </c>
      <c r="N121" s="25">
        <f t="shared" si="730"/>
        <v>0</v>
      </c>
      <c r="O121" s="25">
        <f t="shared" si="730"/>
        <v>0</v>
      </c>
      <c r="P121" s="25">
        <f t="shared" si="730"/>
        <v>0</v>
      </c>
      <c r="Q121" s="25">
        <f t="shared" si="730"/>
        <v>0</v>
      </c>
      <c r="R121" s="25">
        <f t="shared" si="730"/>
        <v>392.822</v>
      </c>
      <c r="S121" s="25">
        <f t="shared" si="730"/>
        <v>5357.8490000000002</v>
      </c>
      <c r="T121" s="25">
        <f t="shared" si="730"/>
        <v>5124.1379999999999</v>
      </c>
      <c r="U121" s="25">
        <f t="shared" si="730"/>
        <v>1958.163</v>
      </c>
      <c r="V121" s="25">
        <f t="shared" si="730"/>
        <v>82.114999999999995</v>
      </c>
      <c r="W121" s="25">
        <f t="shared" si="730"/>
        <v>81.67200000000048</v>
      </c>
      <c r="X121" s="25">
        <f t="shared" si="730"/>
        <v>43.856999999999999</v>
      </c>
      <c r="Y121" s="25">
        <f t="shared" si="730"/>
        <v>50.71</v>
      </c>
      <c r="Z121" s="25">
        <f t="shared" si="730"/>
        <v>56.406999999999996</v>
      </c>
      <c r="AA121" s="25">
        <f t="shared" si="730"/>
        <v>58.197000000000003</v>
      </c>
      <c r="AB121" s="25">
        <f t="shared" si="730"/>
        <v>0</v>
      </c>
      <c r="AC121" s="25">
        <f t="shared" si="730"/>
        <v>0</v>
      </c>
      <c r="AD121" s="25">
        <f t="shared" si="730"/>
        <v>0</v>
      </c>
      <c r="AE121" s="25">
        <f t="shared" ref="AE121:AG121" si="731">+AE550</f>
        <v>0</v>
      </c>
      <c r="AF121" s="25">
        <f t="shared" si="731"/>
        <v>0</v>
      </c>
      <c r="AG121" s="25">
        <f t="shared" si="731"/>
        <v>0</v>
      </c>
      <c r="AH121" s="15">
        <f t="shared" si="709"/>
        <v>0</v>
      </c>
      <c r="AI121" s="15">
        <f t="shared" si="709"/>
        <v>0</v>
      </c>
      <c r="AJ121" s="15">
        <f t="shared" ref="AJ121:AM121" si="732">+AJ195</f>
        <v>0</v>
      </c>
      <c r="AK121" s="15">
        <f t="shared" si="732"/>
        <v>0</v>
      </c>
      <c r="AL121" s="15">
        <f t="shared" si="732"/>
        <v>0</v>
      </c>
      <c r="AM121" s="15">
        <f t="shared" si="732"/>
        <v>0</v>
      </c>
      <c r="AO121" s="25">
        <f t="shared" ref="AO121:AU121" si="733">+AO550</f>
        <v>456.58800000000002</v>
      </c>
      <c r="AP121" s="25">
        <f t="shared" si="733"/>
        <v>3.3849999999999998</v>
      </c>
      <c r="AQ121" s="25">
        <f t="shared" si="733"/>
        <v>0</v>
      </c>
      <c r="AR121" s="25">
        <f t="shared" si="733"/>
        <v>0</v>
      </c>
      <c r="AS121" s="25">
        <f t="shared" si="733"/>
        <v>5750.6710000000003</v>
      </c>
      <c r="AT121" s="25">
        <f t="shared" si="733"/>
        <v>7246.0879999999997</v>
      </c>
      <c r="AU121" s="25">
        <f t="shared" si="733"/>
        <v>209.17099999999999</v>
      </c>
      <c r="AV121" s="25">
        <f t="shared" ref="AV121" si="734">+AV550</f>
        <v>0</v>
      </c>
      <c r="AW121" s="25">
        <f>+SUM(AF121:AI121)</f>
        <v>0</v>
      </c>
      <c r="AX121" s="25"/>
    </row>
    <row r="122" spans="1:50" s="1" customFormat="1" ht="10.15" outlineLevel="1" x14ac:dyDescent="0.2">
      <c r="A122" s="1" t="s">
        <v>73</v>
      </c>
      <c r="B122" s="38" t="s">
        <v>225</v>
      </c>
      <c r="H122" s="42">
        <f>+SUM(H120:H121)</f>
        <v>1384.6039999999998</v>
      </c>
      <c r="I122" s="42">
        <f t="shared" ref="I122:AD122" si="735">+SUM(I120:I121)</f>
        <v>2709.0460000000003</v>
      </c>
      <c r="J122" s="42">
        <f t="shared" si="735"/>
        <v>3372.4180000000001</v>
      </c>
      <c r="K122" s="42">
        <f t="shared" si="735"/>
        <v>5653.9219999999996</v>
      </c>
      <c r="L122" s="42">
        <f t="shared" si="735"/>
        <v>4545.2039999999997</v>
      </c>
      <c r="M122" s="42">
        <f t="shared" si="735"/>
        <v>7290.0079999999998</v>
      </c>
      <c r="N122" s="42">
        <f t="shared" si="735"/>
        <v>7513.9480000000003</v>
      </c>
      <c r="O122" s="42">
        <f t="shared" si="735"/>
        <v>10792.726000000001</v>
      </c>
      <c r="P122" s="42">
        <f t="shared" si="735"/>
        <v>6541.0590000000002</v>
      </c>
      <c r="Q122" s="42">
        <f t="shared" si="735"/>
        <v>12193.315000000001</v>
      </c>
      <c r="R122" s="42">
        <f t="shared" si="735"/>
        <v>14209.781999999999</v>
      </c>
      <c r="S122" s="42">
        <f t="shared" si="735"/>
        <v>26547.709000000003</v>
      </c>
      <c r="T122" s="42">
        <f t="shared" si="735"/>
        <v>22167.098999999998</v>
      </c>
      <c r="U122" s="42">
        <f t="shared" si="735"/>
        <v>23046.22</v>
      </c>
      <c r="V122" s="42">
        <f t="shared" si="735"/>
        <v>21505.758000000002</v>
      </c>
      <c r="W122" s="42">
        <f t="shared" si="735"/>
        <v>27230.862000000008</v>
      </c>
      <c r="X122" s="42">
        <f t="shared" si="735"/>
        <v>23793.688999999998</v>
      </c>
      <c r="Y122" s="42">
        <f t="shared" si="735"/>
        <v>31439.567999999999</v>
      </c>
      <c r="Z122" s="42">
        <f t="shared" si="735"/>
        <v>35504.303999999996</v>
      </c>
      <c r="AA122" s="42">
        <f t="shared" si="735"/>
        <v>39820.027999999991</v>
      </c>
      <c r="AB122" s="42">
        <f t="shared" si="735"/>
        <v>37637.050000000003</v>
      </c>
      <c r="AC122" s="42">
        <f t="shared" si="735"/>
        <v>52280.748</v>
      </c>
      <c r="AD122" s="42">
        <f t="shared" si="735"/>
        <v>68840.370999999999</v>
      </c>
      <c r="AE122" s="42">
        <f t="shared" ref="AE122:AG122" si="736">+SUM(AE120:AE121)</f>
        <v>88881.035999999993</v>
      </c>
      <c r="AF122" s="42">
        <f t="shared" si="736"/>
        <v>86812.059000000008</v>
      </c>
      <c r="AG122" s="42">
        <f t="shared" si="736"/>
        <v>97059.531000000003</v>
      </c>
      <c r="AH122" s="42">
        <f t="shared" ref="AH122" si="737">+SUM(AH120:AH121)</f>
        <v>97625.176936621938</v>
      </c>
      <c r="AI122" s="42">
        <f t="shared" ref="AI122" si="738">+SUM(AI120:AI121)</f>
        <v>110359.67919911467</v>
      </c>
      <c r="AJ122" s="42">
        <f t="shared" ref="AJ122:AM122" si="739">+SUM(AJ120:AJ121)</f>
        <v>96159.524532284457</v>
      </c>
      <c r="AK122" s="42">
        <f t="shared" si="739"/>
        <v>113181.05121870882</v>
      </c>
      <c r="AL122" s="42">
        <f t="shared" si="739"/>
        <v>116397.22580949147</v>
      </c>
      <c r="AM122" s="42">
        <f t="shared" si="739"/>
        <v>134581.39615546179</v>
      </c>
      <c r="AO122" s="42">
        <f t="shared" ref="AO122" si="740">+SUM(AO120:AO121)</f>
        <v>504.86400000000003</v>
      </c>
      <c r="AP122" s="42">
        <f t="shared" ref="AP122" si="741">+SUM(AP120:AP121)</f>
        <v>1744.0760000000002</v>
      </c>
      <c r="AQ122" s="42">
        <f t="shared" ref="AQ122" si="742">+SUM(AQ120:AQ121)</f>
        <v>13119.990000000002</v>
      </c>
      <c r="AR122" s="42">
        <f t="shared" ref="AR122" si="743">+SUM(AR120:AR121)</f>
        <v>30141.885999999999</v>
      </c>
      <c r="AS122" s="42">
        <f t="shared" ref="AS122" si="744">+SUM(AS120:AS121)</f>
        <v>59491.865000000005</v>
      </c>
      <c r="AT122" s="42">
        <f t="shared" ref="AT122" si="745">+SUM(AT120:AT121)</f>
        <v>93949.938999999998</v>
      </c>
      <c r="AU122" s="42">
        <f t="shared" ref="AU122:AV122" si="746">+SUM(AU120:AU121)</f>
        <v>130557.58900000001</v>
      </c>
      <c r="AV122" s="42">
        <f t="shared" si="746"/>
        <v>247639.20500000002</v>
      </c>
      <c r="AW122" s="42">
        <f>+SUM(AF122:AI122)</f>
        <v>391856.44613573665</v>
      </c>
      <c r="AX122" s="42"/>
    </row>
    <row r="123" spans="1:50" ht="10.15" outlineLevel="1" x14ac:dyDescent="0.2"/>
    <row r="124" spans="1:50" ht="10.15" outlineLevel="1" x14ac:dyDescent="0.2">
      <c r="B124" s="19" t="s">
        <v>86</v>
      </c>
    </row>
    <row r="125" spans="1:50" ht="10.15" outlineLevel="1" x14ac:dyDescent="0.2">
      <c r="B125" s="20" t="s">
        <v>226</v>
      </c>
      <c r="L125" s="46">
        <f>IFERROR(L118/H118-1,"n/a")</f>
        <v>2.5632289504557355</v>
      </c>
      <c r="M125" s="46">
        <f t="shared" ref="M125:AG129" si="747">IFERROR(M118/I118-1,"n/a")</f>
        <v>1.7276271303678858</v>
      </c>
      <c r="N125" s="46">
        <f t="shared" si="747"/>
        <v>1.2565997959077313</v>
      </c>
      <c r="O125" s="46">
        <f t="shared" si="747"/>
        <v>0.91346813691115147</v>
      </c>
      <c r="P125" s="46">
        <f t="shared" si="747"/>
        <v>0.39100661683399962</v>
      </c>
      <c r="Q125" s="46">
        <f t="shared" si="747"/>
        <v>0.7093819723389545</v>
      </c>
      <c r="R125" s="46">
        <f t="shared" si="747"/>
        <v>0.86022792375125801</v>
      </c>
      <c r="S125" s="46">
        <f t="shared" si="747"/>
        <v>0.95339764351096257</v>
      </c>
      <c r="T125" s="46">
        <f t="shared" si="747"/>
        <v>1.5693358119684575</v>
      </c>
      <c r="U125" s="46">
        <f t="shared" si="747"/>
        <v>0.63554164935125335</v>
      </c>
      <c r="V125" s="46">
        <f t="shared" si="747"/>
        <v>0.43746349571592291</v>
      </c>
      <c r="W125" s="46">
        <f t="shared" si="747"/>
        <v>0.18513004060094174</v>
      </c>
      <c r="X125" s="46">
        <f t="shared" si="747"/>
        <v>0.28678333380339938</v>
      </c>
      <c r="Y125" s="46">
        <f t="shared" si="747"/>
        <v>0.39226037847906059</v>
      </c>
      <c r="Z125" s="46">
        <f t="shared" si="747"/>
        <v>0.58391058622251402</v>
      </c>
      <c r="AA125" s="46">
        <f t="shared" si="747"/>
        <v>0.3808339629505475</v>
      </c>
      <c r="AB125" s="46">
        <f t="shared" si="747"/>
        <v>0.50037384850282995</v>
      </c>
      <c r="AC125" s="46">
        <f t="shared" si="747"/>
        <v>0.50690648354835566</v>
      </c>
      <c r="AD125" s="46">
        <f t="shared" si="747"/>
        <v>0.39619269852979588</v>
      </c>
      <c r="AE125" s="46">
        <f t="shared" si="747"/>
        <v>0.57194570951141555</v>
      </c>
      <c r="AF125" s="46">
        <f t="shared" si="747"/>
        <v>0.55834602644959386</v>
      </c>
      <c r="AG125" s="46">
        <f t="shared" si="747"/>
        <v>0.29481150510490517</v>
      </c>
      <c r="AH125" s="46">
        <f t="shared" ref="AH125:AH129" si="748">IFERROR(AH118/AD118-1,"n/a")</f>
        <v>0.21337437024682648</v>
      </c>
      <c r="AI125" s="46">
        <f t="shared" ref="AI125:AI129" si="749">IFERROR(AI118/AE118-1,"n/a")</f>
        <v>0.18139979192123223</v>
      </c>
      <c r="AJ125" s="46">
        <f t="shared" ref="AJ125:AJ129" si="750">IFERROR(AJ118/AF118-1,"n/a")</f>
        <v>0.12422449980655381</v>
      </c>
      <c r="AK125" s="46">
        <f t="shared" ref="AK125:AK129" si="751">IFERROR(AK118/AG118-1,"n/a")</f>
        <v>0.13585258499999986</v>
      </c>
      <c r="AL125" s="46">
        <f t="shared" ref="AL125:AL129" si="752">IFERROR(AL118/AH118-1,"n/a")</f>
        <v>0.14780892799999967</v>
      </c>
      <c r="AM125" s="46">
        <f t="shared" ref="AM125:AM129" si="753">IFERROR(AM118/AI118-1,"n/a")</f>
        <v>0.18124025599999971</v>
      </c>
      <c r="AP125" s="46" t="str">
        <f>IFERROR(AP118/AO118-1,"n/a")</f>
        <v>n/a</v>
      </c>
      <c r="AQ125" s="46">
        <f t="shared" ref="AQ125:AV125" si="754">IFERROR(AQ118/AP118-1,"n/a")</f>
        <v>8.5227098881561272</v>
      </c>
      <c r="AR125" s="46">
        <f t="shared" si="754"/>
        <v>1.3284674017580538</v>
      </c>
      <c r="AS125" s="46">
        <f t="shared" si="754"/>
        <v>0.7884098246858755</v>
      </c>
      <c r="AT125" s="46">
        <f t="shared" si="754"/>
        <v>0.51319465354336313</v>
      </c>
      <c r="AU125" s="46">
        <f t="shared" si="754"/>
        <v>0.41561615316768075</v>
      </c>
      <c r="AV125" s="46">
        <f t="shared" si="754"/>
        <v>0.49472037731692042</v>
      </c>
      <c r="AW125" s="46">
        <f t="shared" ref="AW125" si="755">IFERROR(AW118/AV118-1,"n/a")</f>
        <v>0.28456932988020567</v>
      </c>
      <c r="AX125" s="46"/>
    </row>
    <row r="126" spans="1:50" ht="12" outlineLevel="1" x14ac:dyDescent="0.35">
      <c r="B126" s="20" t="s">
        <v>227</v>
      </c>
      <c r="L126" s="47">
        <f t="shared" ref="L126:L129" si="756">IFERROR(L119/H119-1,"n/a")</f>
        <v>1.1583412898185919</v>
      </c>
      <c r="M126" s="47">
        <f t="shared" si="747"/>
        <v>1.4340420119848325</v>
      </c>
      <c r="N126" s="47">
        <f t="shared" si="747"/>
        <v>1.014931968775187</v>
      </c>
      <c r="O126" s="47">
        <f t="shared" si="747"/>
        <v>0.86972904805052553</v>
      </c>
      <c r="P126" s="47">
        <f t="shared" si="747"/>
        <v>0.75738366929740786</v>
      </c>
      <c r="Q126" s="47">
        <f t="shared" si="747"/>
        <v>0.38360502348302128</v>
      </c>
      <c r="R126" s="47">
        <f t="shared" si="747"/>
        <v>0.65998208084058052</v>
      </c>
      <c r="S126" s="47">
        <f t="shared" si="747"/>
        <v>1.0504788761938002</v>
      </c>
      <c r="T126" s="47">
        <f t="shared" si="747"/>
        <v>1.7951046397321102</v>
      </c>
      <c r="U126" s="47">
        <f t="shared" si="747"/>
        <v>1.6414834839107444</v>
      </c>
      <c r="V126" s="47">
        <f t="shared" si="747"/>
        <v>1.6102277265479787</v>
      </c>
      <c r="W126" s="47">
        <f t="shared" si="747"/>
        <v>1.0830813731736848</v>
      </c>
      <c r="X126" s="47">
        <f t="shared" si="747"/>
        <v>0.90736983941531157</v>
      </c>
      <c r="Y126" s="47">
        <f t="shared" si="747"/>
        <v>1.0668069096081378</v>
      </c>
      <c r="Z126" s="47">
        <f t="shared" si="747"/>
        <v>1.0195441837805537</v>
      </c>
      <c r="AA126" s="47">
        <f t="shared" si="747"/>
        <v>0.86203981254771844</v>
      </c>
      <c r="AB126" s="47">
        <f t="shared" si="747"/>
        <v>0.85867778897154134</v>
      </c>
      <c r="AC126" s="47">
        <f t="shared" si="747"/>
        <v>1.3081465916434247</v>
      </c>
      <c r="AD126" s="47">
        <f t="shared" si="747"/>
        <v>3.1514734874225532</v>
      </c>
      <c r="AE126" s="47">
        <f t="shared" si="747"/>
        <v>3.5705488512189003</v>
      </c>
      <c r="AF126" s="47">
        <f t="shared" si="747"/>
        <v>3.2680093112191875</v>
      </c>
      <c r="AG126" s="47">
        <f t="shared" si="747"/>
        <v>2.3415069936632618</v>
      </c>
      <c r="AH126" s="47">
        <f t="shared" si="748"/>
        <v>0.69689865827534736</v>
      </c>
      <c r="AI126" s="47">
        <f t="shared" si="749"/>
        <v>0.31460675828012286</v>
      </c>
      <c r="AJ126" s="47">
        <f t="shared" si="750"/>
        <v>9.183372890589947E-2</v>
      </c>
      <c r="AK126" s="47">
        <f t="shared" si="751"/>
        <v>0.1970855348270768</v>
      </c>
      <c r="AL126" s="47">
        <f t="shared" si="752"/>
        <v>0.23558433452163019</v>
      </c>
      <c r="AM126" s="47">
        <f t="shared" si="753"/>
        <v>0.26108426700114928</v>
      </c>
      <c r="AP126" s="47">
        <f t="shared" ref="AP126:AP129" si="757">IFERROR(AP119/AO119-1,"n/a")</f>
        <v>10.007871406081698</v>
      </c>
      <c r="AQ126" s="47">
        <f t="shared" ref="AQ126:AV126" si="758">IFERROR(AQ119/AP119-1,"n/a")</f>
        <v>2.0191319041955826</v>
      </c>
      <c r="AR126" s="47">
        <f t="shared" si="758"/>
        <v>1.0744289974850645</v>
      </c>
      <c r="AS126" s="47">
        <f t="shared" si="758"/>
        <v>0.73887889863877221</v>
      </c>
      <c r="AT126" s="47">
        <f t="shared" si="758"/>
        <v>1.4433100097366443</v>
      </c>
      <c r="AU126" s="47">
        <f t="shared" si="758"/>
        <v>0.95372113007161219</v>
      </c>
      <c r="AV126" s="47">
        <f t="shared" si="758"/>
        <v>2.4061018383295401</v>
      </c>
      <c r="AW126" s="47">
        <f t="shared" ref="AW126" si="759">IFERROR(AW119/AV119-1,"n/a")</f>
        <v>1.0682863858569451</v>
      </c>
      <c r="AX126" s="47"/>
    </row>
    <row r="127" spans="1:50" ht="10.15" outlineLevel="1" x14ac:dyDescent="0.2">
      <c r="B127" s="30" t="s">
        <v>224</v>
      </c>
      <c r="L127" s="46">
        <f t="shared" si="756"/>
        <v>2.2826743242111105</v>
      </c>
      <c r="M127" s="46">
        <f t="shared" si="747"/>
        <v>1.6909871593173387</v>
      </c>
      <c r="N127" s="46">
        <f t="shared" si="747"/>
        <v>1.228059511009608</v>
      </c>
      <c r="O127" s="46">
        <f t="shared" si="747"/>
        <v>0.90889191608939801</v>
      </c>
      <c r="P127" s="46">
        <f t="shared" si="747"/>
        <v>0.4391123038701894</v>
      </c>
      <c r="Q127" s="46">
        <f t="shared" si="747"/>
        <v>0.67260653211903199</v>
      </c>
      <c r="R127" s="46">
        <f t="shared" si="747"/>
        <v>0.83884157835534645</v>
      </c>
      <c r="S127" s="46">
        <f t="shared" si="747"/>
        <v>0.9633464242490728</v>
      </c>
      <c r="T127" s="46">
        <f t="shared" si="747"/>
        <v>1.6055354339412009</v>
      </c>
      <c r="U127" s="46">
        <f t="shared" si="747"/>
        <v>0.72947693059680652</v>
      </c>
      <c r="V127" s="46">
        <f t="shared" si="747"/>
        <v>0.55053231680485437</v>
      </c>
      <c r="W127" s="46">
        <f t="shared" si="747"/>
        <v>0.28123498692299087</v>
      </c>
      <c r="X127" s="46">
        <f t="shared" si="747"/>
        <v>0.39352733365991965</v>
      </c>
      <c r="Y127" s="46">
        <f t="shared" si="747"/>
        <v>0.48846610192679196</v>
      </c>
      <c r="Z127" s="46">
        <f t="shared" si="747"/>
        <v>0.65461574392366395</v>
      </c>
      <c r="AA127" s="46">
        <f t="shared" si="747"/>
        <v>0.46456785635225151</v>
      </c>
      <c r="AB127" s="46">
        <f t="shared" si="747"/>
        <v>0.58472910461008754</v>
      </c>
      <c r="AC127" s="46">
        <f t="shared" si="747"/>
        <v>0.66558299126397014</v>
      </c>
      <c r="AD127" s="46">
        <f t="shared" si="747"/>
        <v>0.94201565751559269</v>
      </c>
      <c r="AE127" s="46">
        <f t="shared" si="747"/>
        <v>1.2353355910596777</v>
      </c>
      <c r="AF127" s="46">
        <f t="shared" si="747"/>
        <v>1.3065585373986539</v>
      </c>
      <c r="AG127" s="46">
        <f t="shared" si="747"/>
        <v>0.85650616552004966</v>
      </c>
      <c r="AH127" s="46">
        <f t="shared" si="748"/>
        <v>0.41813844868183447</v>
      </c>
      <c r="AI127" s="46">
        <f t="shared" si="749"/>
        <v>0.24165608509687808</v>
      </c>
      <c r="AJ127" s="46">
        <f t="shared" si="750"/>
        <v>0.10767473597515353</v>
      </c>
      <c r="AK127" s="46">
        <f t="shared" si="751"/>
        <v>0.16609930063137046</v>
      </c>
      <c r="AL127" s="46">
        <f t="shared" si="752"/>
        <v>0.19228696389514677</v>
      </c>
      <c r="AM127" s="46">
        <f t="shared" si="753"/>
        <v>0.21947976953290582</v>
      </c>
      <c r="AP127" s="46">
        <f t="shared" si="757"/>
        <v>35.057067694092304</v>
      </c>
      <c r="AQ127" s="46">
        <f t="shared" ref="AQ127:AV127" si="760">IFERROR(AQ120/AP120-1,"n/a")</f>
        <v>6.5372309042788181</v>
      </c>
      <c r="AR127" s="46">
        <f t="shared" si="760"/>
        <v>1.2974015986292669</v>
      </c>
      <c r="AS127" s="46">
        <f t="shared" si="760"/>
        <v>0.78294065606909946</v>
      </c>
      <c r="AT127" s="46">
        <f t="shared" si="760"/>
        <v>0.6133592230942988</v>
      </c>
      <c r="AU127" s="46">
        <f t="shared" si="760"/>
        <v>0.50337518456936836</v>
      </c>
      <c r="AV127" s="46">
        <f t="shared" si="760"/>
        <v>0.89982516703808413</v>
      </c>
      <c r="AW127" s="46">
        <f t="shared" ref="AW127" si="761">IFERROR(AW120/AV120-1,"n/a")</f>
        <v>0.58236837392422025</v>
      </c>
      <c r="AX127" s="46"/>
    </row>
    <row r="128" spans="1:50" ht="12" outlineLevel="1" x14ac:dyDescent="0.35">
      <c r="B128" s="20" t="s">
        <v>223</v>
      </c>
      <c r="L128" s="47" t="str">
        <f t="shared" si="756"/>
        <v>n/a</v>
      </c>
      <c r="M128" s="47" t="str">
        <f t="shared" si="747"/>
        <v>n/a</v>
      </c>
      <c r="N128" s="47" t="str">
        <f t="shared" si="747"/>
        <v>n/a</v>
      </c>
      <c r="O128" s="47" t="str">
        <f t="shared" si="747"/>
        <v>n/a</v>
      </c>
      <c r="P128" s="47" t="str">
        <f t="shared" si="747"/>
        <v>n/a</v>
      </c>
      <c r="Q128" s="47" t="str">
        <f t="shared" si="747"/>
        <v>n/a</v>
      </c>
      <c r="R128" s="47" t="str">
        <f t="shared" si="747"/>
        <v>n/a</v>
      </c>
      <c r="S128" s="47" t="str">
        <f t="shared" si="747"/>
        <v>n/a</v>
      </c>
      <c r="T128" s="47" t="str">
        <f t="shared" si="747"/>
        <v>n/a</v>
      </c>
      <c r="U128" s="47" t="str">
        <f t="shared" si="747"/>
        <v>n/a</v>
      </c>
      <c r="V128" s="47">
        <f t="shared" si="747"/>
        <v>-0.79096130053815727</v>
      </c>
      <c r="W128" s="47">
        <f t="shared" si="747"/>
        <v>-0.98475656928741362</v>
      </c>
      <c r="X128" s="47">
        <f t="shared" si="747"/>
        <v>-0.99144109701963534</v>
      </c>
      <c r="Y128" s="47">
        <f t="shared" si="747"/>
        <v>-0.9741032794511999</v>
      </c>
      <c r="Z128" s="47">
        <f t="shared" si="747"/>
        <v>-0.31307312914814589</v>
      </c>
      <c r="AA128" s="47">
        <f t="shared" si="747"/>
        <v>-0.28743020863943991</v>
      </c>
      <c r="AB128" s="47">
        <f t="shared" si="747"/>
        <v>-1</v>
      </c>
      <c r="AC128" s="47">
        <f t="shared" si="747"/>
        <v>-1</v>
      </c>
      <c r="AD128" s="47">
        <f t="shared" si="747"/>
        <v>-1</v>
      </c>
      <c r="AE128" s="47">
        <f t="shared" si="747"/>
        <v>-1</v>
      </c>
      <c r="AF128" s="47" t="str">
        <f t="shared" si="747"/>
        <v>n/a</v>
      </c>
      <c r="AG128" s="47" t="str">
        <f t="shared" si="747"/>
        <v>n/a</v>
      </c>
      <c r="AH128" s="47" t="str">
        <f t="shared" si="748"/>
        <v>n/a</v>
      </c>
      <c r="AI128" s="47" t="str">
        <f t="shared" si="749"/>
        <v>n/a</v>
      </c>
      <c r="AJ128" s="47" t="str">
        <f t="shared" si="750"/>
        <v>n/a</v>
      </c>
      <c r="AK128" s="47" t="str">
        <f t="shared" si="751"/>
        <v>n/a</v>
      </c>
      <c r="AL128" s="47" t="str">
        <f t="shared" si="752"/>
        <v>n/a</v>
      </c>
      <c r="AM128" s="47" t="str">
        <f t="shared" si="753"/>
        <v>n/a</v>
      </c>
      <c r="AP128" s="47">
        <f t="shared" si="757"/>
        <v>-0.99258631413878595</v>
      </c>
      <c r="AQ128" s="47">
        <f t="shared" ref="AQ128:AV128" si="762">IFERROR(AQ121/AP121-1,"n/a")</f>
        <v>-1</v>
      </c>
      <c r="AR128" s="47" t="str">
        <f t="shared" si="762"/>
        <v>n/a</v>
      </c>
      <c r="AS128" s="47" t="str">
        <f t="shared" si="762"/>
        <v>n/a</v>
      </c>
      <c r="AT128" s="47">
        <f t="shared" si="762"/>
        <v>0.26004217594781531</v>
      </c>
      <c r="AU128" s="47">
        <f t="shared" si="762"/>
        <v>-0.97113325148687124</v>
      </c>
      <c r="AV128" s="47">
        <f t="shared" si="762"/>
        <v>-1</v>
      </c>
      <c r="AW128" s="47" t="str">
        <f t="shared" ref="AW128" si="763">IFERROR(AW121/AV121-1,"n/a")</f>
        <v>n/a</v>
      </c>
      <c r="AX128" s="47"/>
    </row>
    <row r="129" spans="2:51" ht="10.15" outlineLevel="1" x14ac:dyDescent="0.2">
      <c r="B129" s="30" t="s">
        <v>225</v>
      </c>
      <c r="L129" s="46">
        <f t="shared" si="756"/>
        <v>2.2826743242111105</v>
      </c>
      <c r="M129" s="46">
        <f t="shared" si="747"/>
        <v>1.6909871593173387</v>
      </c>
      <c r="N129" s="46">
        <f t="shared" si="747"/>
        <v>1.228059511009608</v>
      </c>
      <c r="O129" s="46">
        <f t="shared" si="747"/>
        <v>0.90889191608939801</v>
      </c>
      <c r="P129" s="46">
        <f t="shared" si="747"/>
        <v>0.4391123038701894</v>
      </c>
      <c r="Q129" s="46">
        <f t="shared" si="747"/>
        <v>0.67260653211903199</v>
      </c>
      <c r="R129" s="46">
        <f t="shared" si="747"/>
        <v>0.89112061994573266</v>
      </c>
      <c r="S129" s="46">
        <f t="shared" si="747"/>
        <v>1.4597779096773142</v>
      </c>
      <c r="T129" s="46">
        <f t="shared" si="747"/>
        <v>2.3889159232472905</v>
      </c>
      <c r="U129" s="46">
        <f t="shared" si="747"/>
        <v>0.89007009168548512</v>
      </c>
      <c r="V129" s="46">
        <f t="shared" si="747"/>
        <v>0.51344742656854292</v>
      </c>
      <c r="W129" s="46">
        <f t="shared" si="747"/>
        <v>2.573303029651286E-2</v>
      </c>
      <c r="X129" s="46">
        <f t="shared" si="747"/>
        <v>7.3378568842048297E-2</v>
      </c>
      <c r="Y129" s="46">
        <f t="shared" si="747"/>
        <v>0.36419629770088102</v>
      </c>
      <c r="Z129" s="46">
        <f t="shared" si="747"/>
        <v>0.6509208371079036</v>
      </c>
      <c r="AA129" s="46">
        <f t="shared" si="747"/>
        <v>0.46231243065313099</v>
      </c>
      <c r="AB129" s="46">
        <f t="shared" si="747"/>
        <v>0.58180810045890752</v>
      </c>
      <c r="AC129" s="46">
        <f t="shared" si="747"/>
        <v>0.66289651308185915</v>
      </c>
      <c r="AD129" s="46">
        <f t="shared" si="747"/>
        <v>0.93893030546381095</v>
      </c>
      <c r="AE129" s="46">
        <f t="shared" si="747"/>
        <v>1.2320686464610224</v>
      </c>
      <c r="AF129" s="46">
        <f t="shared" si="747"/>
        <v>1.3065585373986539</v>
      </c>
      <c r="AG129" s="46">
        <f t="shared" si="747"/>
        <v>0.85650616552004966</v>
      </c>
      <c r="AH129" s="46">
        <f t="shared" si="748"/>
        <v>0.41813844868183447</v>
      </c>
      <c r="AI129" s="46">
        <f t="shared" si="749"/>
        <v>0.24165608509687808</v>
      </c>
      <c r="AJ129" s="46">
        <f t="shared" si="750"/>
        <v>0.10767473597515353</v>
      </c>
      <c r="AK129" s="46">
        <f t="shared" si="751"/>
        <v>0.16609930063137046</v>
      </c>
      <c r="AL129" s="46">
        <f t="shared" si="752"/>
        <v>0.19228696389514677</v>
      </c>
      <c r="AM129" s="46">
        <f t="shared" si="753"/>
        <v>0.21947976953290582</v>
      </c>
      <c r="AP129" s="46">
        <f t="shared" si="757"/>
        <v>2.4545461748114348</v>
      </c>
      <c r="AQ129" s="46">
        <f t="shared" ref="AQ129:AV129" si="764">IFERROR(AQ122/AP122-1,"n/a")</f>
        <v>6.5226022260497825</v>
      </c>
      <c r="AR129" s="46">
        <f t="shared" si="764"/>
        <v>1.2974015986292669</v>
      </c>
      <c r="AS129" s="46">
        <f t="shared" si="764"/>
        <v>0.97372735733921911</v>
      </c>
      <c r="AT129" s="46">
        <f t="shared" si="764"/>
        <v>0.57920648478577674</v>
      </c>
      <c r="AU129" s="46">
        <f t="shared" si="764"/>
        <v>0.38965059892162368</v>
      </c>
      <c r="AV129" s="46">
        <f t="shared" si="764"/>
        <v>0.89678138893940518</v>
      </c>
      <c r="AW129" s="46">
        <f t="shared" ref="AW129" si="765">IFERROR(AW122/AV122-1,"n/a")</f>
        <v>0.58236837392422025</v>
      </c>
      <c r="AX129" s="46"/>
    </row>
    <row r="130" spans="2:51" ht="10.15" outlineLevel="1" x14ac:dyDescent="0.2">
      <c r="B130" s="30"/>
      <c r="L130" s="46"/>
      <c r="M130" s="46"/>
      <c r="N130" s="46"/>
      <c r="O130" s="46"/>
      <c r="P130" s="46"/>
      <c r="Q130" s="46"/>
      <c r="R130" s="46"/>
      <c r="S130" s="46"/>
      <c r="T130" s="46"/>
      <c r="U130" s="46"/>
      <c r="V130" s="46"/>
      <c r="W130" s="46"/>
      <c r="X130" s="46"/>
      <c r="Y130" s="46"/>
      <c r="Z130" s="46"/>
      <c r="AA130" s="46"/>
      <c r="AB130" s="46"/>
      <c r="AC130" s="46"/>
      <c r="AD130" s="46"/>
      <c r="AE130" s="46"/>
      <c r="AF130" s="46"/>
      <c r="AG130" s="46"/>
      <c r="AH130" s="46"/>
      <c r="AI130" s="46"/>
      <c r="AJ130" s="46"/>
      <c r="AK130" s="46"/>
      <c r="AL130" s="46"/>
      <c r="AM130" s="46"/>
      <c r="AP130" s="46"/>
      <c r="AQ130" s="46"/>
      <c r="AR130" s="46"/>
      <c r="AS130" s="46"/>
      <c r="AT130" s="46"/>
      <c r="AU130" s="46"/>
      <c r="AV130" s="46"/>
      <c r="AW130" s="46"/>
      <c r="AX130" s="46"/>
    </row>
    <row r="131" spans="2:51" ht="10.15" outlineLevel="1" x14ac:dyDescent="0.2">
      <c r="B131" s="19" t="s">
        <v>262</v>
      </c>
      <c r="L131" s="46"/>
      <c r="M131" s="46"/>
      <c r="N131" s="46"/>
      <c r="O131" s="46"/>
      <c r="P131" s="46"/>
      <c r="Q131" s="46"/>
      <c r="R131" s="46"/>
      <c r="S131" s="46"/>
      <c r="T131" s="46"/>
      <c r="U131" s="46"/>
      <c r="V131" s="46"/>
      <c r="W131" s="46"/>
      <c r="X131" s="46"/>
      <c r="Y131" s="46"/>
      <c r="Z131" s="46"/>
      <c r="AA131" s="46"/>
      <c r="AB131" s="46"/>
      <c r="AC131" s="46"/>
      <c r="AD131" s="46"/>
      <c r="AE131" s="46"/>
      <c r="AF131" s="46"/>
      <c r="AG131" s="46"/>
      <c r="AH131" s="46"/>
      <c r="AI131" s="46"/>
      <c r="AJ131" s="46"/>
      <c r="AK131" s="46"/>
      <c r="AL131" s="46"/>
      <c r="AM131" s="46"/>
      <c r="AP131" s="46"/>
      <c r="AQ131" s="46"/>
      <c r="AR131" s="46"/>
      <c r="AS131" s="46"/>
      <c r="AT131" s="46"/>
      <c r="AU131" s="46"/>
      <c r="AV131" s="46"/>
      <c r="AW131" s="46"/>
      <c r="AX131" s="46"/>
    </row>
    <row r="132" spans="2:51" ht="10.15" outlineLevel="1" x14ac:dyDescent="0.2">
      <c r="B132" s="20" t="s">
        <v>226</v>
      </c>
      <c r="I132" s="46">
        <f>+IFERROR(I118/H118-1,"n/a")</f>
        <v>1.1396552657702377</v>
      </c>
      <c r="J132" s="46">
        <f t="shared" ref="J132:AG136" si="766">+IFERROR(J118/I118-1,"n/a")</f>
        <v>0.25440962111421905</v>
      </c>
      <c r="K132" s="46">
        <f t="shared" si="766"/>
        <v>0.70212884711404455</v>
      </c>
      <c r="L132" s="46">
        <f t="shared" si="766"/>
        <v>-0.22004757447981949</v>
      </c>
      <c r="M132" s="46">
        <f t="shared" si="766"/>
        <v>0.6378913153483905</v>
      </c>
      <c r="N132" s="46">
        <f t="shared" si="766"/>
        <v>3.7788656475657545E-2</v>
      </c>
      <c r="O132" s="46">
        <f t="shared" si="766"/>
        <v>0.44330834371980443</v>
      </c>
      <c r="P132" s="46">
        <f t="shared" si="766"/>
        <v>-0.4330091189991554</v>
      </c>
      <c r="Q132" s="46">
        <f t="shared" si="766"/>
        <v>1.012773953210603</v>
      </c>
      <c r="R132" s="46">
        <f t="shared" si="766"/>
        <v>0.12936925097365837</v>
      </c>
      <c r="S132" s="46">
        <f t="shared" si="766"/>
        <v>0.51559660054805678</v>
      </c>
      <c r="T132" s="46">
        <f t="shared" si="766"/>
        <v>-0.25422763744270871</v>
      </c>
      <c r="U132" s="46">
        <f t="shared" si="766"/>
        <v>0.28125549640909542</v>
      </c>
      <c r="V132" s="46">
        <f t="shared" si="766"/>
        <v>-7.4070739179220579E-3</v>
      </c>
      <c r="W132" s="46">
        <f t="shared" si="766"/>
        <v>0.24954759970971518</v>
      </c>
      <c r="X132" s="46">
        <f t="shared" si="766"/>
        <v>-0.1902597908468322</v>
      </c>
      <c r="Y132" s="46">
        <f t="shared" si="766"/>
        <v>0.38627942676746474</v>
      </c>
      <c r="Z132" s="46">
        <f t="shared" si="766"/>
        <v>0.12922731102099649</v>
      </c>
      <c r="AA132" s="46">
        <f t="shared" si="766"/>
        <v>8.93403826016963E-2</v>
      </c>
      <c r="AB132" s="46">
        <f t="shared" si="766"/>
        <v>-0.12015994211308723</v>
      </c>
      <c r="AC132" s="46">
        <f t="shared" si="766"/>
        <v>0.39231529414493815</v>
      </c>
      <c r="AD132" s="46">
        <f t="shared" si="766"/>
        <v>4.6261957089361427E-2</v>
      </c>
      <c r="AE132" s="46">
        <f t="shared" si="766"/>
        <v>0.22646676381520736</v>
      </c>
      <c r="AF132" s="46">
        <f t="shared" si="766"/>
        <v>-0.12777187543874635</v>
      </c>
      <c r="AG132" s="46">
        <f t="shared" si="766"/>
        <v>0.15685850959539693</v>
      </c>
      <c r="AH132" s="46">
        <f t="shared" ref="AH132:AH136" si="767">+IFERROR(AH118/AG118-1,"n/a")</f>
        <v>-1.9542660617878016E-2</v>
      </c>
      <c r="AI132" s="46">
        <f t="shared" ref="AI132:AI136" si="768">+IFERROR(AI118/AH118-1,"n/a")</f>
        <v>0.19414717757294131</v>
      </c>
      <c r="AJ132" s="46">
        <f t="shared" ref="AJ132:AJ136" si="769">+IFERROR(AJ118/AI118-1,"n/a")</f>
        <v>-0.16998442546072301</v>
      </c>
      <c r="AK132" s="46">
        <f t="shared" ref="AK132:AK136" si="770">+IFERROR(AK118/AJ118-1,"n/a")</f>
        <v>0.16882413506313321</v>
      </c>
      <c r="AL132" s="46">
        <f t="shared" ref="AL132:AL136" si="771">+IFERROR(AL118/AK118-1,"n/a")</f>
        <v>-9.2220570454347728E-3</v>
      </c>
      <c r="AM132" s="46">
        <f t="shared" ref="AM132:AM136" si="772">+IFERROR(AM118/AL118-1,"n/a")</f>
        <v>0.22892816332749311</v>
      </c>
      <c r="AP132" s="46"/>
      <c r="AQ132" s="46"/>
      <c r="AR132" s="46"/>
      <c r="AS132" s="46"/>
      <c r="AT132" s="46"/>
      <c r="AU132" s="46"/>
      <c r="AV132" s="46"/>
      <c r="AW132" s="46"/>
      <c r="AX132" s="46"/>
    </row>
    <row r="133" spans="2:51" ht="12" outlineLevel="1" x14ac:dyDescent="0.35">
      <c r="B133" s="20" t="s">
        <v>227</v>
      </c>
      <c r="I133" s="47">
        <f t="shared" ref="I133:X136" si="773">+IFERROR(I119/H119-1,"n/a")</f>
        <v>0.2227454214043918</v>
      </c>
      <c r="J133" s="47">
        <f t="shared" si="773"/>
        <v>0.17799487716433893</v>
      </c>
      <c r="K133" s="47">
        <f t="shared" si="773"/>
        <v>0.48527266472997144</v>
      </c>
      <c r="L133" s="47">
        <f t="shared" si="773"/>
        <v>8.8683174877945969E-3</v>
      </c>
      <c r="M133" s="47">
        <f t="shared" si="773"/>
        <v>0.37893563900199401</v>
      </c>
      <c r="N133" s="47">
        <f t="shared" si="773"/>
        <v>-2.4840357986961159E-2</v>
      </c>
      <c r="O133" s="47">
        <f t="shared" si="773"/>
        <v>0.37823881329805986</v>
      </c>
      <c r="P133" s="47">
        <f t="shared" si="773"/>
        <v>-5.1750997037142921E-2</v>
      </c>
      <c r="Q133" s="47">
        <f t="shared" si="773"/>
        <v>8.5649258335089407E-2</v>
      </c>
      <c r="R133" s="47">
        <f t="shared" si="773"/>
        <v>0.16994915761840912</v>
      </c>
      <c r="S133" s="47">
        <f t="shared" si="773"/>
        <v>0.70245787929652215</v>
      </c>
      <c r="T133" s="47">
        <f t="shared" si="773"/>
        <v>0.29260301999439986</v>
      </c>
      <c r="U133" s="47">
        <f t="shared" si="773"/>
        <v>2.5981118720098229E-2</v>
      </c>
      <c r="V133" s="47">
        <f t="shared" si="773"/>
        <v>0.15610555525631753</v>
      </c>
      <c r="W133" s="47">
        <f t="shared" si="773"/>
        <v>0.35863942479279776</v>
      </c>
      <c r="X133" s="47">
        <f t="shared" si="773"/>
        <v>0.18356970900190439</v>
      </c>
      <c r="Y133" s="47">
        <f t="shared" si="766"/>
        <v>0.11174289405153304</v>
      </c>
      <c r="Z133" s="47">
        <f t="shared" si="766"/>
        <v>0.12966830094300263</v>
      </c>
      <c r="AA133" s="47">
        <f t="shared" si="766"/>
        <v>0.25267905509514565</v>
      </c>
      <c r="AB133" s="47">
        <f t="shared" si="766"/>
        <v>0.18143270353139895</v>
      </c>
      <c r="AC133" s="47">
        <f t="shared" si="766"/>
        <v>0.38058655831289578</v>
      </c>
      <c r="AD133" s="47">
        <f t="shared" si="766"/>
        <v>1.0318414861195531</v>
      </c>
      <c r="AE133" s="47">
        <f t="shared" si="766"/>
        <v>0.37913221258838758</v>
      </c>
      <c r="AF133" s="47">
        <f t="shared" si="766"/>
        <v>0.10322981842894907</v>
      </c>
      <c r="AG133" s="47">
        <f t="shared" si="766"/>
        <v>8.0887904305491753E-2</v>
      </c>
      <c r="AH133" s="47">
        <f t="shared" si="767"/>
        <v>3.181860704251771E-2</v>
      </c>
      <c r="AI133" s="47">
        <f t="shared" si="768"/>
        <v>6.8429465948887769E-2</v>
      </c>
      <c r="AJ133" s="47">
        <f t="shared" si="769"/>
        <v>-8.3723312002943584E-2</v>
      </c>
      <c r="AK133" s="47">
        <f t="shared" si="770"/>
        <v>0.18508454241495143</v>
      </c>
      <c r="AL133" s="47">
        <f t="shared" si="771"/>
        <v>6.5002349321536368E-2</v>
      </c>
      <c r="AM133" s="47">
        <f t="shared" si="772"/>
        <v>9.0479663964204482E-2</v>
      </c>
      <c r="AP133" s="46"/>
      <c r="AQ133" s="46"/>
      <c r="AR133" s="46"/>
      <c r="AS133" s="46"/>
      <c r="AT133" s="46"/>
      <c r="AU133" s="46"/>
      <c r="AV133" s="46"/>
      <c r="AW133" s="46"/>
      <c r="AX133" s="46"/>
    </row>
    <row r="134" spans="2:51" ht="10.15" outlineLevel="1" x14ac:dyDescent="0.2">
      <c r="B134" s="30" t="s">
        <v>224</v>
      </c>
      <c r="I134" s="46">
        <f t="shared" si="773"/>
        <v>0.95654930940543337</v>
      </c>
      <c r="J134" s="46">
        <f t="shared" si="766"/>
        <v>0.24487291836314329</v>
      </c>
      <c r="K134" s="46">
        <f t="shared" si="766"/>
        <v>0.67651874708295345</v>
      </c>
      <c r="L134" s="46">
        <f t="shared" si="766"/>
        <v>-0.19609715167630537</v>
      </c>
      <c r="M134" s="46">
        <f t="shared" si="766"/>
        <v>0.60389016642597348</v>
      </c>
      <c r="N134" s="46">
        <f t="shared" si="766"/>
        <v>3.071875915636868E-2</v>
      </c>
      <c r="O134" s="46">
        <f t="shared" si="766"/>
        <v>0.43635888882914808</v>
      </c>
      <c r="P134" s="46">
        <f t="shared" si="766"/>
        <v>-0.39393819503988148</v>
      </c>
      <c r="Q134" s="46">
        <f t="shared" si="766"/>
        <v>0.86411940329539916</v>
      </c>
      <c r="R134" s="46">
        <f t="shared" si="766"/>
        <v>0.13315862011274193</v>
      </c>
      <c r="S134" s="46">
        <f t="shared" si="766"/>
        <v>0.53361231414146104</v>
      </c>
      <c r="T134" s="46">
        <f t="shared" si="766"/>
        <v>-0.19570204805506031</v>
      </c>
      <c r="U134" s="46">
        <f t="shared" si="766"/>
        <v>0.23734701968748273</v>
      </c>
      <c r="V134" s="46">
        <f t="shared" si="766"/>
        <v>1.5913557138051981E-2</v>
      </c>
      <c r="W134" s="46">
        <f t="shared" si="766"/>
        <v>0.26725365989341809</v>
      </c>
      <c r="X134" s="46">
        <f t="shared" si="766"/>
        <v>-0.12521029172509412</v>
      </c>
      <c r="Y134" s="46">
        <f t="shared" si="766"/>
        <v>0.32164547521851961</v>
      </c>
      <c r="Z134" s="46">
        <f t="shared" si="766"/>
        <v>0.1293146440689239</v>
      </c>
      <c r="AA134" s="46">
        <f t="shared" si="766"/>
        <v>0.1216978823877759</v>
      </c>
      <c r="AB134" s="46">
        <f t="shared" si="766"/>
        <v>-5.3437705119766421E-2</v>
      </c>
      <c r="AC134" s="46">
        <f t="shared" si="766"/>
        <v>0.38907666780472949</v>
      </c>
      <c r="AD134" s="46">
        <f t="shared" si="766"/>
        <v>0.31674418659809533</v>
      </c>
      <c r="AE134" s="46">
        <f t="shared" si="766"/>
        <v>0.29111791102927076</v>
      </c>
      <c r="AF134" s="46">
        <f t="shared" si="766"/>
        <v>-2.3278047749128228E-2</v>
      </c>
      <c r="AG134" s="46">
        <f t="shared" si="766"/>
        <v>0.11804203376860345</v>
      </c>
      <c r="AH134" s="46">
        <f t="shared" si="767"/>
        <v>5.8278247462573152E-3</v>
      </c>
      <c r="AI134" s="46">
        <f t="shared" si="768"/>
        <v>0.13044280852632872</v>
      </c>
      <c r="AJ134" s="46">
        <f t="shared" si="769"/>
        <v>-0.12867158340692364</v>
      </c>
      <c r="AK134" s="46">
        <f t="shared" si="770"/>
        <v>0.17701342398702868</v>
      </c>
      <c r="AL134" s="46">
        <f t="shared" si="771"/>
        <v>2.8416192959436204E-2</v>
      </c>
      <c r="AM134" s="46">
        <f t="shared" si="772"/>
        <v>0.15622511807740613</v>
      </c>
      <c r="AP134" s="46"/>
      <c r="AQ134" s="46"/>
      <c r="AR134" s="46"/>
      <c r="AS134" s="46"/>
      <c r="AT134" s="46"/>
      <c r="AU134" s="46"/>
      <c r="AV134" s="46"/>
      <c r="AW134" s="46"/>
      <c r="AX134" s="46"/>
    </row>
    <row r="135" spans="2:51" ht="12" outlineLevel="1" x14ac:dyDescent="0.35">
      <c r="B135" s="20" t="s">
        <v>223</v>
      </c>
      <c r="I135" s="47" t="str">
        <f t="shared" si="773"/>
        <v>n/a</v>
      </c>
      <c r="J135" s="47" t="str">
        <f t="shared" si="766"/>
        <v>n/a</v>
      </c>
      <c r="K135" s="47" t="str">
        <f t="shared" si="766"/>
        <v>n/a</v>
      </c>
      <c r="L135" s="47" t="str">
        <f t="shared" si="766"/>
        <v>n/a</v>
      </c>
      <c r="M135" s="47" t="str">
        <f t="shared" si="766"/>
        <v>n/a</v>
      </c>
      <c r="N135" s="47" t="str">
        <f t="shared" si="766"/>
        <v>n/a</v>
      </c>
      <c r="O135" s="47" t="str">
        <f t="shared" si="766"/>
        <v>n/a</v>
      </c>
      <c r="P135" s="47" t="str">
        <f t="shared" si="766"/>
        <v>n/a</v>
      </c>
      <c r="Q135" s="47" t="str">
        <f t="shared" si="766"/>
        <v>n/a</v>
      </c>
      <c r="R135" s="47" t="str">
        <f t="shared" si="766"/>
        <v>n/a</v>
      </c>
      <c r="S135" s="47">
        <f t="shared" si="766"/>
        <v>12.63938119555422</v>
      </c>
      <c r="T135" s="47">
        <f t="shared" si="766"/>
        <v>-4.3620303595715448E-2</v>
      </c>
      <c r="U135" s="47">
        <f t="shared" si="766"/>
        <v>-0.61785513973277073</v>
      </c>
      <c r="V135" s="47">
        <f t="shared" si="766"/>
        <v>-0.95806528874256125</v>
      </c>
      <c r="W135" s="47">
        <f t="shared" si="766"/>
        <v>-5.3948730438959647E-3</v>
      </c>
      <c r="X135" s="47">
        <f t="shared" si="766"/>
        <v>-0.46301057890097286</v>
      </c>
      <c r="Y135" s="47">
        <f t="shared" si="766"/>
        <v>0.15625783797341364</v>
      </c>
      <c r="Z135" s="47">
        <f t="shared" si="766"/>
        <v>0.11234470518635375</v>
      </c>
      <c r="AA135" s="47">
        <f t="shared" si="766"/>
        <v>3.1733650078890951E-2</v>
      </c>
      <c r="AB135" s="47">
        <f t="shared" si="766"/>
        <v>-1</v>
      </c>
      <c r="AC135" s="47" t="str">
        <f t="shared" si="766"/>
        <v>n/a</v>
      </c>
      <c r="AD135" s="47" t="str">
        <f t="shared" si="766"/>
        <v>n/a</v>
      </c>
      <c r="AE135" s="47" t="str">
        <f t="shared" si="766"/>
        <v>n/a</v>
      </c>
      <c r="AF135" s="47" t="str">
        <f t="shared" si="766"/>
        <v>n/a</v>
      </c>
      <c r="AG135" s="47" t="str">
        <f t="shared" si="766"/>
        <v>n/a</v>
      </c>
      <c r="AH135" s="47" t="str">
        <f t="shared" si="767"/>
        <v>n/a</v>
      </c>
      <c r="AI135" s="47" t="str">
        <f t="shared" si="768"/>
        <v>n/a</v>
      </c>
      <c r="AJ135" s="47" t="str">
        <f t="shared" si="769"/>
        <v>n/a</v>
      </c>
      <c r="AK135" s="47" t="str">
        <f t="shared" si="770"/>
        <v>n/a</v>
      </c>
      <c r="AL135" s="47" t="str">
        <f t="shared" si="771"/>
        <v>n/a</v>
      </c>
      <c r="AM135" s="47" t="str">
        <f t="shared" si="772"/>
        <v>n/a</v>
      </c>
      <c r="AP135" s="46"/>
      <c r="AQ135" s="46"/>
      <c r="AR135" s="46"/>
      <c r="AS135" s="46"/>
      <c r="AT135" s="46"/>
      <c r="AU135" s="46"/>
      <c r="AV135" s="46"/>
      <c r="AW135" s="46"/>
      <c r="AX135" s="46"/>
    </row>
    <row r="136" spans="2:51" ht="10.15" outlineLevel="1" x14ac:dyDescent="0.2">
      <c r="B136" s="30" t="s">
        <v>225</v>
      </c>
      <c r="I136" s="46">
        <f t="shared" si="773"/>
        <v>0.95654930940543337</v>
      </c>
      <c r="J136" s="46">
        <f t="shared" si="766"/>
        <v>0.24487291836314329</v>
      </c>
      <c r="K136" s="46">
        <f t="shared" si="766"/>
        <v>0.67651874708295345</v>
      </c>
      <c r="L136" s="46">
        <f t="shared" si="766"/>
        <v>-0.19609715167630537</v>
      </c>
      <c r="M136" s="46">
        <f t="shared" si="766"/>
        <v>0.60389016642597348</v>
      </c>
      <c r="N136" s="46">
        <f t="shared" si="766"/>
        <v>3.071875915636868E-2</v>
      </c>
      <c r="O136" s="46">
        <f t="shared" si="766"/>
        <v>0.43635888882914808</v>
      </c>
      <c r="P136" s="46">
        <f t="shared" si="766"/>
        <v>-0.39393819503988148</v>
      </c>
      <c r="Q136" s="46">
        <f t="shared" si="766"/>
        <v>0.86411940329539916</v>
      </c>
      <c r="R136" s="46">
        <f t="shared" si="766"/>
        <v>0.16537479758375784</v>
      </c>
      <c r="S136" s="46">
        <f t="shared" si="766"/>
        <v>0.86826997064416633</v>
      </c>
      <c r="T136" s="46">
        <f t="shared" si="766"/>
        <v>-0.16500896555706568</v>
      </c>
      <c r="U136" s="46">
        <f t="shared" si="766"/>
        <v>3.9658820488869706E-2</v>
      </c>
      <c r="V136" s="46">
        <f t="shared" si="766"/>
        <v>-6.6842284765137205E-2</v>
      </c>
      <c r="W136" s="46">
        <f t="shared" si="766"/>
        <v>0.26621261152478359</v>
      </c>
      <c r="X136" s="46">
        <f t="shared" si="766"/>
        <v>-0.12622343721620011</v>
      </c>
      <c r="Y136" s="46">
        <f t="shared" si="766"/>
        <v>0.32134062944169783</v>
      </c>
      <c r="Z136" s="46">
        <f t="shared" si="766"/>
        <v>0.12928727264954776</v>
      </c>
      <c r="AA136" s="46">
        <f t="shared" si="766"/>
        <v>0.12155495288683871</v>
      </c>
      <c r="AB136" s="46">
        <f t="shared" si="766"/>
        <v>-5.4821106604947323E-2</v>
      </c>
      <c r="AC136" s="46">
        <f t="shared" si="766"/>
        <v>0.38907666780472949</v>
      </c>
      <c r="AD136" s="46">
        <f t="shared" si="766"/>
        <v>0.31674418659809533</v>
      </c>
      <c r="AE136" s="46">
        <f t="shared" si="766"/>
        <v>0.29111791102927076</v>
      </c>
      <c r="AF136" s="46">
        <f t="shared" si="766"/>
        <v>-2.3278047749128228E-2</v>
      </c>
      <c r="AG136" s="46">
        <f t="shared" si="766"/>
        <v>0.11804203376860345</v>
      </c>
      <c r="AH136" s="46">
        <f t="shared" si="767"/>
        <v>5.8278247462573152E-3</v>
      </c>
      <c r="AI136" s="46">
        <f t="shared" si="768"/>
        <v>0.13044280852632872</v>
      </c>
      <c r="AJ136" s="46">
        <f t="shared" si="769"/>
        <v>-0.12867158340692364</v>
      </c>
      <c r="AK136" s="46">
        <f t="shared" si="770"/>
        <v>0.17701342398702868</v>
      </c>
      <c r="AL136" s="46">
        <f t="shared" si="771"/>
        <v>2.8416192959436204E-2</v>
      </c>
      <c r="AM136" s="46">
        <f t="shared" si="772"/>
        <v>0.15622511807740613</v>
      </c>
      <c r="AP136" s="46"/>
      <c r="AQ136" s="46"/>
      <c r="AR136" s="46"/>
      <c r="AS136" s="46"/>
      <c r="AT136" s="46"/>
      <c r="AU136" s="46"/>
      <c r="AV136" s="46"/>
      <c r="AW136" s="46"/>
      <c r="AX136" s="46"/>
    </row>
    <row r="137" spans="2:51" ht="10.15" outlineLevel="1" x14ac:dyDescent="0.2">
      <c r="B137" s="30"/>
      <c r="I137" s="46"/>
      <c r="J137" s="46"/>
      <c r="K137" s="46"/>
      <c r="L137" s="46"/>
      <c r="M137" s="46"/>
      <c r="N137" s="46"/>
      <c r="O137" s="46"/>
      <c r="P137" s="46"/>
      <c r="Q137" s="46"/>
      <c r="R137" s="46"/>
      <c r="S137" s="46"/>
      <c r="T137" s="46"/>
      <c r="U137" s="46"/>
      <c r="V137" s="46"/>
      <c r="W137" s="46"/>
      <c r="X137" s="46"/>
      <c r="Y137" s="46"/>
      <c r="Z137" s="46"/>
      <c r="AA137" s="46"/>
      <c r="AB137" s="46"/>
      <c r="AC137" s="46"/>
      <c r="AD137" s="46"/>
      <c r="AE137" s="46"/>
      <c r="AF137" s="46"/>
      <c r="AG137" s="46"/>
      <c r="AH137" s="46"/>
      <c r="AI137" s="46"/>
      <c r="AJ137" s="46"/>
      <c r="AK137" s="46"/>
      <c r="AL137" s="46"/>
      <c r="AM137" s="46"/>
      <c r="AP137" s="46"/>
      <c r="AQ137" s="46"/>
      <c r="AR137" s="46"/>
      <c r="AS137" s="46"/>
      <c r="AT137" s="46"/>
      <c r="AU137" s="46"/>
      <c r="AV137" s="46"/>
      <c r="AW137" s="46"/>
      <c r="AX137" s="46"/>
    </row>
    <row r="138" spans="2:51" ht="10.15" x14ac:dyDescent="0.2">
      <c r="B138" s="6" t="s">
        <v>105</v>
      </c>
      <c r="C138" s="5"/>
    </row>
    <row r="139" spans="2:51" ht="10.15" x14ac:dyDescent="0.2">
      <c r="B139" s="24"/>
    </row>
    <row r="140" spans="2:51" ht="10.15" x14ac:dyDescent="0.2">
      <c r="B140" s="24" t="s">
        <v>370</v>
      </c>
      <c r="AE140" s="10"/>
    </row>
    <row r="141" spans="2:51" ht="10.15" x14ac:dyDescent="0.2">
      <c r="B141" s="184" t="s">
        <v>226</v>
      </c>
      <c r="H141" s="14">
        <f t="shared" ref="H141:AE141" si="774">+IFERROR(H192-H162-H177,"n/a")</f>
        <v>1108.0999999999999</v>
      </c>
      <c r="I141" s="14">
        <f t="shared" si="774"/>
        <v>2370.9520000000002</v>
      </c>
      <c r="J141" s="14">
        <f t="shared" si="774"/>
        <v>2974.145</v>
      </c>
      <c r="K141" s="14">
        <f t="shared" si="774"/>
        <v>5062.3779999999997</v>
      </c>
      <c r="L141" s="14">
        <f t="shared" si="774"/>
        <v>3948.4140000000002</v>
      </c>
      <c r="M141" s="14">
        <f t="shared" si="774"/>
        <v>6467.0730000000003</v>
      </c>
      <c r="N141" s="14">
        <f t="shared" si="774"/>
        <v>6711.4549999999999</v>
      </c>
      <c r="O141" s="14">
        <f t="shared" si="774"/>
        <v>9686.6990000000005</v>
      </c>
      <c r="P141" s="14">
        <f t="shared" si="774"/>
        <v>5492.27</v>
      </c>
      <c r="Q141" s="14">
        <f t="shared" si="774"/>
        <v>11054.698</v>
      </c>
      <c r="R141" s="14">
        <f t="shared" si="774"/>
        <v>12484.835999999999</v>
      </c>
      <c r="S141" s="14">
        <f t="shared" si="774"/>
        <v>18921.974999999999</v>
      </c>
      <c r="T141" s="14">
        <f t="shared" si="774"/>
        <v>14111.486000000001</v>
      </c>
      <c r="U141" s="14">
        <f t="shared" si="774"/>
        <v>18080.419000000002</v>
      </c>
      <c r="V141" s="14">
        <f t="shared" si="774"/>
        <v>17946.495999999999</v>
      </c>
      <c r="W141" s="14">
        <f t="shared" si="774"/>
        <v>22425.001000000004</v>
      </c>
      <c r="X141" s="14">
        <f t="shared" si="774"/>
        <v>18158.424999999999</v>
      </c>
      <c r="Y141" s="14">
        <f t="shared" si="774"/>
        <v>25172.651000000002</v>
      </c>
      <c r="Z141" s="14">
        <f t="shared" si="774"/>
        <v>28425.645</v>
      </c>
      <c r="AA141" s="14">
        <f t="shared" si="774"/>
        <v>30965.202999999994</v>
      </c>
      <c r="AB141" s="14">
        <f t="shared" si="774"/>
        <v>27244.425999999999</v>
      </c>
      <c r="AC141" s="14">
        <f t="shared" si="774"/>
        <v>37932.830999999998</v>
      </c>
      <c r="AD141" s="14">
        <f t="shared" si="774"/>
        <v>39687.678</v>
      </c>
      <c r="AE141" s="14">
        <f t="shared" si="774"/>
        <v>48675.618000000002</v>
      </c>
      <c r="AF141" s="14">
        <f t="shared" ref="AF141:AG141" si="775">+IFERROR(AF192-AF162-AF177,"n/a")</f>
        <v>42456.243000000002</v>
      </c>
      <c r="AG141" s="14">
        <f t="shared" si="775"/>
        <v>49115.866000000002</v>
      </c>
      <c r="AH141" s="14">
        <f t="shared" ref="AH141:AM142" si="776">+AH268*(AH$215*1000-AH$121)</f>
        <v>48156.01129980883</v>
      </c>
      <c r="AI141" s="14">
        <f t="shared" si="776"/>
        <v>57505.364976837387</v>
      </c>
      <c r="AJ141" s="14">
        <f t="shared" ref="AJ141:AM141" si="777">+AJ268*(AJ$215*1000-AJ$121)</f>
        <v>47730.348550340503</v>
      </c>
      <c r="AK141" s="14">
        <f t="shared" si="777"/>
        <v>55788.38336061361</v>
      </c>
      <c r="AL141" s="14">
        <f t="shared" si="777"/>
        <v>55273.899706789445</v>
      </c>
      <c r="AM141" s="14">
        <f t="shared" si="777"/>
        <v>67927.652046612813</v>
      </c>
      <c r="AO141" s="14">
        <f>+IFERROR(AO192-AO162-AO177,"n/a")</f>
        <v>0</v>
      </c>
      <c r="AP141" s="14">
        <f>+IFERROR(AP192-AP162-AP177,"n/a")</f>
        <v>1209.2750000000001</v>
      </c>
      <c r="AQ141" s="14">
        <f>+SUM(H141:K141)</f>
        <v>11515.575000000001</v>
      </c>
      <c r="AR141" s="14">
        <f>+SUM(L141:O141)</f>
        <v>26813.641000000003</v>
      </c>
      <c r="AS141" s="14">
        <f>+SUM(P141:S141)</f>
        <v>47953.778999999995</v>
      </c>
      <c r="AT141" s="14">
        <f>+SUM(T141:W141)</f>
        <v>72563.402000000002</v>
      </c>
      <c r="AU141" s="14">
        <f>+SUM(X141:AA141)</f>
        <v>102721.924</v>
      </c>
      <c r="AV141" s="14">
        <f>+SUM(AB141:AE141)</f>
        <v>153540.55300000001</v>
      </c>
      <c r="AW141" s="10">
        <f>+SUM(AF141:AI141)</f>
        <v>197233.48527664621</v>
      </c>
      <c r="AX141" s="14">
        <f>+SUM(AJ141:AM141)</f>
        <v>226720.28366435636</v>
      </c>
    </row>
    <row r="142" spans="2:51" ht="12" x14ac:dyDescent="0.35">
      <c r="B142" s="184" t="s">
        <v>227</v>
      </c>
      <c r="H142" s="15">
        <f t="shared" ref="H142:AE142" si="778">+IFERROR(H193-H163-H178,"n/a")</f>
        <v>276.50400000000002</v>
      </c>
      <c r="I142" s="15">
        <f t="shared" si="778"/>
        <v>338.09399999999999</v>
      </c>
      <c r="J142" s="15">
        <f t="shared" si="778"/>
        <v>398.27300000000002</v>
      </c>
      <c r="K142" s="15">
        <f t="shared" si="778"/>
        <v>591.54399999999998</v>
      </c>
      <c r="L142" s="15">
        <f t="shared" si="778"/>
        <v>596.79</v>
      </c>
      <c r="M142" s="15">
        <f t="shared" si="778"/>
        <v>822.93499999999995</v>
      </c>
      <c r="N142" s="15">
        <f t="shared" si="778"/>
        <v>802.49300000000005</v>
      </c>
      <c r="O142" s="15">
        <f t="shared" si="778"/>
        <v>1106.027</v>
      </c>
      <c r="P142" s="15">
        <f t="shared" si="778"/>
        <v>1048.789</v>
      </c>
      <c r="Q142" s="15">
        <f t="shared" si="778"/>
        <v>1138.617</v>
      </c>
      <c r="R142" s="15">
        <f t="shared" si="778"/>
        <v>1332.124</v>
      </c>
      <c r="S142" s="15">
        <f t="shared" si="778"/>
        <v>1692.9438235294119</v>
      </c>
      <c r="T142" s="15">
        <f t="shared" si="778"/>
        <v>1352.9084007218755</v>
      </c>
      <c r="U142" s="15">
        <f t="shared" si="778"/>
        <v>881.15089208644349</v>
      </c>
      <c r="V142" s="15">
        <f t="shared" si="778"/>
        <v>449.47754937561649</v>
      </c>
      <c r="W142" s="15">
        <f t="shared" si="778"/>
        <v>1205.007735664225</v>
      </c>
      <c r="X142" s="15">
        <f t="shared" si="778"/>
        <v>1980.1140634747599</v>
      </c>
      <c r="Y142" s="15">
        <f t="shared" si="778"/>
        <v>2239.6797706480288</v>
      </c>
      <c r="Z142" s="15">
        <f t="shared" si="778"/>
        <v>2585.1710664412967</v>
      </c>
      <c r="AA142" s="15">
        <f t="shared" si="778"/>
        <v>3550.3051652430222</v>
      </c>
      <c r="AB142" s="15">
        <f t="shared" si="778"/>
        <v>3525.4706298110873</v>
      </c>
      <c r="AC142" s="15">
        <f t="shared" si="778"/>
        <v>4125.0183173725454</v>
      </c>
      <c r="AD142" s="15">
        <f t="shared" si="778"/>
        <v>3867.4952810965406</v>
      </c>
      <c r="AE142" s="15">
        <f t="shared" si="778"/>
        <v>7222.9417342545385</v>
      </c>
      <c r="AF142" s="15">
        <f t="shared" ref="AF142:AG142" si="779">+IFERROR(AF193-AF163-AF178,"n/a")</f>
        <v>5727.9505786294467</v>
      </c>
      <c r="AG142" s="15">
        <f t="shared" si="779"/>
        <v>6005.7514862470198</v>
      </c>
      <c r="AH142" s="15">
        <f t="shared" si="776"/>
        <v>4648.723518312614</v>
      </c>
      <c r="AI142" s="15">
        <f t="shared" si="776"/>
        <v>4311.6583057941452</v>
      </c>
      <c r="AJ142" s="15">
        <f t="shared" si="776"/>
        <v>3651.7791284701766</v>
      </c>
      <c r="AK142" s="15">
        <f t="shared" si="776"/>
        <v>4143.9685255104432</v>
      </c>
      <c r="AL142" s="15">
        <f t="shared" si="776"/>
        <v>4276.8256368476041</v>
      </c>
      <c r="AM142" s="15">
        <f t="shared" si="776"/>
        <v>4958.4070516632664</v>
      </c>
      <c r="AO142" s="15">
        <f>+IFERROR(AO193-AO163-AO178,"n/a")</f>
        <v>48.276000000000003</v>
      </c>
      <c r="AP142" s="15">
        <f>+IFERROR(AP193-AP163-AP178,"n/a")</f>
        <v>531.41600000000005</v>
      </c>
      <c r="AQ142" s="36">
        <f>+SUM(H142:K142)</f>
        <v>1604.415</v>
      </c>
      <c r="AR142" s="36">
        <f>+SUM(L142:O142)</f>
        <v>3328.2449999999999</v>
      </c>
      <c r="AS142" s="36">
        <f>+SUM(P142:S142)</f>
        <v>5212.4738235294117</v>
      </c>
      <c r="AT142" s="36">
        <f>+SUM(T142:W142)</f>
        <v>3888.5445778481603</v>
      </c>
      <c r="AU142" s="36">
        <f>+SUM(X142:AA142)</f>
        <v>10355.270065807108</v>
      </c>
      <c r="AV142" s="36">
        <f>+SUM(AB142:AE142)</f>
        <v>18740.925962534711</v>
      </c>
      <c r="AW142" s="25">
        <f>+SUM(AF142:AI142)</f>
        <v>20694.083888983227</v>
      </c>
      <c r="AX142" s="36">
        <f t="shared" ref="AX142:AX145" si="780">+SUM(AJ142:AM142)</f>
        <v>17030.98034249149</v>
      </c>
      <c r="AY142" s="157"/>
    </row>
    <row r="143" spans="2:51" ht="10.15" x14ac:dyDescent="0.2">
      <c r="B143" s="4" t="s">
        <v>224</v>
      </c>
      <c r="H143" s="10">
        <f>IFERROR(H141+H142,"n/a")</f>
        <v>1384.6039999999998</v>
      </c>
      <c r="I143" s="10">
        <f t="shared" ref="I143:AE143" si="781">IFERROR(I141+I142,"n/a")</f>
        <v>2709.0460000000003</v>
      </c>
      <c r="J143" s="10">
        <f t="shared" si="781"/>
        <v>3372.4180000000001</v>
      </c>
      <c r="K143" s="10">
        <f t="shared" si="781"/>
        <v>5653.9219999999996</v>
      </c>
      <c r="L143" s="10">
        <f t="shared" si="781"/>
        <v>4545.2039999999997</v>
      </c>
      <c r="M143" s="10">
        <f t="shared" si="781"/>
        <v>7290.0079999999998</v>
      </c>
      <c r="N143" s="10">
        <f t="shared" si="781"/>
        <v>7513.9480000000003</v>
      </c>
      <c r="O143" s="10">
        <f t="shared" si="781"/>
        <v>10792.726000000001</v>
      </c>
      <c r="P143" s="10">
        <f t="shared" si="781"/>
        <v>6541.0590000000002</v>
      </c>
      <c r="Q143" s="10">
        <f t="shared" si="781"/>
        <v>12193.315000000001</v>
      </c>
      <c r="R143" s="10">
        <f t="shared" si="781"/>
        <v>13816.96</v>
      </c>
      <c r="S143" s="10">
        <f t="shared" si="781"/>
        <v>20614.91882352941</v>
      </c>
      <c r="T143" s="10">
        <f t="shared" si="781"/>
        <v>15464.394400721876</v>
      </c>
      <c r="U143" s="10">
        <f t="shared" si="781"/>
        <v>18961.569892086445</v>
      </c>
      <c r="V143" s="10">
        <f t="shared" si="781"/>
        <v>18395.973549375616</v>
      </c>
      <c r="W143" s="10">
        <f t="shared" si="781"/>
        <v>23630.008735664229</v>
      </c>
      <c r="X143" s="10">
        <f t="shared" si="781"/>
        <v>20138.53906347476</v>
      </c>
      <c r="Y143" s="10">
        <f t="shared" si="781"/>
        <v>27412.33077064803</v>
      </c>
      <c r="Z143" s="10">
        <f t="shared" si="781"/>
        <v>31010.816066441297</v>
      </c>
      <c r="AA143" s="10">
        <f t="shared" si="781"/>
        <v>34515.508165243016</v>
      </c>
      <c r="AB143" s="10">
        <f t="shared" si="781"/>
        <v>30769.896629811086</v>
      </c>
      <c r="AC143" s="10">
        <f t="shared" si="781"/>
        <v>42057.849317372544</v>
      </c>
      <c r="AD143" s="10">
        <f t="shared" si="781"/>
        <v>43555.17328109654</v>
      </c>
      <c r="AE143" s="10">
        <f t="shared" si="781"/>
        <v>55898.559734254537</v>
      </c>
      <c r="AF143" s="10">
        <f t="shared" ref="AF143:AG143" si="782">IFERROR(AF141+AF142,"n/a")</f>
        <v>48184.193578629449</v>
      </c>
      <c r="AG143" s="10">
        <f t="shared" si="782"/>
        <v>55121.617486247022</v>
      </c>
      <c r="AH143" s="14">
        <f>SUM(AH141:AH142)</f>
        <v>52804.734818121447</v>
      </c>
      <c r="AI143" s="14">
        <f t="shared" ref="AI143:AM143" si="783">SUM(AI141:AI142)</f>
        <v>61817.023282631533</v>
      </c>
      <c r="AJ143" s="14">
        <f t="shared" si="783"/>
        <v>51382.127678810677</v>
      </c>
      <c r="AK143" s="14">
        <f t="shared" si="783"/>
        <v>59932.351886124052</v>
      </c>
      <c r="AL143" s="14">
        <f t="shared" si="783"/>
        <v>59550.725343637052</v>
      </c>
      <c r="AM143" s="14">
        <f t="shared" si="783"/>
        <v>72886.059098276077</v>
      </c>
      <c r="AO143" s="10">
        <f>IFERROR(AO141+AO142,"n/a")</f>
        <v>48.276000000000003</v>
      </c>
      <c r="AP143" s="10">
        <f>IFERROR(AP141+AP142,"n/a")</f>
        <v>1740.6910000000003</v>
      </c>
      <c r="AQ143" s="10">
        <f>+SUM(H143:K143)</f>
        <v>13119.99</v>
      </c>
      <c r="AR143" s="10">
        <f>+SUM(L143:O143)</f>
        <v>30141.885999999999</v>
      </c>
      <c r="AS143" s="10">
        <f>+SUM(P143:S143)</f>
        <v>53166.252823529408</v>
      </c>
      <c r="AT143" s="10">
        <f>+SUM(T143:W143)</f>
        <v>76451.946577848168</v>
      </c>
      <c r="AU143" s="10">
        <f>+SUM(X143:AA143)</f>
        <v>113077.1940658071</v>
      </c>
      <c r="AV143" s="10">
        <f>+SUM(AB143:AE143)</f>
        <v>172281.47896253469</v>
      </c>
      <c r="AW143" s="10">
        <f>+SUM(AF143:AI143)</f>
        <v>217927.56916562945</v>
      </c>
      <c r="AX143" s="10">
        <f t="shared" si="780"/>
        <v>243751.26400684786</v>
      </c>
      <c r="AY143" s="206"/>
    </row>
    <row r="144" spans="2:51" ht="12" x14ac:dyDescent="0.35">
      <c r="B144" s="184" t="s">
        <v>223</v>
      </c>
      <c r="H144" s="15">
        <f>+H195</f>
        <v>0</v>
      </c>
      <c r="I144" s="15">
        <f t="shared" ref="I144:AE144" si="784">+I195</f>
        <v>0</v>
      </c>
      <c r="J144" s="15">
        <f t="shared" si="784"/>
        <v>0</v>
      </c>
      <c r="K144" s="15">
        <f t="shared" si="784"/>
        <v>0</v>
      </c>
      <c r="L144" s="15">
        <f t="shared" si="784"/>
        <v>0</v>
      </c>
      <c r="M144" s="15">
        <f t="shared" si="784"/>
        <v>0</v>
      </c>
      <c r="N144" s="15">
        <f t="shared" si="784"/>
        <v>0</v>
      </c>
      <c r="O144" s="15">
        <f t="shared" si="784"/>
        <v>0</v>
      </c>
      <c r="P144" s="15">
        <f t="shared" si="784"/>
        <v>0</v>
      </c>
      <c r="Q144" s="15">
        <f t="shared" si="784"/>
        <v>0</v>
      </c>
      <c r="R144" s="15">
        <f t="shared" si="784"/>
        <v>392.822</v>
      </c>
      <c r="S144" s="15">
        <f t="shared" si="784"/>
        <v>5357.8490000000002</v>
      </c>
      <c r="T144" s="15">
        <f t="shared" si="784"/>
        <v>5124.1379999999999</v>
      </c>
      <c r="U144" s="15">
        <f t="shared" si="784"/>
        <v>1958.163</v>
      </c>
      <c r="V144" s="15">
        <f t="shared" si="784"/>
        <v>82.114999999999995</v>
      </c>
      <c r="W144" s="15">
        <f t="shared" si="784"/>
        <v>81.67200000000048</v>
      </c>
      <c r="X144" s="15">
        <f t="shared" si="784"/>
        <v>43.856999999999999</v>
      </c>
      <c r="Y144" s="15">
        <f t="shared" si="784"/>
        <v>50.71</v>
      </c>
      <c r="Z144" s="15">
        <f t="shared" si="784"/>
        <v>56.406999999999996</v>
      </c>
      <c r="AA144" s="15">
        <f t="shared" si="784"/>
        <v>58.197000000000003</v>
      </c>
      <c r="AB144" s="15">
        <f t="shared" si="784"/>
        <v>0</v>
      </c>
      <c r="AC144" s="15">
        <f t="shared" si="784"/>
        <v>0</v>
      </c>
      <c r="AD144" s="15">
        <f t="shared" si="784"/>
        <v>0</v>
      </c>
      <c r="AE144" s="15">
        <f t="shared" si="784"/>
        <v>0</v>
      </c>
      <c r="AF144" s="15">
        <f t="shared" ref="AF144:AG144" si="785">+AF195</f>
        <v>0</v>
      </c>
      <c r="AG144" s="15">
        <f t="shared" si="785"/>
        <v>0</v>
      </c>
      <c r="AH144" s="54">
        <v>0</v>
      </c>
      <c r="AI144" s="54">
        <v>0</v>
      </c>
      <c r="AJ144" s="54">
        <v>0</v>
      </c>
      <c r="AK144" s="54">
        <v>0</v>
      </c>
      <c r="AL144" s="54">
        <v>0</v>
      </c>
      <c r="AM144" s="54">
        <v>0</v>
      </c>
      <c r="AO144" s="15">
        <f>+AO195</f>
        <v>456.58800000000002</v>
      </c>
      <c r="AP144" s="15">
        <f>+AP195</f>
        <v>3.3849999999999998</v>
      </c>
      <c r="AQ144" s="36">
        <f>+SUM(H144:K144)</f>
        <v>0</v>
      </c>
      <c r="AR144" s="36">
        <f>+SUM(L144:O144)</f>
        <v>0</v>
      </c>
      <c r="AS144" s="36">
        <f>+SUM(P144:S144)</f>
        <v>5750.6710000000003</v>
      </c>
      <c r="AT144" s="36">
        <f>+SUM(T144:W144)</f>
        <v>7246.0879999999997</v>
      </c>
      <c r="AU144" s="36">
        <f>+SUM(X144:AA144)</f>
        <v>209.17099999999999</v>
      </c>
      <c r="AV144" s="36">
        <f>+SUM(AB144:AE144)</f>
        <v>0</v>
      </c>
      <c r="AW144" s="25">
        <f>+SUM(AF144:AI144)</f>
        <v>0</v>
      </c>
      <c r="AX144" s="36">
        <f t="shared" si="780"/>
        <v>0</v>
      </c>
    </row>
    <row r="145" spans="2:50" s="1" customFormat="1" ht="10.15" x14ac:dyDescent="0.2">
      <c r="B145" s="38" t="s">
        <v>379</v>
      </c>
      <c r="H145" s="42">
        <f>IFERROR(H143+H144,"n/a")</f>
        <v>1384.6039999999998</v>
      </c>
      <c r="I145" s="42">
        <f t="shared" ref="I145:AE145" si="786">IFERROR(I143+I144,"n/a")</f>
        <v>2709.0460000000003</v>
      </c>
      <c r="J145" s="42">
        <f t="shared" si="786"/>
        <v>3372.4180000000001</v>
      </c>
      <c r="K145" s="42">
        <f t="shared" si="786"/>
        <v>5653.9219999999996</v>
      </c>
      <c r="L145" s="42">
        <f t="shared" si="786"/>
        <v>4545.2039999999997</v>
      </c>
      <c r="M145" s="42">
        <f t="shared" si="786"/>
        <v>7290.0079999999998</v>
      </c>
      <c r="N145" s="42">
        <f t="shared" si="786"/>
        <v>7513.9480000000003</v>
      </c>
      <c r="O145" s="42">
        <f t="shared" si="786"/>
        <v>10792.726000000001</v>
      </c>
      <c r="P145" s="42">
        <f t="shared" si="786"/>
        <v>6541.0590000000002</v>
      </c>
      <c r="Q145" s="42">
        <f t="shared" si="786"/>
        <v>12193.315000000001</v>
      </c>
      <c r="R145" s="42">
        <f t="shared" si="786"/>
        <v>14209.781999999999</v>
      </c>
      <c r="S145" s="42">
        <f t="shared" si="786"/>
        <v>25972.767823529408</v>
      </c>
      <c r="T145" s="42">
        <f t="shared" si="786"/>
        <v>20588.532400721877</v>
      </c>
      <c r="U145" s="42">
        <f t="shared" si="786"/>
        <v>20919.732892086446</v>
      </c>
      <c r="V145" s="42">
        <f t="shared" si="786"/>
        <v>18478.088549375618</v>
      </c>
      <c r="W145" s="42">
        <f t="shared" si="786"/>
        <v>23711.680735664231</v>
      </c>
      <c r="X145" s="42">
        <f t="shared" si="786"/>
        <v>20182.39606347476</v>
      </c>
      <c r="Y145" s="42">
        <f t="shared" si="786"/>
        <v>27463.040770648029</v>
      </c>
      <c r="Z145" s="42">
        <f t="shared" si="786"/>
        <v>31067.223066441296</v>
      </c>
      <c r="AA145" s="42">
        <f t="shared" si="786"/>
        <v>34573.705165243016</v>
      </c>
      <c r="AB145" s="42">
        <f t="shared" si="786"/>
        <v>30769.896629811086</v>
      </c>
      <c r="AC145" s="42">
        <f t="shared" si="786"/>
        <v>42057.849317372544</v>
      </c>
      <c r="AD145" s="42">
        <f t="shared" si="786"/>
        <v>43555.17328109654</v>
      </c>
      <c r="AE145" s="42">
        <f t="shared" si="786"/>
        <v>55898.559734254537</v>
      </c>
      <c r="AF145" s="42">
        <f t="shared" ref="AF145:AG145" si="787">IFERROR(AF143+AF144,"n/a")</f>
        <v>48184.193578629449</v>
      </c>
      <c r="AG145" s="42">
        <f t="shared" si="787"/>
        <v>55121.617486247022</v>
      </c>
      <c r="AH145" s="42">
        <f t="shared" ref="AH145" si="788">IFERROR(AH143+AH144,"n/a")</f>
        <v>52804.734818121447</v>
      </c>
      <c r="AI145" s="42">
        <f t="shared" ref="AI145:AJ145" si="789">IFERROR(AI143+AI144,"n/a")</f>
        <v>61817.023282631533</v>
      </c>
      <c r="AJ145" s="42">
        <f t="shared" si="789"/>
        <v>51382.127678810677</v>
      </c>
      <c r="AK145" s="42">
        <f t="shared" ref="AK145:AM145" si="790">IFERROR(AK143+AK144,"n/a")</f>
        <v>59932.351886124052</v>
      </c>
      <c r="AL145" s="42">
        <f t="shared" si="790"/>
        <v>59550.725343637052</v>
      </c>
      <c r="AM145" s="42">
        <f t="shared" si="790"/>
        <v>72886.059098276077</v>
      </c>
      <c r="AO145" s="42">
        <f>IFERROR(AO143+AO144,"n/a")</f>
        <v>504.86400000000003</v>
      </c>
      <c r="AP145" s="42">
        <f>IFERROR(AP143+AP144,"n/a")</f>
        <v>1744.0760000000002</v>
      </c>
      <c r="AQ145" s="48">
        <f>+SUM(H145:K145)</f>
        <v>13119.99</v>
      </c>
      <c r="AR145" s="48">
        <f>+SUM(L145:O145)</f>
        <v>30141.885999999999</v>
      </c>
      <c r="AS145" s="48">
        <f>+SUM(P145:S145)</f>
        <v>58916.923823529411</v>
      </c>
      <c r="AT145" s="48">
        <f>+SUM(T145:W145)</f>
        <v>83698.034577848186</v>
      </c>
      <c r="AU145" s="48">
        <f>+SUM(X145:AA145)</f>
        <v>113286.3650658071</v>
      </c>
      <c r="AV145" s="48">
        <f>+SUM(AB145:AE145)</f>
        <v>172281.47896253469</v>
      </c>
      <c r="AW145" s="42">
        <f>+SUM(AF145:AI145)</f>
        <v>217927.56916562945</v>
      </c>
      <c r="AX145" s="48">
        <f t="shared" si="780"/>
        <v>243751.26400684786</v>
      </c>
    </row>
    <row r="146" spans="2:50" s="1" customFormat="1" ht="10.15" x14ac:dyDescent="0.2">
      <c r="B146" s="38"/>
      <c r="H146" s="42"/>
      <c r="I146" s="42"/>
      <c r="J146" s="42"/>
      <c r="K146" s="42"/>
      <c r="L146" s="42"/>
      <c r="M146" s="42"/>
      <c r="N146" s="42"/>
      <c r="O146" s="42"/>
      <c r="P146" s="42"/>
      <c r="Q146" s="42"/>
      <c r="R146" s="42"/>
      <c r="S146" s="42"/>
      <c r="T146" s="42"/>
      <c r="U146" s="42"/>
      <c r="V146" s="42"/>
      <c r="W146" s="42"/>
      <c r="X146" s="42"/>
      <c r="Y146" s="42"/>
      <c r="Z146" s="42"/>
      <c r="AA146" s="42"/>
      <c r="AB146" s="42"/>
      <c r="AC146" s="42"/>
      <c r="AD146" s="42"/>
      <c r="AE146" s="42"/>
      <c r="AF146" s="42"/>
      <c r="AG146" s="42"/>
      <c r="AQ146" s="179"/>
      <c r="AR146" s="179"/>
      <c r="AS146" s="179"/>
      <c r="AT146" s="179"/>
      <c r="AU146" s="179"/>
      <c r="AV146" s="179"/>
    </row>
    <row r="147" spans="2:50" s="1" customFormat="1" ht="10.15" x14ac:dyDescent="0.2">
      <c r="B147" s="19" t="s">
        <v>86</v>
      </c>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row>
    <row r="148" spans="2:50" s="1" customFormat="1" ht="10.15" x14ac:dyDescent="0.2">
      <c r="B148" s="20" t="s">
        <v>226</v>
      </c>
      <c r="H148" s="42"/>
      <c r="I148" s="42"/>
      <c r="J148" s="42"/>
      <c r="K148" s="42"/>
      <c r="L148" s="173">
        <f t="shared" ref="L148:U152" si="791">+IFERROR(L141/H141-1,"n/a")</f>
        <v>2.5632289504557355</v>
      </c>
      <c r="M148" s="173">
        <f t="shared" si="791"/>
        <v>1.7276271303678858</v>
      </c>
      <c r="N148" s="173">
        <f t="shared" si="791"/>
        <v>1.2565997959077313</v>
      </c>
      <c r="O148" s="173">
        <f t="shared" si="791"/>
        <v>0.91346813691115147</v>
      </c>
      <c r="P148" s="173">
        <f t="shared" si="791"/>
        <v>0.39100661683399962</v>
      </c>
      <c r="Q148" s="173">
        <f t="shared" si="791"/>
        <v>0.7093819723389545</v>
      </c>
      <c r="R148" s="173">
        <f t="shared" si="791"/>
        <v>0.86022792375125801</v>
      </c>
      <c r="S148" s="173">
        <f t="shared" si="791"/>
        <v>0.95339764351096257</v>
      </c>
      <c r="T148" s="173">
        <f t="shared" si="791"/>
        <v>1.5693358119684575</v>
      </c>
      <c r="U148" s="173">
        <f t="shared" si="791"/>
        <v>0.63554164935125335</v>
      </c>
      <c r="V148" s="173">
        <f t="shared" ref="V148:AG152" si="792">+IFERROR(V141/R141-1,"n/a")</f>
        <v>0.43746349571592291</v>
      </c>
      <c r="W148" s="173">
        <f t="shared" si="792"/>
        <v>0.18513004060094174</v>
      </c>
      <c r="X148" s="173">
        <f t="shared" si="792"/>
        <v>0.28678333380339938</v>
      </c>
      <c r="Y148" s="173">
        <f t="shared" si="792"/>
        <v>0.39226037847906059</v>
      </c>
      <c r="Z148" s="173">
        <f t="shared" si="792"/>
        <v>0.58391058622251402</v>
      </c>
      <c r="AA148" s="173">
        <f t="shared" si="792"/>
        <v>0.3808339629505475</v>
      </c>
      <c r="AB148" s="173">
        <f t="shared" si="792"/>
        <v>0.50037384850282995</v>
      </c>
      <c r="AC148" s="173">
        <f t="shared" si="792"/>
        <v>0.50690648354835566</v>
      </c>
      <c r="AD148" s="173">
        <f t="shared" si="792"/>
        <v>0.39619269852979588</v>
      </c>
      <c r="AE148" s="173">
        <f t="shared" si="792"/>
        <v>0.57194570951141555</v>
      </c>
      <c r="AF148" s="173">
        <f t="shared" si="792"/>
        <v>0.55834602644959386</v>
      </c>
      <c r="AG148" s="173">
        <f t="shared" si="792"/>
        <v>0.29481150510490517</v>
      </c>
      <c r="AH148" s="173">
        <f t="shared" ref="AH148:AJ148" si="793">+IFERROR(AH141/AD141-1,"n/a")</f>
        <v>0.21337437024682648</v>
      </c>
      <c r="AI148" s="173">
        <f t="shared" si="793"/>
        <v>0.18139979192123223</v>
      </c>
      <c r="AJ148" s="173">
        <f t="shared" si="793"/>
        <v>0.12422449980655381</v>
      </c>
      <c r="AK148" s="173">
        <f t="shared" ref="AK148:AK152" si="794">+IFERROR(AK141/AG141-1,"n/a")</f>
        <v>0.13585258499999986</v>
      </c>
      <c r="AL148" s="173">
        <f t="shared" ref="AL148:AL152" si="795">+IFERROR(AL141/AH141-1,"n/a")</f>
        <v>0.14780892799999967</v>
      </c>
      <c r="AM148" s="173">
        <f t="shared" ref="AM148:AM152" si="796">+IFERROR(AM141/AI141-1,"n/a")</f>
        <v>0.18124025599999971</v>
      </c>
      <c r="AQ148" s="173">
        <f>+IFERROR(AQ141/AP141-1,"n/a")</f>
        <v>8.5227098881561272</v>
      </c>
      <c r="AR148" s="173">
        <f t="shared" ref="AR148:AV148" si="797">+IFERROR(AR141/AQ141-1,"n/a")</f>
        <v>1.3284674017580538</v>
      </c>
      <c r="AS148" s="173">
        <f t="shared" si="797"/>
        <v>0.78840982468587506</v>
      </c>
      <c r="AT148" s="173">
        <f t="shared" si="797"/>
        <v>0.51319465354336335</v>
      </c>
      <c r="AU148" s="173">
        <f t="shared" si="797"/>
        <v>0.41561615316768075</v>
      </c>
      <c r="AV148" s="173">
        <f t="shared" si="797"/>
        <v>0.49472037731692042</v>
      </c>
      <c r="AW148" s="173">
        <f t="shared" ref="AW148:AX148" si="798">+IFERROR(AW141/AV141-1,"n/a")</f>
        <v>0.28456932988020567</v>
      </c>
      <c r="AX148" s="173">
        <f t="shared" si="798"/>
        <v>0.14950198921015367</v>
      </c>
    </row>
    <row r="149" spans="2:50" s="1" customFormat="1" ht="12" x14ac:dyDescent="0.35">
      <c r="B149" s="20" t="s">
        <v>227</v>
      </c>
      <c r="H149" s="42"/>
      <c r="I149" s="42"/>
      <c r="J149" s="42"/>
      <c r="K149" s="42"/>
      <c r="L149" s="180">
        <f t="shared" si="791"/>
        <v>1.1583412898185919</v>
      </c>
      <c r="M149" s="180">
        <f t="shared" si="791"/>
        <v>1.4340420119848325</v>
      </c>
      <c r="N149" s="180">
        <f t="shared" si="791"/>
        <v>1.014931968775187</v>
      </c>
      <c r="O149" s="180">
        <f t="shared" si="791"/>
        <v>0.86972904805052553</v>
      </c>
      <c r="P149" s="180">
        <f t="shared" si="791"/>
        <v>0.75738366929740786</v>
      </c>
      <c r="Q149" s="180">
        <f t="shared" si="791"/>
        <v>0.38360502348302128</v>
      </c>
      <c r="R149" s="180">
        <f t="shared" si="791"/>
        <v>0.65998208084058052</v>
      </c>
      <c r="S149" s="180">
        <f t="shared" si="791"/>
        <v>0.53065325125825313</v>
      </c>
      <c r="T149" s="180">
        <f t="shared" si="791"/>
        <v>0.28997195882286664</v>
      </c>
      <c r="U149" s="180">
        <f t="shared" si="791"/>
        <v>-0.22612178451011755</v>
      </c>
      <c r="V149" s="180">
        <f t="shared" si="792"/>
        <v>-0.66258580329187344</v>
      </c>
      <c r="W149" s="180">
        <f t="shared" si="792"/>
        <v>-0.28821753036550768</v>
      </c>
      <c r="X149" s="180">
        <f t="shared" si="792"/>
        <v>0.4635980251273657</v>
      </c>
      <c r="Y149" s="180">
        <f t="shared" si="792"/>
        <v>1.5417664451825916</v>
      </c>
      <c r="Z149" s="180">
        <f t="shared" si="792"/>
        <v>4.751502094003226</v>
      </c>
      <c r="AA149" s="180">
        <f t="shared" si="792"/>
        <v>1.9462924263187582</v>
      </c>
      <c r="AB149" s="180">
        <f t="shared" si="792"/>
        <v>0.78043815497400804</v>
      </c>
      <c r="AC149" s="180">
        <f t="shared" si="792"/>
        <v>0.84178933588305482</v>
      </c>
      <c r="AD149" s="180">
        <f t="shared" si="792"/>
        <v>0.49603070036694707</v>
      </c>
      <c r="AE149" s="180">
        <f t="shared" si="792"/>
        <v>1.0344565883986823</v>
      </c>
      <c r="AF149" s="180">
        <f t="shared" si="792"/>
        <v>0.62473359732297062</v>
      </c>
      <c r="AG149" s="180">
        <f t="shared" si="792"/>
        <v>0.45593328906050012</v>
      </c>
      <c r="AH149" s="180">
        <f t="shared" ref="AH149:AJ149" si="799">+IFERROR(AH142/AD142-1,"n/a")</f>
        <v>0.20199849784808888</v>
      </c>
      <c r="AI149" s="180">
        <f t="shared" si="799"/>
        <v>-0.40306062759079686</v>
      </c>
      <c r="AJ149" s="180">
        <f t="shared" si="799"/>
        <v>-0.36246322688350519</v>
      </c>
      <c r="AK149" s="180">
        <f t="shared" si="794"/>
        <v>-0.31000000000000005</v>
      </c>
      <c r="AL149" s="180">
        <f t="shared" si="795"/>
        <v>-8.0000000000000182E-2</v>
      </c>
      <c r="AM149" s="180">
        <f t="shared" si="796"/>
        <v>0.14999999999999991</v>
      </c>
      <c r="AQ149" s="180">
        <f t="shared" ref="AQ149:AV152" si="800">+IFERROR(AQ142/AP142-1,"n/a")</f>
        <v>2.0191319041955826</v>
      </c>
      <c r="AR149" s="180">
        <f t="shared" si="800"/>
        <v>1.0744289974850645</v>
      </c>
      <c r="AS149" s="180">
        <f t="shared" si="800"/>
        <v>0.56613284885259696</v>
      </c>
      <c r="AT149" s="180">
        <f t="shared" si="800"/>
        <v>-0.25399249770904508</v>
      </c>
      <c r="AU149" s="180">
        <f t="shared" si="800"/>
        <v>1.6630195072978946</v>
      </c>
      <c r="AV149" s="180">
        <f t="shared" si="800"/>
        <v>0.80979596316052338</v>
      </c>
      <c r="AW149" s="180">
        <f t="shared" ref="AW149:AX149" si="801">+IFERROR(AW142/AV142-1,"n/a")</f>
        <v>0.10421885932173813</v>
      </c>
      <c r="AX149" s="180">
        <f t="shared" si="801"/>
        <v>-0.1770121144836877</v>
      </c>
    </row>
    <row r="150" spans="2:50" s="1" customFormat="1" ht="10.15" x14ac:dyDescent="0.2">
      <c r="B150" s="30" t="s">
        <v>224</v>
      </c>
      <c r="H150" s="42"/>
      <c r="I150" s="42"/>
      <c r="J150" s="42"/>
      <c r="K150" s="42"/>
      <c r="L150" s="173">
        <f t="shared" si="791"/>
        <v>2.2826743242111105</v>
      </c>
      <c r="M150" s="173">
        <f t="shared" si="791"/>
        <v>1.6909871593173387</v>
      </c>
      <c r="N150" s="173">
        <f t="shared" si="791"/>
        <v>1.228059511009608</v>
      </c>
      <c r="O150" s="173">
        <f t="shared" si="791"/>
        <v>0.90889191608939801</v>
      </c>
      <c r="P150" s="173">
        <f t="shared" si="791"/>
        <v>0.4391123038701894</v>
      </c>
      <c r="Q150" s="173">
        <f t="shared" si="791"/>
        <v>0.67260653211903199</v>
      </c>
      <c r="R150" s="173">
        <f t="shared" si="791"/>
        <v>0.83884157835534645</v>
      </c>
      <c r="S150" s="173">
        <f t="shared" si="791"/>
        <v>0.91007525100974562</v>
      </c>
      <c r="T150" s="173">
        <f t="shared" si="791"/>
        <v>1.3642034723615666</v>
      </c>
      <c r="U150" s="173">
        <f t="shared" si="791"/>
        <v>0.55507914722833318</v>
      </c>
      <c r="V150" s="173">
        <f t="shared" si="792"/>
        <v>0.33140528375095668</v>
      </c>
      <c r="W150" s="173">
        <f t="shared" si="792"/>
        <v>0.14625766601096002</v>
      </c>
      <c r="X150" s="173">
        <f t="shared" si="792"/>
        <v>0.30225203403598488</v>
      </c>
      <c r="Y150" s="173">
        <f t="shared" si="792"/>
        <v>0.44567833394894607</v>
      </c>
      <c r="Z150" s="173">
        <f t="shared" si="792"/>
        <v>0.68573932677207217</v>
      </c>
      <c r="AA150" s="173">
        <f t="shared" si="792"/>
        <v>0.46066421520824719</v>
      </c>
      <c r="AB150" s="173">
        <f t="shared" si="792"/>
        <v>0.527911063102805</v>
      </c>
      <c r="AC150" s="173">
        <f t="shared" si="792"/>
        <v>0.53426754073777327</v>
      </c>
      <c r="AD150" s="173">
        <f t="shared" si="792"/>
        <v>0.4045155466976007</v>
      </c>
      <c r="AE150" s="173">
        <f t="shared" si="792"/>
        <v>0.61952011445522248</v>
      </c>
      <c r="AF150" s="173">
        <f t="shared" si="792"/>
        <v>0.56595240336123553</v>
      </c>
      <c r="AG150" s="173">
        <f t="shared" si="792"/>
        <v>0.31061427012812848</v>
      </c>
      <c r="AH150" s="173">
        <f t="shared" ref="AH150:AJ150" si="802">+IFERROR(AH143/AD143-1,"n/a")</f>
        <v>0.21236424608691262</v>
      </c>
      <c r="AI150" s="173">
        <f t="shared" si="802"/>
        <v>0.10587864117633372</v>
      </c>
      <c r="AJ150" s="173">
        <f t="shared" si="802"/>
        <v>6.6368945138880031E-2</v>
      </c>
      <c r="AK150" s="173">
        <f t="shared" si="794"/>
        <v>8.727491353237804E-2</v>
      </c>
      <c r="AL150" s="173">
        <f t="shared" si="795"/>
        <v>0.12775351583056382</v>
      </c>
      <c r="AM150" s="173">
        <f t="shared" si="796"/>
        <v>0.17906128810240785</v>
      </c>
      <c r="AQ150" s="173">
        <f t="shared" si="800"/>
        <v>6.5372309042788164</v>
      </c>
      <c r="AR150" s="173">
        <f t="shared" si="800"/>
        <v>1.2974015986292673</v>
      </c>
      <c r="AS150" s="173">
        <f t="shared" si="800"/>
        <v>0.76386616363453208</v>
      </c>
      <c r="AT150" s="173">
        <f t="shared" si="800"/>
        <v>0.43797884029196377</v>
      </c>
      <c r="AU150" s="173">
        <f t="shared" si="800"/>
        <v>0.47906232774158086</v>
      </c>
      <c r="AV150" s="173">
        <f t="shared" si="800"/>
        <v>0.52357405386512079</v>
      </c>
      <c r="AW150" s="173">
        <f t="shared" ref="AW150:AX150" si="803">+IFERROR(AW143/AV143-1,"n/a")</f>
        <v>0.26495065214190094</v>
      </c>
      <c r="AX150" s="173">
        <f t="shared" si="803"/>
        <v>0.11849668649124356</v>
      </c>
    </row>
    <row r="151" spans="2:50" s="1" customFormat="1" ht="12" x14ac:dyDescent="0.35">
      <c r="B151" s="20" t="s">
        <v>223</v>
      </c>
      <c r="H151" s="42"/>
      <c r="I151" s="42"/>
      <c r="J151" s="42"/>
      <c r="K151" s="42"/>
      <c r="L151" s="180" t="str">
        <f t="shared" si="791"/>
        <v>n/a</v>
      </c>
      <c r="M151" s="180" t="str">
        <f t="shared" si="791"/>
        <v>n/a</v>
      </c>
      <c r="N151" s="180" t="str">
        <f t="shared" si="791"/>
        <v>n/a</v>
      </c>
      <c r="O151" s="180" t="str">
        <f t="shared" si="791"/>
        <v>n/a</v>
      </c>
      <c r="P151" s="180" t="str">
        <f t="shared" si="791"/>
        <v>n/a</v>
      </c>
      <c r="Q151" s="180" t="str">
        <f t="shared" si="791"/>
        <v>n/a</v>
      </c>
      <c r="R151" s="180" t="str">
        <f t="shared" si="791"/>
        <v>n/a</v>
      </c>
      <c r="S151" s="180" t="str">
        <f t="shared" si="791"/>
        <v>n/a</v>
      </c>
      <c r="T151" s="180" t="str">
        <f t="shared" si="791"/>
        <v>n/a</v>
      </c>
      <c r="U151" s="180" t="str">
        <f t="shared" si="791"/>
        <v>n/a</v>
      </c>
      <c r="V151" s="180">
        <f t="shared" si="792"/>
        <v>-0.79096130053815727</v>
      </c>
      <c r="W151" s="180">
        <f t="shared" si="792"/>
        <v>-0.98475656928741362</v>
      </c>
      <c r="X151" s="180">
        <f t="shared" si="792"/>
        <v>-0.99144109701963534</v>
      </c>
      <c r="Y151" s="180">
        <f t="shared" si="792"/>
        <v>-0.9741032794511999</v>
      </c>
      <c r="Z151" s="180">
        <f t="shared" si="792"/>
        <v>-0.31307312914814589</v>
      </c>
      <c r="AA151" s="180">
        <f t="shared" si="792"/>
        <v>-0.28743020863943991</v>
      </c>
      <c r="AB151" s="180">
        <f t="shared" si="792"/>
        <v>-1</v>
      </c>
      <c r="AC151" s="180">
        <f t="shared" si="792"/>
        <v>-1</v>
      </c>
      <c r="AD151" s="180">
        <f t="shared" si="792"/>
        <v>-1</v>
      </c>
      <c r="AE151" s="180">
        <f t="shared" si="792"/>
        <v>-1</v>
      </c>
      <c r="AF151" s="180" t="str">
        <f t="shared" si="792"/>
        <v>n/a</v>
      </c>
      <c r="AG151" s="180" t="str">
        <f t="shared" si="792"/>
        <v>n/a</v>
      </c>
      <c r="AH151" s="180" t="str">
        <f t="shared" ref="AH151:AJ151" si="804">+IFERROR(AH144/AD144-1,"n/a")</f>
        <v>n/a</v>
      </c>
      <c r="AI151" s="180" t="str">
        <f t="shared" si="804"/>
        <v>n/a</v>
      </c>
      <c r="AJ151" s="180" t="str">
        <f t="shared" si="804"/>
        <v>n/a</v>
      </c>
      <c r="AK151" s="180" t="str">
        <f t="shared" si="794"/>
        <v>n/a</v>
      </c>
      <c r="AL151" s="180" t="str">
        <f t="shared" si="795"/>
        <v>n/a</v>
      </c>
      <c r="AM151" s="180" t="str">
        <f t="shared" si="796"/>
        <v>n/a</v>
      </c>
      <c r="AQ151" s="180">
        <f t="shared" si="800"/>
        <v>-1</v>
      </c>
      <c r="AR151" s="180" t="str">
        <f t="shared" si="800"/>
        <v>n/a</v>
      </c>
      <c r="AS151" s="180" t="str">
        <f t="shared" si="800"/>
        <v>n/a</v>
      </c>
      <c r="AT151" s="180">
        <f t="shared" si="800"/>
        <v>0.26004217594781531</v>
      </c>
      <c r="AU151" s="180">
        <f t="shared" si="800"/>
        <v>-0.97113325148687124</v>
      </c>
      <c r="AV151" s="180">
        <f t="shared" si="800"/>
        <v>-1</v>
      </c>
      <c r="AW151" s="180" t="str">
        <f t="shared" ref="AW151:AX151" si="805">+IFERROR(AW144/AV144-1,"n/a")</f>
        <v>n/a</v>
      </c>
      <c r="AX151" s="180" t="str">
        <f t="shared" si="805"/>
        <v>n/a</v>
      </c>
    </row>
    <row r="152" spans="2:50" s="1" customFormat="1" ht="10.15" x14ac:dyDescent="0.2">
      <c r="B152" s="30" t="s">
        <v>379</v>
      </c>
      <c r="H152" s="42"/>
      <c r="I152" s="42"/>
      <c r="J152" s="42"/>
      <c r="K152" s="42"/>
      <c r="L152" s="173">
        <f t="shared" si="791"/>
        <v>2.2826743242111105</v>
      </c>
      <c r="M152" s="173">
        <f t="shared" si="791"/>
        <v>1.6909871593173387</v>
      </c>
      <c r="N152" s="173">
        <f t="shared" si="791"/>
        <v>1.228059511009608</v>
      </c>
      <c r="O152" s="173">
        <f t="shared" si="791"/>
        <v>0.90889191608939801</v>
      </c>
      <c r="P152" s="173">
        <f t="shared" si="791"/>
        <v>0.4391123038701894</v>
      </c>
      <c r="Q152" s="173">
        <f t="shared" si="791"/>
        <v>0.67260653211903199</v>
      </c>
      <c r="R152" s="173">
        <f t="shared" si="791"/>
        <v>0.89112061994573266</v>
      </c>
      <c r="S152" s="173">
        <f t="shared" si="791"/>
        <v>1.4065067364379868</v>
      </c>
      <c r="T152" s="173">
        <f t="shared" si="791"/>
        <v>2.1475839616676562</v>
      </c>
      <c r="U152" s="173">
        <f t="shared" si="791"/>
        <v>0.71567230831701178</v>
      </c>
      <c r="V152" s="173">
        <f t="shared" si="792"/>
        <v>0.30037804586837558</v>
      </c>
      <c r="W152" s="173">
        <f t="shared" si="792"/>
        <v>-8.7056069773849831E-2</v>
      </c>
      <c r="X152" s="173">
        <f t="shared" si="792"/>
        <v>-1.9726337426210994E-2</v>
      </c>
      <c r="Y152" s="173">
        <f t="shared" si="792"/>
        <v>0.31278161687412354</v>
      </c>
      <c r="Z152" s="173">
        <f t="shared" si="792"/>
        <v>0.6813006920832767</v>
      </c>
      <c r="AA152" s="173">
        <f t="shared" si="792"/>
        <v>0.45808749496367196</v>
      </c>
      <c r="AB152" s="173">
        <f t="shared" si="792"/>
        <v>0.52459086290042301</v>
      </c>
      <c r="AC152" s="173">
        <f t="shared" si="792"/>
        <v>0.53143454392432643</v>
      </c>
      <c r="AD152" s="173">
        <f t="shared" si="792"/>
        <v>0.40196544724799321</v>
      </c>
      <c r="AE152" s="173">
        <f t="shared" si="792"/>
        <v>0.61679401924354416</v>
      </c>
      <c r="AF152" s="173">
        <f t="shared" si="792"/>
        <v>0.56595240336123553</v>
      </c>
      <c r="AG152" s="173">
        <f t="shared" si="792"/>
        <v>0.31061427012812848</v>
      </c>
      <c r="AH152" s="173">
        <f t="shared" ref="AH152:AJ152" si="806">+IFERROR(AH145/AD145-1,"n/a")</f>
        <v>0.21236424608691262</v>
      </c>
      <c r="AI152" s="173">
        <f t="shared" si="806"/>
        <v>0.10587864117633372</v>
      </c>
      <c r="AJ152" s="173">
        <f t="shared" si="806"/>
        <v>6.6368945138880031E-2</v>
      </c>
      <c r="AK152" s="173">
        <f t="shared" si="794"/>
        <v>8.727491353237804E-2</v>
      </c>
      <c r="AL152" s="173">
        <f t="shared" si="795"/>
        <v>0.12775351583056382</v>
      </c>
      <c r="AM152" s="173">
        <f t="shared" si="796"/>
        <v>0.17906128810240785</v>
      </c>
      <c r="AQ152" s="173">
        <f t="shared" si="800"/>
        <v>6.5226022260497807</v>
      </c>
      <c r="AR152" s="173">
        <f t="shared" si="800"/>
        <v>1.2974015986292673</v>
      </c>
      <c r="AS152" s="173">
        <f t="shared" si="800"/>
        <v>0.95465286490465173</v>
      </c>
      <c r="AT152" s="173">
        <f t="shared" si="800"/>
        <v>0.42061107651418217</v>
      </c>
      <c r="AU152" s="173">
        <f t="shared" si="800"/>
        <v>0.35351284695267937</v>
      </c>
      <c r="AV152" s="173">
        <f t="shared" si="800"/>
        <v>0.52076093943395407</v>
      </c>
      <c r="AW152" s="173">
        <f t="shared" ref="AW152:AX152" si="807">+IFERROR(AW145/AV145-1,"n/a")</f>
        <v>0.26495065214190094</v>
      </c>
      <c r="AX152" s="173">
        <f t="shared" si="807"/>
        <v>0.11849668649124356</v>
      </c>
    </row>
    <row r="153" spans="2:50" s="1" customFormat="1" ht="10.15" x14ac:dyDescent="0.2">
      <c r="B153" s="30"/>
      <c r="H153" s="42"/>
      <c r="I153" s="42"/>
      <c r="J153" s="42"/>
      <c r="K153" s="42"/>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Q153" s="173"/>
      <c r="AR153" s="173"/>
      <c r="AS153" s="173"/>
      <c r="AT153" s="173"/>
      <c r="AU153" s="173"/>
      <c r="AV153" s="173"/>
    </row>
    <row r="154" spans="2:50" s="1" customFormat="1" ht="10.15" x14ac:dyDescent="0.2">
      <c r="B154" s="19" t="s">
        <v>262</v>
      </c>
      <c r="H154" s="42"/>
      <c r="I154" s="42"/>
      <c r="J154" s="42"/>
      <c r="K154" s="42"/>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Q154" s="173"/>
      <c r="AR154" s="173"/>
      <c r="AS154" s="173"/>
      <c r="AT154" s="173"/>
      <c r="AU154" s="173"/>
      <c r="AV154" s="173"/>
    </row>
    <row r="155" spans="2:50" s="1" customFormat="1" ht="10.15" x14ac:dyDescent="0.2">
      <c r="B155" s="20" t="s">
        <v>226</v>
      </c>
      <c r="H155"/>
      <c r="I155" s="46">
        <f>+IFERROR(I141/H141-1,"n/a")</f>
        <v>1.1396552657702377</v>
      </c>
      <c r="J155" s="46">
        <f t="shared" ref="J155:J159" si="808">+IFERROR(J141/I141-1,"n/a")</f>
        <v>0.25440962111421905</v>
      </c>
      <c r="K155" s="46">
        <f t="shared" ref="K155:K159" si="809">+IFERROR(K141/J141-1,"n/a")</f>
        <v>0.70212884711404455</v>
      </c>
      <c r="L155" s="46">
        <f t="shared" ref="L155:L159" si="810">+IFERROR(L141/K141-1,"n/a")</f>
        <v>-0.22004757447981949</v>
      </c>
      <c r="M155" s="46">
        <f t="shared" ref="M155:M159" si="811">+IFERROR(M141/L141-1,"n/a")</f>
        <v>0.6378913153483905</v>
      </c>
      <c r="N155" s="46">
        <f t="shared" ref="N155:N159" si="812">+IFERROR(N141/M141-1,"n/a")</f>
        <v>3.7788656475657545E-2</v>
      </c>
      <c r="O155" s="46">
        <f t="shared" ref="O155:O159" si="813">+IFERROR(O141/N141-1,"n/a")</f>
        <v>0.44330834371980443</v>
      </c>
      <c r="P155" s="46">
        <f t="shared" ref="P155:P159" si="814">+IFERROR(P141/O141-1,"n/a")</f>
        <v>-0.4330091189991554</v>
      </c>
      <c r="Q155" s="46">
        <f t="shared" ref="Q155:Q159" si="815">+IFERROR(Q141/P141-1,"n/a")</f>
        <v>1.012773953210603</v>
      </c>
      <c r="R155" s="46">
        <f t="shared" ref="R155:R159" si="816">+IFERROR(R141/Q141-1,"n/a")</f>
        <v>0.12936925097365837</v>
      </c>
      <c r="S155" s="46">
        <f t="shared" ref="S155:S159" si="817">+IFERROR(S141/R141-1,"n/a")</f>
        <v>0.51559660054805678</v>
      </c>
      <c r="T155" s="46">
        <f t="shared" ref="T155:T159" si="818">+IFERROR(T141/S141-1,"n/a")</f>
        <v>-0.25422763744270871</v>
      </c>
      <c r="U155" s="46">
        <f t="shared" ref="U155:U159" si="819">+IFERROR(U141/T141-1,"n/a")</f>
        <v>0.28125549640909542</v>
      </c>
      <c r="V155" s="46">
        <f t="shared" ref="V155:V159" si="820">+IFERROR(V141/U141-1,"n/a")</f>
        <v>-7.4070739179220579E-3</v>
      </c>
      <c r="W155" s="46">
        <f t="shared" ref="W155:W159" si="821">+IFERROR(W141/V141-1,"n/a")</f>
        <v>0.24954759970971518</v>
      </c>
      <c r="X155" s="46">
        <f t="shared" ref="X155:X159" si="822">+IFERROR(X141/W141-1,"n/a")</f>
        <v>-0.1902597908468322</v>
      </c>
      <c r="Y155" s="46">
        <f t="shared" ref="Y155:Y159" si="823">+IFERROR(Y141/X141-1,"n/a")</f>
        <v>0.38627942676746474</v>
      </c>
      <c r="Z155" s="46">
        <f t="shared" ref="Z155:Z159" si="824">+IFERROR(Z141/Y141-1,"n/a")</f>
        <v>0.12922731102099649</v>
      </c>
      <c r="AA155" s="46">
        <f t="shared" ref="AA155:AA159" si="825">+IFERROR(AA141/Z141-1,"n/a")</f>
        <v>8.93403826016963E-2</v>
      </c>
      <c r="AB155" s="46">
        <f t="shared" ref="AB155:AB159" si="826">+IFERROR(AB141/AA141-1,"n/a")</f>
        <v>-0.12015994211308723</v>
      </c>
      <c r="AC155" s="46">
        <f t="shared" ref="AC155:AC159" si="827">+IFERROR(AC141/AB141-1,"n/a")</f>
        <v>0.39231529414493815</v>
      </c>
      <c r="AD155" s="46">
        <f t="shared" ref="AD155:AD159" si="828">+IFERROR(AD141/AC141-1,"n/a")</f>
        <v>4.6261957089361427E-2</v>
      </c>
      <c r="AE155" s="46">
        <f t="shared" ref="AE155:AG159" si="829">+IFERROR(AE141/AD141-1,"n/a")</f>
        <v>0.22646676381520736</v>
      </c>
      <c r="AF155" s="46">
        <f t="shared" si="829"/>
        <v>-0.12777187543874635</v>
      </c>
      <c r="AG155" s="46">
        <f t="shared" si="829"/>
        <v>0.15685850959539693</v>
      </c>
      <c r="AH155" s="46">
        <f t="shared" ref="AH155:AH159" si="830">+IFERROR(AH141/AG141-1,"n/a")</f>
        <v>-1.9542660617878016E-2</v>
      </c>
      <c r="AI155" s="46">
        <f t="shared" ref="AI155:AJ159" si="831">+IFERROR(AI141/AH141-1,"n/a")</f>
        <v>0.19414717757294131</v>
      </c>
      <c r="AJ155" s="46">
        <f t="shared" si="831"/>
        <v>-0.16998442546072301</v>
      </c>
      <c r="AK155" s="46">
        <f t="shared" ref="AK155:AK159" si="832">+IFERROR(AK141/AJ141-1,"n/a")</f>
        <v>0.16882413506313321</v>
      </c>
      <c r="AL155" s="46">
        <f t="shared" ref="AL155:AL159" si="833">+IFERROR(AL141/AK141-1,"n/a")</f>
        <v>-9.2220570454347728E-3</v>
      </c>
      <c r="AM155" s="46">
        <f t="shared" ref="AM155:AM159" si="834">+IFERROR(AM141/AL141-1,"n/a")</f>
        <v>0.22892816332749311</v>
      </c>
      <c r="AQ155" s="173"/>
      <c r="AR155" s="173"/>
      <c r="AS155" s="173"/>
      <c r="AT155" s="173"/>
      <c r="AU155" s="173"/>
      <c r="AV155" s="173"/>
    </row>
    <row r="156" spans="2:50" s="1" customFormat="1" ht="12" x14ac:dyDescent="0.35">
      <c r="B156" s="20" t="s">
        <v>227</v>
      </c>
      <c r="H156"/>
      <c r="I156" s="47">
        <f t="shared" ref="I156:I159" si="835">+IFERROR(I142/H142-1,"n/a")</f>
        <v>0.2227454214043918</v>
      </c>
      <c r="J156" s="47">
        <f t="shared" si="808"/>
        <v>0.17799487716433893</v>
      </c>
      <c r="K156" s="47">
        <f t="shared" si="809"/>
        <v>0.48527266472997144</v>
      </c>
      <c r="L156" s="47">
        <f t="shared" si="810"/>
        <v>8.8683174877945969E-3</v>
      </c>
      <c r="M156" s="47">
        <f t="shared" si="811"/>
        <v>0.37893563900199401</v>
      </c>
      <c r="N156" s="47">
        <f t="shared" si="812"/>
        <v>-2.4840357986961159E-2</v>
      </c>
      <c r="O156" s="47">
        <f t="shared" si="813"/>
        <v>0.37823881329805986</v>
      </c>
      <c r="P156" s="47">
        <f t="shared" si="814"/>
        <v>-5.1750997037142921E-2</v>
      </c>
      <c r="Q156" s="47">
        <f t="shared" si="815"/>
        <v>8.5649258335089407E-2</v>
      </c>
      <c r="R156" s="47">
        <f t="shared" si="816"/>
        <v>0.16994915761840912</v>
      </c>
      <c r="S156" s="47">
        <f t="shared" si="817"/>
        <v>0.27086053815516564</v>
      </c>
      <c r="T156" s="47">
        <f t="shared" si="818"/>
        <v>-0.2008545222124607</v>
      </c>
      <c r="U156" s="47">
        <f t="shared" si="819"/>
        <v>-0.34869877989057863</v>
      </c>
      <c r="V156" s="47">
        <f t="shared" si="820"/>
        <v>-0.48989718626815915</v>
      </c>
      <c r="W156" s="47">
        <f t="shared" si="821"/>
        <v>1.6809075054763905</v>
      </c>
      <c r="X156" s="47">
        <f t="shared" si="822"/>
        <v>0.64323763646486487</v>
      </c>
      <c r="Y156" s="47">
        <f t="shared" si="823"/>
        <v>0.13108623990972301</v>
      </c>
      <c r="Z156" s="47">
        <f t="shared" si="824"/>
        <v>0.15425923845055012</v>
      </c>
      <c r="AA156" s="47">
        <f t="shared" si="825"/>
        <v>0.37333471325373946</v>
      </c>
      <c r="AB156" s="47">
        <f t="shared" si="826"/>
        <v>-6.9950424755205187E-3</v>
      </c>
      <c r="AC156" s="47">
        <f t="shared" si="827"/>
        <v>0.1700617450877997</v>
      </c>
      <c r="AD156" s="47">
        <f t="shared" si="828"/>
        <v>-6.2429549752893165E-2</v>
      </c>
      <c r="AE156" s="47">
        <f t="shared" si="829"/>
        <v>0.86760195146421415</v>
      </c>
      <c r="AF156" s="47">
        <f t="shared" si="829"/>
        <v>-0.20697815524873342</v>
      </c>
      <c r="AG156" s="47">
        <f t="shared" si="829"/>
        <v>4.8499180257250751E-2</v>
      </c>
      <c r="AH156" s="47">
        <f t="shared" si="830"/>
        <v>-0.22595473206674577</v>
      </c>
      <c r="AI156" s="47">
        <f t="shared" si="831"/>
        <v>-7.2507046545288278E-2</v>
      </c>
      <c r="AJ156" s="47">
        <f t="shared" si="831"/>
        <v>-0.1530453321027786</v>
      </c>
      <c r="AK156" s="47">
        <f t="shared" si="832"/>
        <v>0.13478071365352728</v>
      </c>
      <c r="AL156" s="47">
        <f t="shared" si="833"/>
        <v>3.2060357244338755E-2</v>
      </c>
      <c r="AM156" s="47">
        <f t="shared" si="834"/>
        <v>0.15936619181838974</v>
      </c>
      <c r="AQ156" s="173"/>
      <c r="AR156" s="173"/>
      <c r="AS156" s="173"/>
      <c r="AT156" s="173"/>
      <c r="AU156" s="173"/>
      <c r="AV156" s="173"/>
    </row>
    <row r="157" spans="2:50" s="1" customFormat="1" ht="10.15" x14ac:dyDescent="0.2">
      <c r="B157" s="30" t="s">
        <v>224</v>
      </c>
      <c r="H157"/>
      <c r="I157" s="46">
        <f t="shared" si="835"/>
        <v>0.95654930940543337</v>
      </c>
      <c r="J157" s="46">
        <f t="shared" si="808"/>
        <v>0.24487291836314329</v>
      </c>
      <c r="K157" s="46">
        <f t="shared" si="809"/>
        <v>0.67651874708295345</v>
      </c>
      <c r="L157" s="46">
        <f t="shared" si="810"/>
        <v>-0.19609715167630537</v>
      </c>
      <c r="M157" s="46">
        <f t="shared" si="811"/>
        <v>0.60389016642597348</v>
      </c>
      <c r="N157" s="46">
        <f t="shared" si="812"/>
        <v>3.071875915636868E-2</v>
      </c>
      <c r="O157" s="46">
        <f t="shared" si="813"/>
        <v>0.43635888882914808</v>
      </c>
      <c r="P157" s="46">
        <f t="shared" si="814"/>
        <v>-0.39393819503988148</v>
      </c>
      <c r="Q157" s="46">
        <f t="shared" si="815"/>
        <v>0.86411940329539916</v>
      </c>
      <c r="R157" s="46">
        <f t="shared" si="816"/>
        <v>0.13315862011274193</v>
      </c>
      <c r="S157" s="46">
        <f t="shared" si="817"/>
        <v>0.49200104969033798</v>
      </c>
      <c r="T157" s="46">
        <f t="shared" si="818"/>
        <v>-0.24984451633779126</v>
      </c>
      <c r="U157" s="46">
        <f t="shared" si="819"/>
        <v>0.22614370797483807</v>
      </c>
      <c r="V157" s="46">
        <f t="shared" si="820"/>
        <v>-2.9828560922420144E-2</v>
      </c>
      <c r="W157" s="46">
        <f t="shared" si="821"/>
        <v>0.2845206953706596</v>
      </c>
      <c r="X157" s="46">
        <f t="shared" si="822"/>
        <v>-0.14775575037853772</v>
      </c>
      <c r="Y157" s="46">
        <f t="shared" si="823"/>
        <v>0.36118765538289388</v>
      </c>
      <c r="Z157" s="46">
        <f t="shared" si="824"/>
        <v>0.13127250381957212</v>
      </c>
      <c r="AA157" s="46">
        <f t="shared" si="825"/>
        <v>0.11301515223891068</v>
      </c>
      <c r="AB157" s="46">
        <f t="shared" si="826"/>
        <v>-0.10851966940483138</v>
      </c>
      <c r="AC157" s="46">
        <f t="shared" si="827"/>
        <v>0.36685052352841652</v>
      </c>
      <c r="AD157" s="46">
        <f t="shared" si="828"/>
        <v>3.5601534268313362E-2</v>
      </c>
      <c r="AE157" s="46">
        <f t="shared" si="829"/>
        <v>0.28339656401998914</v>
      </c>
      <c r="AF157" s="46">
        <f t="shared" si="829"/>
        <v>-0.13800652811628233</v>
      </c>
      <c r="AG157" s="46">
        <f t="shared" si="829"/>
        <v>0.14397717160704837</v>
      </c>
      <c r="AH157" s="46">
        <f t="shared" si="830"/>
        <v>-4.2032196691318857E-2</v>
      </c>
      <c r="AI157" s="46">
        <f t="shared" si="831"/>
        <v>0.17067197658603273</v>
      </c>
      <c r="AJ157" s="46">
        <f t="shared" si="831"/>
        <v>-0.16880294536525675</v>
      </c>
      <c r="AK157" s="46">
        <f t="shared" si="832"/>
        <v>0.16640463510504611</v>
      </c>
      <c r="AL157" s="46">
        <f t="shared" si="833"/>
        <v>-6.3676216680452757E-3</v>
      </c>
      <c r="AM157" s="46">
        <f t="shared" si="834"/>
        <v>0.22393234805600737</v>
      </c>
      <c r="AQ157" s="173"/>
      <c r="AR157" s="173"/>
      <c r="AS157" s="173"/>
      <c r="AT157" s="173"/>
      <c r="AU157" s="173"/>
      <c r="AV157" s="173"/>
    </row>
    <row r="158" spans="2:50" s="1" customFormat="1" ht="12" x14ac:dyDescent="0.35">
      <c r="B158" s="20" t="s">
        <v>223</v>
      </c>
      <c r="H158"/>
      <c r="I158" s="47" t="str">
        <f t="shared" si="835"/>
        <v>n/a</v>
      </c>
      <c r="J158" s="47" t="str">
        <f t="shared" si="808"/>
        <v>n/a</v>
      </c>
      <c r="K158" s="47" t="str">
        <f t="shared" si="809"/>
        <v>n/a</v>
      </c>
      <c r="L158" s="47" t="str">
        <f t="shared" si="810"/>
        <v>n/a</v>
      </c>
      <c r="M158" s="47" t="str">
        <f t="shared" si="811"/>
        <v>n/a</v>
      </c>
      <c r="N158" s="47" t="str">
        <f t="shared" si="812"/>
        <v>n/a</v>
      </c>
      <c r="O158" s="47" t="str">
        <f t="shared" si="813"/>
        <v>n/a</v>
      </c>
      <c r="P158" s="47" t="str">
        <f t="shared" si="814"/>
        <v>n/a</v>
      </c>
      <c r="Q158" s="47" t="str">
        <f t="shared" si="815"/>
        <v>n/a</v>
      </c>
      <c r="R158" s="47" t="str">
        <f t="shared" si="816"/>
        <v>n/a</v>
      </c>
      <c r="S158" s="47">
        <f t="shared" si="817"/>
        <v>12.63938119555422</v>
      </c>
      <c r="T158" s="47">
        <f t="shared" si="818"/>
        <v>-4.3620303595715448E-2</v>
      </c>
      <c r="U158" s="47">
        <f t="shared" si="819"/>
        <v>-0.61785513973277073</v>
      </c>
      <c r="V158" s="47">
        <f t="shared" si="820"/>
        <v>-0.95806528874256125</v>
      </c>
      <c r="W158" s="47">
        <f t="shared" si="821"/>
        <v>-5.3948730438959647E-3</v>
      </c>
      <c r="X158" s="47">
        <f t="shared" si="822"/>
        <v>-0.46301057890097286</v>
      </c>
      <c r="Y158" s="47">
        <f t="shared" si="823"/>
        <v>0.15625783797341364</v>
      </c>
      <c r="Z158" s="47">
        <f t="shared" si="824"/>
        <v>0.11234470518635375</v>
      </c>
      <c r="AA158" s="47">
        <f t="shared" si="825"/>
        <v>3.1733650078890951E-2</v>
      </c>
      <c r="AB158" s="47">
        <f t="shared" si="826"/>
        <v>-1</v>
      </c>
      <c r="AC158" s="47" t="str">
        <f t="shared" si="827"/>
        <v>n/a</v>
      </c>
      <c r="AD158" s="47" t="str">
        <f t="shared" si="828"/>
        <v>n/a</v>
      </c>
      <c r="AE158" s="47" t="str">
        <f t="shared" si="829"/>
        <v>n/a</v>
      </c>
      <c r="AF158" s="47" t="str">
        <f t="shared" si="829"/>
        <v>n/a</v>
      </c>
      <c r="AG158" s="47" t="str">
        <f t="shared" si="829"/>
        <v>n/a</v>
      </c>
      <c r="AH158" s="47" t="str">
        <f t="shared" si="830"/>
        <v>n/a</v>
      </c>
      <c r="AI158" s="47" t="str">
        <f t="shared" si="831"/>
        <v>n/a</v>
      </c>
      <c r="AJ158" s="47" t="str">
        <f t="shared" si="831"/>
        <v>n/a</v>
      </c>
      <c r="AK158" s="47" t="str">
        <f t="shared" si="832"/>
        <v>n/a</v>
      </c>
      <c r="AL158" s="47" t="str">
        <f t="shared" si="833"/>
        <v>n/a</v>
      </c>
      <c r="AM158" s="47" t="str">
        <f t="shared" si="834"/>
        <v>n/a</v>
      </c>
      <c r="AQ158" s="173"/>
      <c r="AR158" s="173"/>
      <c r="AS158" s="173"/>
      <c r="AT158" s="173"/>
      <c r="AU158" s="173"/>
      <c r="AV158" s="173"/>
    </row>
    <row r="159" spans="2:50" s="1" customFormat="1" ht="10.15" x14ac:dyDescent="0.2">
      <c r="B159" s="30" t="s">
        <v>379</v>
      </c>
      <c r="H159"/>
      <c r="I159" s="46">
        <f t="shared" si="835"/>
        <v>0.95654930940543337</v>
      </c>
      <c r="J159" s="46">
        <f t="shared" si="808"/>
        <v>0.24487291836314329</v>
      </c>
      <c r="K159" s="46">
        <f t="shared" si="809"/>
        <v>0.67651874708295345</v>
      </c>
      <c r="L159" s="46">
        <f t="shared" si="810"/>
        <v>-0.19609715167630537</v>
      </c>
      <c r="M159" s="46">
        <f t="shared" si="811"/>
        <v>0.60389016642597348</v>
      </c>
      <c r="N159" s="46">
        <f t="shared" si="812"/>
        <v>3.071875915636868E-2</v>
      </c>
      <c r="O159" s="46">
        <f t="shared" si="813"/>
        <v>0.43635888882914808</v>
      </c>
      <c r="P159" s="46">
        <f t="shared" si="814"/>
        <v>-0.39393819503988148</v>
      </c>
      <c r="Q159" s="46">
        <f t="shared" si="815"/>
        <v>0.86411940329539916</v>
      </c>
      <c r="R159" s="46">
        <f t="shared" si="816"/>
        <v>0.16537479758375784</v>
      </c>
      <c r="S159" s="46">
        <f t="shared" si="817"/>
        <v>0.82780902786048438</v>
      </c>
      <c r="T159" s="46">
        <f t="shared" si="818"/>
        <v>-0.20730310529052709</v>
      </c>
      <c r="U159" s="46">
        <f t="shared" si="819"/>
        <v>1.6086648864440445E-2</v>
      </c>
      <c r="V159" s="46">
        <f t="shared" si="820"/>
        <v>-0.11671489092647347</v>
      </c>
      <c r="W159" s="46">
        <f t="shared" si="821"/>
        <v>0.28323233608843479</v>
      </c>
      <c r="X159" s="46">
        <f t="shared" si="822"/>
        <v>-0.14884160728771745</v>
      </c>
      <c r="Y159" s="46">
        <f t="shared" si="823"/>
        <v>0.36074233625557817</v>
      </c>
      <c r="Z159" s="46">
        <f t="shared" si="824"/>
        <v>0.1312375539872972</v>
      </c>
      <c r="AA159" s="46">
        <f t="shared" si="825"/>
        <v>0.11286757401209147</v>
      </c>
      <c r="AB159" s="46">
        <f t="shared" si="826"/>
        <v>-0.1100202745772213</v>
      </c>
      <c r="AC159" s="46">
        <f t="shared" si="827"/>
        <v>0.36685052352841652</v>
      </c>
      <c r="AD159" s="46">
        <f t="shared" si="828"/>
        <v>3.5601534268313362E-2</v>
      </c>
      <c r="AE159" s="46">
        <f t="shared" si="829"/>
        <v>0.28339656401998914</v>
      </c>
      <c r="AF159" s="46">
        <f t="shared" si="829"/>
        <v>-0.13800652811628233</v>
      </c>
      <c r="AG159" s="46">
        <f t="shared" si="829"/>
        <v>0.14397717160704837</v>
      </c>
      <c r="AH159" s="46">
        <f t="shared" si="830"/>
        <v>-4.2032196691318857E-2</v>
      </c>
      <c r="AI159" s="46">
        <f t="shared" si="831"/>
        <v>0.17067197658603273</v>
      </c>
      <c r="AJ159" s="46">
        <f t="shared" si="831"/>
        <v>-0.16880294536525675</v>
      </c>
      <c r="AK159" s="46">
        <f t="shared" si="832"/>
        <v>0.16640463510504611</v>
      </c>
      <c r="AL159" s="46">
        <f t="shared" si="833"/>
        <v>-6.3676216680452757E-3</v>
      </c>
      <c r="AM159" s="46">
        <f t="shared" si="834"/>
        <v>0.22393234805600737</v>
      </c>
      <c r="AQ159" s="173"/>
      <c r="AR159" s="173"/>
      <c r="AS159" s="173"/>
      <c r="AT159" s="173"/>
      <c r="AU159" s="173"/>
      <c r="AV159" s="173"/>
    </row>
    <row r="160" spans="2:50" ht="10.15" x14ac:dyDescent="0.2">
      <c r="B160" s="181"/>
    </row>
    <row r="161" spans="2:50" ht="10.15" x14ac:dyDescent="0.2">
      <c r="B161" s="24" t="s">
        <v>371</v>
      </c>
    </row>
    <row r="162" spans="2:50" ht="10.15" x14ac:dyDescent="0.2">
      <c r="B162" s="184" t="s">
        <v>226</v>
      </c>
      <c r="H162" s="14">
        <f t="shared" ref="H162:AE162" si="836">+IFERROR(H289*(H$216*1000),"n/a")</f>
        <v>0</v>
      </c>
      <c r="I162" s="14">
        <f t="shared" si="836"/>
        <v>0</v>
      </c>
      <c r="J162" s="14">
        <f t="shared" si="836"/>
        <v>0</v>
      </c>
      <c r="K162" s="14">
        <f t="shared" si="836"/>
        <v>0</v>
      </c>
      <c r="L162" s="14">
        <f t="shared" si="836"/>
        <v>0</v>
      </c>
      <c r="M162" s="14">
        <f t="shared" si="836"/>
        <v>0</v>
      </c>
      <c r="N162" s="14">
        <f t="shared" si="836"/>
        <v>0</v>
      </c>
      <c r="O162" s="14">
        <f t="shared" si="836"/>
        <v>0</v>
      </c>
      <c r="P162" s="14">
        <f t="shared" si="836"/>
        <v>0</v>
      </c>
      <c r="Q162" s="14">
        <f t="shared" si="836"/>
        <v>0</v>
      </c>
      <c r="R162" s="14">
        <f t="shared" si="836"/>
        <v>0</v>
      </c>
      <c r="S162" s="14">
        <f t="shared" si="836"/>
        <v>0</v>
      </c>
      <c r="T162" s="14">
        <f t="shared" si="836"/>
        <v>0</v>
      </c>
      <c r="U162" s="14">
        <f t="shared" si="836"/>
        <v>0</v>
      </c>
      <c r="V162" s="14">
        <f t="shared" si="836"/>
        <v>0</v>
      </c>
      <c r="W162" s="14">
        <f t="shared" si="836"/>
        <v>0</v>
      </c>
      <c r="X162" s="14">
        <f t="shared" si="836"/>
        <v>0</v>
      </c>
      <c r="Y162" s="14">
        <f t="shared" si="836"/>
        <v>0</v>
      </c>
      <c r="Z162" s="14">
        <f t="shared" si="836"/>
        <v>0</v>
      </c>
      <c r="AA162" s="14">
        <f t="shared" si="836"/>
        <v>0</v>
      </c>
      <c r="AB162" s="14">
        <f t="shared" si="836"/>
        <v>0</v>
      </c>
      <c r="AC162" s="14">
        <f t="shared" si="836"/>
        <v>0</v>
      </c>
      <c r="AD162" s="14">
        <f t="shared" si="836"/>
        <v>0</v>
      </c>
      <c r="AE162" s="14">
        <f t="shared" si="836"/>
        <v>0</v>
      </c>
      <c r="AF162" s="14">
        <f t="shared" ref="AF162:AG162" si="837">+IFERROR(AF289*(AF$216*1000),"n/a")</f>
        <v>0</v>
      </c>
      <c r="AG162" s="14">
        <f t="shared" si="837"/>
        <v>0</v>
      </c>
      <c r="AH162" s="14">
        <f t="shared" ref="AH162:AI162" si="838">+IFERROR(AH289*(AH$216*1000),"n/a")</f>
        <v>0</v>
      </c>
      <c r="AI162" s="14">
        <f t="shared" si="838"/>
        <v>0</v>
      </c>
      <c r="AJ162" s="14">
        <f t="shared" ref="AJ162:AM162" si="839">+IFERROR(AJ289*(AJ$216*1000),"n/a")</f>
        <v>0</v>
      </c>
      <c r="AK162" s="14">
        <f t="shared" si="839"/>
        <v>0</v>
      </c>
      <c r="AL162" s="14">
        <f t="shared" si="839"/>
        <v>0</v>
      </c>
      <c r="AM162" s="14">
        <f t="shared" si="839"/>
        <v>0</v>
      </c>
      <c r="AO162" s="14">
        <f>+IFERROR(AO289*(AO$216*1000),"n/a")</f>
        <v>0</v>
      </c>
      <c r="AP162" s="14">
        <f>+IFERROR(AP289*(AP$216*1000),"n/a")</f>
        <v>0</v>
      </c>
      <c r="AQ162" s="14">
        <f>+SUM(H162:K162)</f>
        <v>0</v>
      </c>
      <c r="AR162" s="14">
        <f>+SUM(L162:O162)</f>
        <v>0</v>
      </c>
      <c r="AS162" s="14">
        <f>+SUM(P162:S162)</f>
        <v>0</v>
      </c>
      <c r="AT162" s="14">
        <f>+SUM(T162:W162)</f>
        <v>0</v>
      </c>
      <c r="AU162" s="14">
        <f>+SUM(X162:AA162)</f>
        <v>0</v>
      </c>
      <c r="AV162" s="14">
        <f>+SUM(AB162:AE162)</f>
        <v>0</v>
      </c>
      <c r="AW162" s="10">
        <f>+SUM(AF162:AI162)</f>
        <v>0</v>
      </c>
      <c r="AX162" s="14">
        <f>+SUM(AJ162:AM162)</f>
        <v>0</v>
      </c>
    </row>
    <row r="163" spans="2:50" ht="12" x14ac:dyDescent="0.35">
      <c r="B163" s="184" t="s">
        <v>227</v>
      </c>
      <c r="H163" s="15">
        <f t="shared" ref="H163:AE163" si="840">+IFERROR(H290*(H$216*1000),"n/a")</f>
        <v>0</v>
      </c>
      <c r="I163" s="15">
        <f t="shared" si="840"/>
        <v>0</v>
      </c>
      <c r="J163" s="15">
        <f t="shared" si="840"/>
        <v>0</v>
      </c>
      <c r="K163" s="15">
        <f t="shared" si="840"/>
        <v>0</v>
      </c>
      <c r="L163" s="15">
        <f t="shared" si="840"/>
        <v>0</v>
      </c>
      <c r="M163" s="15">
        <f t="shared" si="840"/>
        <v>0</v>
      </c>
      <c r="N163" s="15">
        <f t="shared" si="840"/>
        <v>0</v>
      </c>
      <c r="O163" s="15">
        <f t="shared" si="840"/>
        <v>0</v>
      </c>
      <c r="P163" s="15">
        <f t="shared" si="840"/>
        <v>0</v>
      </c>
      <c r="Q163" s="15">
        <f t="shared" si="840"/>
        <v>0</v>
      </c>
      <c r="R163" s="15">
        <f t="shared" si="840"/>
        <v>0</v>
      </c>
      <c r="S163" s="15">
        <f t="shared" si="840"/>
        <v>574.94117647058818</v>
      </c>
      <c r="T163" s="15">
        <f t="shared" si="840"/>
        <v>1578.5665992781244</v>
      </c>
      <c r="U163" s="15">
        <f t="shared" si="840"/>
        <v>2126.4871079135564</v>
      </c>
      <c r="V163" s="15">
        <f t="shared" si="840"/>
        <v>3027.6694506243834</v>
      </c>
      <c r="W163" s="15">
        <f t="shared" si="840"/>
        <v>3519.1812643357771</v>
      </c>
      <c r="X163" s="15">
        <f t="shared" si="840"/>
        <v>3611.2929365252403</v>
      </c>
      <c r="Y163" s="15">
        <f t="shared" si="840"/>
        <v>3976.5272293519715</v>
      </c>
      <c r="Z163" s="15">
        <f t="shared" si="840"/>
        <v>4437.0809335587037</v>
      </c>
      <c r="AA163" s="15">
        <f t="shared" si="840"/>
        <v>4811.0627662550633</v>
      </c>
      <c r="AB163" s="15">
        <f t="shared" si="840"/>
        <v>5418.6757051778295</v>
      </c>
      <c r="AC163" s="15">
        <f t="shared" si="840"/>
        <v>5744.3168131018429</v>
      </c>
      <c r="AD163" s="15">
        <f t="shared" si="840"/>
        <v>6311.441280872139</v>
      </c>
      <c r="AE163" s="15">
        <f t="shared" si="840"/>
        <v>6409.6165192835188</v>
      </c>
      <c r="AF163" s="15">
        <f t="shared" ref="AF163:AG163" si="841">+IFERROR(AF290*(AF$216*1000),"n/a")</f>
        <v>5960.0812789969023</v>
      </c>
      <c r="AG163" s="15">
        <f t="shared" si="841"/>
        <v>6352.9411764705892</v>
      </c>
      <c r="AH163" s="15">
        <f t="shared" ref="AH163:AI163" si="842">+IFERROR(AH290*(AH$216*1000),"n/a")</f>
        <v>7100.3714409811582</v>
      </c>
      <c r="AI163" s="15">
        <f t="shared" si="842"/>
        <v>7050.5781712118705</v>
      </c>
      <c r="AJ163" s="15">
        <f t="shared" ref="AJ163:AM163" si="843">+IFERROR(AJ290*(AJ$216*1000),"n/a")</f>
        <v>6556.0894068965936</v>
      </c>
      <c r="AK163" s="15">
        <f t="shared" si="843"/>
        <v>6988.2352941176487</v>
      </c>
      <c r="AL163" s="15">
        <f t="shared" si="843"/>
        <v>7810.4085850792744</v>
      </c>
      <c r="AM163" s="15">
        <f t="shared" si="843"/>
        <v>7755.6359883330588</v>
      </c>
      <c r="AO163" s="15">
        <f>+IFERROR(AO290*(AO$216*1000),"n/a")</f>
        <v>0</v>
      </c>
      <c r="AP163" s="15">
        <f>+IFERROR(AP290*(AP$216*1000),"n/a")</f>
        <v>0</v>
      </c>
      <c r="AQ163" s="15">
        <f>+SUM(H163:K163)</f>
        <v>0</v>
      </c>
      <c r="AR163" s="15">
        <f>+SUM(L163:O163)</f>
        <v>0</v>
      </c>
      <c r="AS163" s="15">
        <f>+SUM(P163:S163)</f>
        <v>574.94117647058818</v>
      </c>
      <c r="AT163" s="15">
        <f>+SUM(T163:W163)</f>
        <v>10251.904422151842</v>
      </c>
      <c r="AU163" s="15">
        <f>+SUM(X163:AA163)</f>
        <v>16835.963865690981</v>
      </c>
      <c r="AV163" s="15">
        <f>+SUM(AB163:AE163)</f>
        <v>23884.050318435329</v>
      </c>
      <c r="AW163" s="25">
        <f>+SUM(AF163:AI163)</f>
        <v>26463.972067660521</v>
      </c>
      <c r="AX163" s="36">
        <f t="shared" ref="AX163:AX164" si="844">+SUM(AJ163:AM163)</f>
        <v>29110.369274426575</v>
      </c>
    </row>
    <row r="164" spans="2:50" s="1" customFormat="1" ht="10.15" x14ac:dyDescent="0.2">
      <c r="B164" s="38" t="s">
        <v>391</v>
      </c>
      <c r="H164" s="48">
        <f>+IFERROR(H162+H163,"n/a")</f>
        <v>0</v>
      </c>
      <c r="I164" s="48">
        <f t="shared" ref="I164:AE164" si="845">+IFERROR(I162+I163,"n/a")</f>
        <v>0</v>
      </c>
      <c r="J164" s="48">
        <f t="shared" si="845"/>
        <v>0</v>
      </c>
      <c r="K164" s="48">
        <f t="shared" si="845"/>
        <v>0</v>
      </c>
      <c r="L164" s="48">
        <f t="shared" si="845"/>
        <v>0</v>
      </c>
      <c r="M164" s="48">
        <f t="shared" si="845"/>
        <v>0</v>
      </c>
      <c r="N164" s="48">
        <f t="shared" si="845"/>
        <v>0</v>
      </c>
      <c r="O164" s="48">
        <f t="shared" si="845"/>
        <v>0</v>
      </c>
      <c r="P164" s="48">
        <f t="shared" si="845"/>
        <v>0</v>
      </c>
      <c r="Q164" s="48">
        <f t="shared" si="845"/>
        <v>0</v>
      </c>
      <c r="R164" s="48">
        <f t="shared" si="845"/>
        <v>0</v>
      </c>
      <c r="S164" s="48">
        <f t="shared" si="845"/>
        <v>574.94117647058818</v>
      </c>
      <c r="T164" s="48">
        <f t="shared" si="845"/>
        <v>1578.5665992781244</v>
      </c>
      <c r="U164" s="48">
        <f t="shared" si="845"/>
        <v>2126.4871079135564</v>
      </c>
      <c r="V164" s="48">
        <f t="shared" si="845"/>
        <v>3027.6694506243834</v>
      </c>
      <c r="W164" s="48">
        <f t="shared" si="845"/>
        <v>3519.1812643357771</v>
      </c>
      <c r="X164" s="48">
        <f t="shared" si="845"/>
        <v>3611.2929365252403</v>
      </c>
      <c r="Y164" s="48">
        <f t="shared" si="845"/>
        <v>3976.5272293519715</v>
      </c>
      <c r="Z164" s="48">
        <f t="shared" si="845"/>
        <v>4437.0809335587037</v>
      </c>
      <c r="AA164" s="48">
        <f t="shared" si="845"/>
        <v>4811.0627662550633</v>
      </c>
      <c r="AB164" s="48">
        <f t="shared" si="845"/>
        <v>5418.6757051778295</v>
      </c>
      <c r="AC164" s="48">
        <f t="shared" si="845"/>
        <v>5744.3168131018429</v>
      </c>
      <c r="AD164" s="48">
        <f t="shared" si="845"/>
        <v>6311.441280872139</v>
      </c>
      <c r="AE164" s="48">
        <f t="shared" si="845"/>
        <v>6409.6165192835188</v>
      </c>
      <c r="AF164" s="48">
        <f t="shared" ref="AF164:AG164" si="846">+IFERROR(AF162+AF163,"n/a")</f>
        <v>5960.0812789969023</v>
      </c>
      <c r="AG164" s="48">
        <f t="shared" si="846"/>
        <v>6352.9411764705892</v>
      </c>
      <c r="AH164" s="48">
        <f t="shared" ref="AH164" si="847">+IFERROR(AH162+AH163,"n/a")</f>
        <v>7100.3714409811582</v>
      </c>
      <c r="AI164" s="48">
        <f t="shared" ref="AI164:AJ164" si="848">+IFERROR(AI162+AI163,"n/a")</f>
        <v>7050.5781712118705</v>
      </c>
      <c r="AJ164" s="48">
        <f t="shared" si="848"/>
        <v>6556.0894068965936</v>
      </c>
      <c r="AK164" s="48">
        <f t="shared" ref="AK164:AM164" si="849">+IFERROR(AK162+AK163,"n/a")</f>
        <v>6988.2352941176487</v>
      </c>
      <c r="AL164" s="48">
        <f t="shared" si="849"/>
        <v>7810.4085850792744</v>
      </c>
      <c r="AM164" s="48">
        <f t="shared" si="849"/>
        <v>7755.6359883330588</v>
      </c>
      <c r="AO164" s="48">
        <f>+IFERROR(AO162+AO163,"n/a")</f>
        <v>0</v>
      </c>
      <c r="AP164" s="48">
        <f>+IFERROR(AP162+AP163,"n/a")</f>
        <v>0</v>
      </c>
      <c r="AQ164" s="48">
        <f>+SUM(H164:K164)</f>
        <v>0</v>
      </c>
      <c r="AR164" s="48">
        <f>+SUM(L164:O164)</f>
        <v>0</v>
      </c>
      <c r="AS164" s="48">
        <f>+SUM(P164:S164)</f>
        <v>574.94117647058818</v>
      </c>
      <c r="AT164" s="48">
        <f>+SUM(T164:W164)</f>
        <v>10251.904422151842</v>
      </c>
      <c r="AU164" s="48">
        <f>+SUM(X164:AA164)</f>
        <v>16835.963865690981</v>
      </c>
      <c r="AV164" s="48">
        <f>+SUM(AB164:AE164)</f>
        <v>23884.050318435329</v>
      </c>
      <c r="AW164" s="42">
        <f>+SUM(AF164:AI164)</f>
        <v>26463.972067660521</v>
      </c>
      <c r="AX164" s="42">
        <f t="shared" si="844"/>
        <v>29110.369274426575</v>
      </c>
    </row>
    <row r="165" spans="2:50" s="1" customFormat="1" ht="10.15" x14ac:dyDescent="0.2">
      <c r="B165" s="3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row>
    <row r="166" spans="2:50" s="1" customFormat="1" ht="10.15" x14ac:dyDescent="0.2">
      <c r="B166" s="19" t="s">
        <v>86</v>
      </c>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row>
    <row r="167" spans="2:50" s="1" customFormat="1" ht="10.15" x14ac:dyDescent="0.2">
      <c r="B167" s="20" t="s">
        <v>226</v>
      </c>
      <c r="H167" s="48"/>
      <c r="I167" s="48"/>
      <c r="J167" s="48"/>
      <c r="K167" s="48"/>
      <c r="L167" s="173" t="str">
        <f>+IFERROR(L162/H162-1,"n/a")</f>
        <v>n/a</v>
      </c>
      <c r="M167" s="173" t="str">
        <f t="shared" ref="M167:AG169" si="850">+IFERROR(M162/I162-1,"n/a")</f>
        <v>n/a</v>
      </c>
      <c r="N167" s="173" t="str">
        <f t="shared" si="850"/>
        <v>n/a</v>
      </c>
      <c r="O167" s="173" t="str">
        <f t="shared" si="850"/>
        <v>n/a</v>
      </c>
      <c r="P167" s="173" t="str">
        <f t="shared" si="850"/>
        <v>n/a</v>
      </c>
      <c r="Q167" s="173" t="str">
        <f t="shared" si="850"/>
        <v>n/a</v>
      </c>
      <c r="R167" s="173" t="str">
        <f t="shared" si="850"/>
        <v>n/a</v>
      </c>
      <c r="S167" s="173" t="str">
        <f t="shared" si="850"/>
        <v>n/a</v>
      </c>
      <c r="T167" s="173" t="str">
        <f t="shared" si="850"/>
        <v>n/a</v>
      </c>
      <c r="U167" s="173" t="str">
        <f t="shared" si="850"/>
        <v>n/a</v>
      </c>
      <c r="V167" s="173" t="str">
        <f t="shared" si="850"/>
        <v>n/a</v>
      </c>
      <c r="W167" s="173" t="str">
        <f t="shared" si="850"/>
        <v>n/a</v>
      </c>
      <c r="X167" s="173" t="str">
        <f t="shared" si="850"/>
        <v>n/a</v>
      </c>
      <c r="Y167" s="173" t="str">
        <f t="shared" si="850"/>
        <v>n/a</v>
      </c>
      <c r="Z167" s="173" t="str">
        <f t="shared" si="850"/>
        <v>n/a</v>
      </c>
      <c r="AA167" s="173" t="str">
        <f t="shared" si="850"/>
        <v>n/a</v>
      </c>
      <c r="AB167" s="173" t="str">
        <f t="shared" si="850"/>
        <v>n/a</v>
      </c>
      <c r="AC167" s="173" t="str">
        <f t="shared" si="850"/>
        <v>n/a</v>
      </c>
      <c r="AD167" s="173" t="str">
        <f t="shared" si="850"/>
        <v>n/a</v>
      </c>
      <c r="AE167" s="173" t="str">
        <f t="shared" si="850"/>
        <v>n/a</v>
      </c>
      <c r="AF167" s="173" t="str">
        <f t="shared" si="850"/>
        <v>n/a</v>
      </c>
      <c r="AG167" s="173" t="str">
        <f t="shared" si="850"/>
        <v>n/a</v>
      </c>
      <c r="AH167" s="173" t="str">
        <f t="shared" ref="AH167:AH169" si="851">+IFERROR(AH162/AD162-1,"n/a")</f>
        <v>n/a</v>
      </c>
      <c r="AI167" s="173" t="str">
        <f t="shared" ref="AI167:AJ169" si="852">+IFERROR(AI162/AE162-1,"n/a")</f>
        <v>n/a</v>
      </c>
      <c r="AJ167" s="173" t="str">
        <f t="shared" si="852"/>
        <v>n/a</v>
      </c>
      <c r="AK167" s="173" t="str">
        <f t="shared" ref="AK167:AK169" si="853">+IFERROR(AK162/AG162-1,"n/a")</f>
        <v>n/a</v>
      </c>
      <c r="AL167" s="173" t="str">
        <f t="shared" ref="AL167:AL169" si="854">+IFERROR(AL162/AH162-1,"n/a")</f>
        <v>n/a</v>
      </c>
      <c r="AM167" s="173" t="str">
        <f t="shared" ref="AM167:AM169" si="855">+IFERROR(AM162/AI162-1,"n/a")</f>
        <v>n/a</v>
      </c>
      <c r="AP167" s="173" t="str">
        <f>+IFERROR(AP162/AO162-1,"n/a")</f>
        <v>n/a</v>
      </c>
      <c r="AQ167" s="173" t="str">
        <f t="shared" ref="AQ167:AV167" si="856">+IFERROR(AQ162/AP162-1,"n/a")</f>
        <v>n/a</v>
      </c>
      <c r="AR167" s="173" t="str">
        <f t="shared" si="856"/>
        <v>n/a</v>
      </c>
      <c r="AS167" s="173" t="str">
        <f t="shared" si="856"/>
        <v>n/a</v>
      </c>
      <c r="AT167" s="173" t="str">
        <f t="shared" si="856"/>
        <v>n/a</v>
      </c>
      <c r="AU167" s="173" t="str">
        <f t="shared" si="856"/>
        <v>n/a</v>
      </c>
      <c r="AV167" s="173" t="str">
        <f t="shared" si="856"/>
        <v>n/a</v>
      </c>
      <c r="AW167" s="173" t="str">
        <f t="shared" ref="AW167:AX167" si="857">+IFERROR(AW162/AV162-1,"n/a")</f>
        <v>n/a</v>
      </c>
      <c r="AX167" s="173" t="str">
        <f t="shared" si="857"/>
        <v>n/a</v>
      </c>
    </row>
    <row r="168" spans="2:50" s="1" customFormat="1" ht="12" x14ac:dyDescent="0.35">
      <c r="B168" s="20" t="s">
        <v>227</v>
      </c>
      <c r="H168" s="48"/>
      <c r="I168" s="48"/>
      <c r="J168" s="48"/>
      <c r="K168" s="48"/>
      <c r="L168" s="180" t="str">
        <f t="shared" ref="L168:L169" si="858">+IFERROR(L163/H163-1,"n/a")</f>
        <v>n/a</v>
      </c>
      <c r="M168" s="180" t="str">
        <f t="shared" si="850"/>
        <v>n/a</v>
      </c>
      <c r="N168" s="180" t="str">
        <f t="shared" si="850"/>
        <v>n/a</v>
      </c>
      <c r="O168" s="180" t="str">
        <f t="shared" si="850"/>
        <v>n/a</v>
      </c>
      <c r="P168" s="180" t="str">
        <f t="shared" si="850"/>
        <v>n/a</v>
      </c>
      <c r="Q168" s="180" t="str">
        <f t="shared" si="850"/>
        <v>n/a</v>
      </c>
      <c r="R168" s="180" t="str">
        <f t="shared" si="850"/>
        <v>n/a</v>
      </c>
      <c r="S168" s="180" t="str">
        <f t="shared" si="850"/>
        <v>n/a</v>
      </c>
      <c r="T168" s="180" t="str">
        <f t="shared" si="850"/>
        <v>n/a</v>
      </c>
      <c r="U168" s="180" t="str">
        <f t="shared" si="850"/>
        <v>n/a</v>
      </c>
      <c r="V168" s="180" t="str">
        <f t="shared" si="850"/>
        <v>n/a</v>
      </c>
      <c r="W168" s="180">
        <f t="shared" si="850"/>
        <v>5.1209414255891366</v>
      </c>
      <c r="X168" s="180">
        <f t="shared" si="850"/>
        <v>1.2877038815952888</v>
      </c>
      <c r="Y168" s="180">
        <f t="shared" si="850"/>
        <v>0.86999827770111304</v>
      </c>
      <c r="Z168" s="180">
        <f t="shared" si="850"/>
        <v>0.4655103557106155</v>
      </c>
      <c r="AA168" s="180">
        <f t="shared" si="850"/>
        <v>0.36709717541733977</v>
      </c>
      <c r="AB168" s="180">
        <f t="shared" si="850"/>
        <v>0.50048079743750717</v>
      </c>
      <c r="AC168" s="180">
        <f t="shared" si="850"/>
        <v>0.44455613699845231</v>
      </c>
      <c r="AD168" s="180">
        <f t="shared" si="850"/>
        <v>0.42243095751019544</v>
      </c>
      <c r="AE168" s="180">
        <f t="shared" si="850"/>
        <v>0.33226624359190637</v>
      </c>
      <c r="AF168" s="180">
        <f t="shared" si="850"/>
        <v>9.9914739924688911E-2</v>
      </c>
      <c r="AG168" s="180">
        <f t="shared" si="850"/>
        <v>0.10595243667281262</v>
      </c>
      <c r="AH168" s="180">
        <f t="shared" si="851"/>
        <v>0.12500000000000022</v>
      </c>
      <c r="AI168" s="180">
        <f t="shared" si="852"/>
        <v>0.10000000000000009</v>
      </c>
      <c r="AJ168" s="180">
        <f t="shared" si="852"/>
        <v>0.10000000000000009</v>
      </c>
      <c r="AK168" s="180">
        <f t="shared" si="853"/>
        <v>0.10000000000000009</v>
      </c>
      <c r="AL168" s="180">
        <f t="shared" si="854"/>
        <v>0.10000000000000009</v>
      </c>
      <c r="AM168" s="180">
        <f t="shared" si="855"/>
        <v>0.10000000000000009</v>
      </c>
      <c r="AP168" s="180" t="str">
        <f t="shared" ref="AP168:AV169" si="859">+IFERROR(AP163/AO163-1,"n/a")</f>
        <v>n/a</v>
      </c>
      <c r="AQ168" s="180" t="str">
        <f t="shared" si="859"/>
        <v>n/a</v>
      </c>
      <c r="AR168" s="180" t="str">
        <f t="shared" si="859"/>
        <v>n/a</v>
      </c>
      <c r="AS168" s="180" t="str">
        <f t="shared" si="859"/>
        <v>n/a</v>
      </c>
      <c r="AT168" s="180">
        <f t="shared" si="859"/>
        <v>16.831223161098968</v>
      </c>
      <c r="AU168" s="180">
        <f t="shared" si="859"/>
        <v>0.64222793857818328</v>
      </c>
      <c r="AV168" s="180">
        <f t="shared" si="859"/>
        <v>0.41863278568251316</v>
      </c>
      <c r="AW168" s="180">
        <f t="shared" ref="AW168:AX168" si="860">+IFERROR(AW163/AV163-1,"n/a")</f>
        <v>0.10801860299355637</v>
      </c>
      <c r="AX168" s="180">
        <f t="shared" si="860"/>
        <v>0.10000000000000009</v>
      </c>
    </row>
    <row r="169" spans="2:50" s="1" customFormat="1" ht="10.15" x14ac:dyDescent="0.2">
      <c r="B169" s="30" t="s">
        <v>378</v>
      </c>
      <c r="H169" s="48"/>
      <c r="I169" s="48"/>
      <c r="J169" s="48"/>
      <c r="K169" s="48"/>
      <c r="L169" s="173" t="str">
        <f t="shared" si="858"/>
        <v>n/a</v>
      </c>
      <c r="M169" s="173" t="str">
        <f t="shared" si="850"/>
        <v>n/a</v>
      </c>
      <c r="N169" s="173" t="str">
        <f t="shared" si="850"/>
        <v>n/a</v>
      </c>
      <c r="O169" s="173" t="str">
        <f t="shared" si="850"/>
        <v>n/a</v>
      </c>
      <c r="P169" s="173" t="str">
        <f t="shared" si="850"/>
        <v>n/a</v>
      </c>
      <c r="Q169" s="173" t="str">
        <f t="shared" si="850"/>
        <v>n/a</v>
      </c>
      <c r="R169" s="173" t="str">
        <f t="shared" si="850"/>
        <v>n/a</v>
      </c>
      <c r="S169" s="173" t="str">
        <f t="shared" si="850"/>
        <v>n/a</v>
      </c>
      <c r="T169" s="173" t="str">
        <f t="shared" si="850"/>
        <v>n/a</v>
      </c>
      <c r="U169" s="173" t="str">
        <f t="shared" si="850"/>
        <v>n/a</v>
      </c>
      <c r="V169" s="173" t="str">
        <f t="shared" si="850"/>
        <v>n/a</v>
      </c>
      <c r="W169" s="173">
        <f t="shared" si="850"/>
        <v>5.1209414255891366</v>
      </c>
      <c r="X169" s="173">
        <f t="shared" si="850"/>
        <v>1.2877038815952888</v>
      </c>
      <c r="Y169" s="173">
        <f t="shared" si="850"/>
        <v>0.86999827770111304</v>
      </c>
      <c r="Z169" s="173">
        <f t="shared" si="850"/>
        <v>0.4655103557106155</v>
      </c>
      <c r="AA169" s="173">
        <f t="shared" si="850"/>
        <v>0.36709717541733977</v>
      </c>
      <c r="AB169" s="173">
        <f t="shared" si="850"/>
        <v>0.50048079743750717</v>
      </c>
      <c r="AC169" s="173">
        <f t="shared" si="850"/>
        <v>0.44455613699845231</v>
      </c>
      <c r="AD169" s="173">
        <f t="shared" si="850"/>
        <v>0.42243095751019544</v>
      </c>
      <c r="AE169" s="173">
        <f t="shared" si="850"/>
        <v>0.33226624359190637</v>
      </c>
      <c r="AF169" s="173">
        <f t="shared" si="850"/>
        <v>9.9914739924688911E-2</v>
      </c>
      <c r="AG169" s="173">
        <f t="shared" si="850"/>
        <v>0.10595243667281262</v>
      </c>
      <c r="AH169" s="173">
        <f t="shared" si="851"/>
        <v>0.12500000000000022</v>
      </c>
      <c r="AI169" s="173">
        <f t="shared" si="852"/>
        <v>0.10000000000000009</v>
      </c>
      <c r="AJ169" s="173">
        <f t="shared" si="852"/>
        <v>0.10000000000000009</v>
      </c>
      <c r="AK169" s="173">
        <f t="shared" si="853"/>
        <v>0.10000000000000009</v>
      </c>
      <c r="AL169" s="173">
        <f t="shared" si="854"/>
        <v>0.10000000000000009</v>
      </c>
      <c r="AM169" s="173">
        <f t="shared" si="855"/>
        <v>0.10000000000000009</v>
      </c>
      <c r="AP169" s="173" t="str">
        <f t="shared" si="859"/>
        <v>n/a</v>
      </c>
      <c r="AQ169" s="173" t="str">
        <f t="shared" si="859"/>
        <v>n/a</v>
      </c>
      <c r="AR169" s="173" t="str">
        <f t="shared" si="859"/>
        <v>n/a</v>
      </c>
      <c r="AS169" s="173" t="str">
        <f t="shared" si="859"/>
        <v>n/a</v>
      </c>
      <c r="AT169" s="173">
        <f t="shared" si="859"/>
        <v>16.831223161098968</v>
      </c>
      <c r="AU169" s="173">
        <f t="shared" si="859"/>
        <v>0.64222793857818328</v>
      </c>
      <c r="AV169" s="173">
        <f t="shared" si="859"/>
        <v>0.41863278568251316</v>
      </c>
      <c r="AW169" s="173">
        <f t="shared" ref="AW169:AX169" si="861">+IFERROR(AW164/AV164-1,"n/a")</f>
        <v>0.10801860299355637</v>
      </c>
      <c r="AX169" s="173">
        <f t="shared" si="861"/>
        <v>0.10000000000000009</v>
      </c>
    </row>
    <row r="170" spans="2:50" s="1" customFormat="1" ht="10.15" x14ac:dyDescent="0.2">
      <c r="B170" s="30"/>
      <c r="H170" s="48"/>
      <c r="I170" s="48"/>
      <c r="J170" s="48"/>
      <c r="K170" s="48"/>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P170" s="173"/>
      <c r="AQ170" s="173"/>
      <c r="AR170" s="173"/>
      <c r="AS170" s="173"/>
      <c r="AT170" s="173"/>
      <c r="AU170" s="173"/>
      <c r="AV170" s="173"/>
      <c r="AW170" s="173"/>
      <c r="AX170" s="173"/>
    </row>
    <row r="171" spans="2:50" s="1" customFormat="1" ht="10.15" x14ac:dyDescent="0.2">
      <c r="B171" s="19" t="s">
        <v>262</v>
      </c>
      <c r="H171" s="48"/>
      <c r="I171" s="48"/>
      <c r="J171" s="48"/>
      <c r="K171" s="48"/>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P171" s="173"/>
      <c r="AQ171" s="173"/>
      <c r="AR171" s="173"/>
      <c r="AS171" s="173"/>
      <c r="AT171" s="173"/>
      <c r="AU171" s="173"/>
      <c r="AV171" s="173"/>
      <c r="AW171" s="173"/>
      <c r="AX171" s="173"/>
    </row>
    <row r="172" spans="2:50" s="1" customFormat="1" ht="10.15" x14ac:dyDescent="0.2">
      <c r="B172" s="20" t="s">
        <v>226</v>
      </c>
      <c r="H172" s="48"/>
      <c r="I172" s="173" t="str">
        <f>+IFERROR(I162/H162-1,"n/a")</f>
        <v>n/a</v>
      </c>
      <c r="J172" s="173" t="str">
        <f t="shared" ref="J172:AG172" si="862">+IFERROR(J162/I162-1,"n/a")</f>
        <v>n/a</v>
      </c>
      <c r="K172" s="173" t="str">
        <f t="shared" si="862"/>
        <v>n/a</v>
      </c>
      <c r="L172" s="173" t="str">
        <f t="shared" si="862"/>
        <v>n/a</v>
      </c>
      <c r="M172" s="173" t="str">
        <f t="shared" si="862"/>
        <v>n/a</v>
      </c>
      <c r="N172" s="173" t="str">
        <f t="shared" si="862"/>
        <v>n/a</v>
      </c>
      <c r="O172" s="173" t="str">
        <f t="shared" si="862"/>
        <v>n/a</v>
      </c>
      <c r="P172" s="173" t="str">
        <f t="shared" si="862"/>
        <v>n/a</v>
      </c>
      <c r="Q172" s="173" t="str">
        <f t="shared" si="862"/>
        <v>n/a</v>
      </c>
      <c r="R172" s="173" t="str">
        <f t="shared" si="862"/>
        <v>n/a</v>
      </c>
      <c r="S172" s="173" t="str">
        <f t="shared" si="862"/>
        <v>n/a</v>
      </c>
      <c r="T172" s="173" t="str">
        <f t="shared" si="862"/>
        <v>n/a</v>
      </c>
      <c r="U172" s="173" t="str">
        <f t="shared" si="862"/>
        <v>n/a</v>
      </c>
      <c r="V172" s="173" t="str">
        <f t="shared" si="862"/>
        <v>n/a</v>
      </c>
      <c r="W172" s="173" t="str">
        <f t="shared" si="862"/>
        <v>n/a</v>
      </c>
      <c r="X172" s="173" t="str">
        <f t="shared" si="862"/>
        <v>n/a</v>
      </c>
      <c r="Y172" s="173" t="str">
        <f t="shared" si="862"/>
        <v>n/a</v>
      </c>
      <c r="Z172" s="173" t="str">
        <f t="shared" si="862"/>
        <v>n/a</v>
      </c>
      <c r="AA172" s="173" t="str">
        <f t="shared" si="862"/>
        <v>n/a</v>
      </c>
      <c r="AB172" s="173" t="str">
        <f t="shared" si="862"/>
        <v>n/a</v>
      </c>
      <c r="AC172" s="173" t="str">
        <f t="shared" si="862"/>
        <v>n/a</v>
      </c>
      <c r="AD172" s="173" t="str">
        <f t="shared" si="862"/>
        <v>n/a</v>
      </c>
      <c r="AE172" s="173" t="str">
        <f t="shared" si="862"/>
        <v>n/a</v>
      </c>
      <c r="AF172" s="173" t="str">
        <f t="shared" si="862"/>
        <v>n/a</v>
      </c>
      <c r="AG172" s="173" t="str">
        <f t="shared" si="862"/>
        <v>n/a</v>
      </c>
      <c r="AH172" s="173" t="str">
        <f t="shared" ref="AH172:AJ172" si="863">+IFERROR(AH162/AG162-1,"n/a")</f>
        <v>n/a</v>
      </c>
      <c r="AI172" s="173" t="str">
        <f t="shared" si="863"/>
        <v>n/a</v>
      </c>
      <c r="AJ172" s="173" t="str">
        <f t="shared" si="863"/>
        <v>n/a</v>
      </c>
      <c r="AK172" s="173" t="str">
        <f t="shared" ref="AK172:AK174" si="864">+IFERROR(AK162/AJ162-1,"n/a")</f>
        <v>n/a</v>
      </c>
      <c r="AL172" s="173" t="str">
        <f t="shared" ref="AL172:AL174" si="865">+IFERROR(AL162/AK162-1,"n/a")</f>
        <v>n/a</v>
      </c>
      <c r="AM172" s="173" t="str">
        <f t="shared" ref="AM172:AM174" si="866">+IFERROR(AM162/AL162-1,"n/a")</f>
        <v>n/a</v>
      </c>
      <c r="AP172" s="173"/>
      <c r="AQ172" s="173"/>
      <c r="AR172" s="173"/>
      <c r="AS172" s="173"/>
      <c r="AT172" s="173"/>
      <c r="AU172" s="173"/>
      <c r="AV172" s="173"/>
      <c r="AW172" s="173"/>
      <c r="AX172" s="173"/>
    </row>
    <row r="173" spans="2:50" s="1" customFormat="1" ht="12" x14ac:dyDescent="0.35">
      <c r="B173" s="20" t="s">
        <v>227</v>
      </c>
      <c r="H173" s="48"/>
      <c r="I173" s="180" t="str">
        <f t="shared" ref="I173:AG173" si="867">+IFERROR(I163/H163-1,"n/a")</f>
        <v>n/a</v>
      </c>
      <c r="J173" s="180" t="str">
        <f t="shared" si="867"/>
        <v>n/a</v>
      </c>
      <c r="K173" s="180" t="str">
        <f t="shared" si="867"/>
        <v>n/a</v>
      </c>
      <c r="L173" s="180" t="str">
        <f t="shared" si="867"/>
        <v>n/a</v>
      </c>
      <c r="M173" s="180" t="str">
        <f t="shared" si="867"/>
        <v>n/a</v>
      </c>
      <c r="N173" s="180" t="str">
        <f t="shared" si="867"/>
        <v>n/a</v>
      </c>
      <c r="O173" s="180" t="str">
        <f t="shared" si="867"/>
        <v>n/a</v>
      </c>
      <c r="P173" s="180" t="str">
        <f t="shared" si="867"/>
        <v>n/a</v>
      </c>
      <c r="Q173" s="180" t="str">
        <f t="shared" si="867"/>
        <v>n/a</v>
      </c>
      <c r="R173" s="180" t="str">
        <f t="shared" si="867"/>
        <v>n/a</v>
      </c>
      <c r="S173" s="180" t="str">
        <f t="shared" si="867"/>
        <v>n/a</v>
      </c>
      <c r="T173" s="180">
        <f t="shared" si="867"/>
        <v>1.7456140973734517</v>
      </c>
      <c r="U173" s="180">
        <f t="shared" si="867"/>
        <v>0.34710002662288386</v>
      </c>
      <c r="V173" s="180">
        <f t="shared" si="867"/>
        <v>0.42378923406455038</v>
      </c>
      <c r="W173" s="180">
        <f t="shared" si="867"/>
        <v>0.16233998516913117</v>
      </c>
      <c r="X173" s="180">
        <f t="shared" si="867"/>
        <v>2.6174176682214334E-2</v>
      </c>
      <c r="Y173" s="180">
        <f t="shared" si="867"/>
        <v>0.10113671176677164</v>
      </c>
      <c r="Z173" s="180">
        <f t="shared" si="867"/>
        <v>0.11581806879310252</v>
      </c>
      <c r="AA173" s="180">
        <f t="shared" si="867"/>
        <v>8.4285555818431446E-2</v>
      </c>
      <c r="AB173" s="180">
        <f t="shared" si="867"/>
        <v>0.12629495154055803</v>
      </c>
      <c r="AC173" s="180">
        <f t="shared" si="867"/>
        <v>6.0096068789067036E-2</v>
      </c>
      <c r="AD173" s="180">
        <f t="shared" si="867"/>
        <v>9.8727922958005809E-2</v>
      </c>
      <c r="AE173" s="180">
        <f t="shared" si="867"/>
        <v>1.5555121887755874E-2</v>
      </c>
      <c r="AF173" s="180">
        <f t="shared" si="867"/>
        <v>-7.0134498520180832E-2</v>
      </c>
      <c r="AG173" s="180">
        <f t="shared" si="867"/>
        <v>6.591519126729195E-2</v>
      </c>
      <c r="AH173" s="180">
        <f t="shared" ref="AH173:AJ173" si="868">+IFERROR(AH163/AG163-1,"n/a")</f>
        <v>0.11765106015444138</v>
      </c>
      <c r="AI173" s="180">
        <f t="shared" si="868"/>
        <v>-7.0127697097501773E-3</v>
      </c>
      <c r="AJ173" s="180">
        <f t="shared" si="868"/>
        <v>-7.013449852018061E-2</v>
      </c>
      <c r="AK173" s="180">
        <f t="shared" si="864"/>
        <v>6.591519126729195E-2</v>
      </c>
      <c r="AL173" s="180">
        <f t="shared" si="865"/>
        <v>0.11765106015444138</v>
      </c>
      <c r="AM173" s="180">
        <f t="shared" si="866"/>
        <v>-7.0127697097500663E-3</v>
      </c>
      <c r="AP173" s="173"/>
      <c r="AQ173" s="173"/>
      <c r="AR173" s="173"/>
      <c r="AS173" s="173"/>
      <c r="AT173" s="173"/>
      <c r="AU173" s="173"/>
      <c r="AV173" s="173"/>
      <c r="AW173" s="173"/>
      <c r="AX173" s="173"/>
    </row>
    <row r="174" spans="2:50" s="1" customFormat="1" ht="10.15" x14ac:dyDescent="0.2">
      <c r="B174" s="30" t="s">
        <v>378</v>
      </c>
      <c r="H174" s="48"/>
      <c r="I174" s="173" t="str">
        <f t="shared" ref="I174:AG174" si="869">+IFERROR(I164/H164-1,"n/a")</f>
        <v>n/a</v>
      </c>
      <c r="J174" s="173" t="str">
        <f t="shared" si="869"/>
        <v>n/a</v>
      </c>
      <c r="K174" s="173" t="str">
        <f t="shared" si="869"/>
        <v>n/a</v>
      </c>
      <c r="L174" s="173" t="str">
        <f t="shared" si="869"/>
        <v>n/a</v>
      </c>
      <c r="M174" s="173" t="str">
        <f t="shared" si="869"/>
        <v>n/a</v>
      </c>
      <c r="N174" s="173" t="str">
        <f t="shared" si="869"/>
        <v>n/a</v>
      </c>
      <c r="O174" s="173" t="str">
        <f t="shared" si="869"/>
        <v>n/a</v>
      </c>
      <c r="P174" s="173" t="str">
        <f t="shared" si="869"/>
        <v>n/a</v>
      </c>
      <c r="Q174" s="173" t="str">
        <f t="shared" si="869"/>
        <v>n/a</v>
      </c>
      <c r="R174" s="173" t="str">
        <f t="shared" si="869"/>
        <v>n/a</v>
      </c>
      <c r="S174" s="173" t="str">
        <f t="shared" si="869"/>
        <v>n/a</v>
      </c>
      <c r="T174" s="173">
        <f t="shared" si="869"/>
        <v>1.7456140973734517</v>
      </c>
      <c r="U174" s="173">
        <f t="shared" si="869"/>
        <v>0.34710002662288386</v>
      </c>
      <c r="V174" s="173">
        <f t="shared" si="869"/>
        <v>0.42378923406455038</v>
      </c>
      <c r="W174" s="173">
        <f t="shared" si="869"/>
        <v>0.16233998516913117</v>
      </c>
      <c r="X174" s="173">
        <f t="shared" si="869"/>
        <v>2.6174176682214334E-2</v>
      </c>
      <c r="Y174" s="173">
        <f t="shared" si="869"/>
        <v>0.10113671176677164</v>
      </c>
      <c r="Z174" s="173">
        <f t="shared" si="869"/>
        <v>0.11581806879310252</v>
      </c>
      <c r="AA174" s="173">
        <f t="shared" si="869"/>
        <v>8.4285555818431446E-2</v>
      </c>
      <c r="AB174" s="173">
        <f t="shared" si="869"/>
        <v>0.12629495154055803</v>
      </c>
      <c r="AC174" s="173">
        <f t="shared" si="869"/>
        <v>6.0096068789067036E-2</v>
      </c>
      <c r="AD174" s="173">
        <f t="shared" si="869"/>
        <v>9.8727922958005809E-2</v>
      </c>
      <c r="AE174" s="173">
        <f t="shared" si="869"/>
        <v>1.5555121887755874E-2</v>
      </c>
      <c r="AF174" s="173">
        <f t="shared" si="869"/>
        <v>-7.0134498520180832E-2</v>
      </c>
      <c r="AG174" s="173">
        <f t="shared" si="869"/>
        <v>6.591519126729195E-2</v>
      </c>
      <c r="AH174" s="173">
        <f t="shared" ref="AH174:AJ174" si="870">+IFERROR(AH164/AG164-1,"n/a")</f>
        <v>0.11765106015444138</v>
      </c>
      <c r="AI174" s="173">
        <f t="shared" si="870"/>
        <v>-7.0127697097501773E-3</v>
      </c>
      <c r="AJ174" s="173">
        <f t="shared" si="870"/>
        <v>-7.013449852018061E-2</v>
      </c>
      <c r="AK174" s="173">
        <f t="shared" si="864"/>
        <v>6.591519126729195E-2</v>
      </c>
      <c r="AL174" s="173">
        <f t="shared" si="865"/>
        <v>0.11765106015444138</v>
      </c>
      <c r="AM174" s="173">
        <f t="shared" si="866"/>
        <v>-7.0127697097500663E-3</v>
      </c>
      <c r="AP174" s="173"/>
      <c r="AQ174" s="173"/>
      <c r="AR174" s="173"/>
      <c r="AS174" s="173"/>
      <c r="AT174" s="173"/>
      <c r="AU174" s="173"/>
      <c r="AV174" s="173"/>
      <c r="AW174" s="173"/>
      <c r="AX174" s="173"/>
    </row>
    <row r="176" spans="2:50" ht="10.15" x14ac:dyDescent="0.2">
      <c r="B176" s="24" t="s">
        <v>372</v>
      </c>
    </row>
    <row r="177" spans="2:50" ht="10.15" x14ac:dyDescent="0.2">
      <c r="B177" s="184" t="s">
        <v>226</v>
      </c>
      <c r="H177" s="14">
        <f t="shared" ref="H177:AE177" si="871">+IFERROR(H304*(H$218*1000),"n/a")</f>
        <v>0</v>
      </c>
      <c r="I177" s="14">
        <f t="shared" si="871"/>
        <v>0</v>
      </c>
      <c r="J177" s="14">
        <f t="shared" si="871"/>
        <v>0</v>
      </c>
      <c r="K177" s="14">
        <f t="shared" si="871"/>
        <v>0</v>
      </c>
      <c r="L177" s="14">
        <f t="shared" si="871"/>
        <v>0</v>
      </c>
      <c r="M177" s="14">
        <f t="shared" si="871"/>
        <v>0</v>
      </c>
      <c r="N177" s="14">
        <f t="shared" si="871"/>
        <v>0</v>
      </c>
      <c r="O177" s="14">
        <f t="shared" si="871"/>
        <v>0</v>
      </c>
      <c r="P177" s="14">
        <f t="shared" si="871"/>
        <v>0</v>
      </c>
      <c r="Q177" s="14">
        <f t="shared" si="871"/>
        <v>0</v>
      </c>
      <c r="R177" s="14">
        <f t="shared" si="871"/>
        <v>0</v>
      </c>
      <c r="S177" s="14">
        <f t="shared" si="871"/>
        <v>0</v>
      </c>
      <c r="T177" s="14">
        <f t="shared" si="871"/>
        <v>0</v>
      </c>
      <c r="U177" s="14">
        <f t="shared" si="871"/>
        <v>0</v>
      </c>
      <c r="V177" s="14">
        <f t="shared" si="871"/>
        <v>0</v>
      </c>
      <c r="W177" s="14">
        <f t="shared" si="871"/>
        <v>0</v>
      </c>
      <c r="X177" s="14">
        <f t="shared" si="871"/>
        <v>0</v>
      </c>
      <c r="Y177" s="14">
        <f t="shared" si="871"/>
        <v>0</v>
      </c>
      <c r="Z177" s="14">
        <f t="shared" si="871"/>
        <v>0</v>
      </c>
      <c r="AA177" s="14">
        <f t="shared" si="871"/>
        <v>0</v>
      </c>
      <c r="AB177" s="14">
        <f t="shared" si="871"/>
        <v>0</v>
      </c>
      <c r="AC177" s="14">
        <f t="shared" si="871"/>
        <v>0</v>
      </c>
      <c r="AD177" s="14">
        <f t="shared" si="871"/>
        <v>0</v>
      </c>
      <c r="AE177" s="14">
        <f t="shared" si="871"/>
        <v>0</v>
      </c>
      <c r="AF177" s="14">
        <f t="shared" ref="AF177:AG177" si="872">+IFERROR(AF304*(AF$218*1000),"n/a")</f>
        <v>0</v>
      </c>
      <c r="AG177" s="14">
        <f t="shared" si="872"/>
        <v>0</v>
      </c>
      <c r="AH177" s="14">
        <f t="shared" ref="AH177:AI177" si="873">+IFERROR(AH304*(AH$218*1000),"n/a")</f>
        <v>0</v>
      </c>
      <c r="AI177" s="14">
        <f t="shared" si="873"/>
        <v>0</v>
      </c>
      <c r="AJ177" s="14">
        <f t="shared" ref="AJ177:AM177" si="874">+IFERROR(AJ304*(AJ$218*1000),"n/a")</f>
        <v>0</v>
      </c>
      <c r="AK177" s="14">
        <f t="shared" si="874"/>
        <v>0</v>
      </c>
      <c r="AL177" s="14">
        <f t="shared" si="874"/>
        <v>0</v>
      </c>
      <c r="AM177" s="14">
        <f t="shared" si="874"/>
        <v>0</v>
      </c>
      <c r="AO177" s="14">
        <f>+IFERROR(AO304*(AO$218*1000),"n/a")</f>
        <v>0</v>
      </c>
      <c r="AP177" s="14">
        <f>+IFERROR(AP304*(AP$218*1000),"n/a")</f>
        <v>0</v>
      </c>
      <c r="AQ177" s="14">
        <f>+SUM(H177:K177)</f>
        <v>0</v>
      </c>
      <c r="AR177" s="14">
        <f>+SUM(L177:O177)</f>
        <v>0</v>
      </c>
      <c r="AS177" s="14">
        <f>+SUM(P177:S177)</f>
        <v>0</v>
      </c>
      <c r="AT177" s="14">
        <f>+SUM(T177:W177)</f>
        <v>0</v>
      </c>
      <c r="AU177" s="14">
        <f>+SUM(X177:AA177)</f>
        <v>0</v>
      </c>
      <c r="AV177" s="14">
        <f>+SUM(AB177:AE177)</f>
        <v>0</v>
      </c>
      <c r="AW177" s="10">
        <f>+SUM(AF177:AI177)</f>
        <v>0</v>
      </c>
      <c r="AX177" s="14">
        <f>+SUM(AJ177:AM177)</f>
        <v>0</v>
      </c>
    </row>
    <row r="178" spans="2:50" ht="12" x14ac:dyDescent="0.35">
      <c r="B178" s="184" t="s">
        <v>227</v>
      </c>
      <c r="H178" s="15">
        <f t="shared" ref="H178:AE178" si="875">+IFERROR(H305*(H$218*1000),"n/a")</f>
        <v>0</v>
      </c>
      <c r="I178" s="15">
        <f t="shared" si="875"/>
        <v>0</v>
      </c>
      <c r="J178" s="15">
        <f t="shared" si="875"/>
        <v>0</v>
      </c>
      <c r="K178" s="15">
        <f t="shared" si="875"/>
        <v>0</v>
      </c>
      <c r="L178" s="15">
        <f t="shared" si="875"/>
        <v>0</v>
      </c>
      <c r="M178" s="15">
        <f t="shared" si="875"/>
        <v>0</v>
      </c>
      <c r="N178" s="15">
        <f t="shared" si="875"/>
        <v>0</v>
      </c>
      <c r="O178" s="15">
        <f t="shared" si="875"/>
        <v>0</v>
      </c>
      <c r="P178" s="15">
        <f t="shared" si="875"/>
        <v>0</v>
      </c>
      <c r="Q178" s="15">
        <f t="shared" si="875"/>
        <v>0</v>
      </c>
      <c r="R178" s="15">
        <f t="shared" si="875"/>
        <v>0</v>
      </c>
      <c r="S178" s="15">
        <f t="shared" si="875"/>
        <v>0</v>
      </c>
      <c r="T178" s="15">
        <f t="shared" si="875"/>
        <v>0</v>
      </c>
      <c r="U178" s="15">
        <f t="shared" si="875"/>
        <v>0</v>
      </c>
      <c r="V178" s="15">
        <f t="shared" si="875"/>
        <v>0</v>
      </c>
      <c r="W178" s="15">
        <f t="shared" si="875"/>
        <v>0</v>
      </c>
      <c r="X178" s="15">
        <f t="shared" si="875"/>
        <v>0</v>
      </c>
      <c r="Y178" s="15">
        <f t="shared" si="875"/>
        <v>0</v>
      </c>
      <c r="Z178" s="15">
        <f t="shared" si="875"/>
        <v>0</v>
      </c>
      <c r="AA178" s="15">
        <f t="shared" si="875"/>
        <v>435.26006850191163</v>
      </c>
      <c r="AB178" s="15">
        <f t="shared" si="875"/>
        <v>1448.477665011083</v>
      </c>
      <c r="AC178" s="15">
        <f t="shared" si="875"/>
        <v>4478.5818695256112</v>
      </c>
      <c r="AD178" s="15">
        <f t="shared" si="875"/>
        <v>18973.75643803132</v>
      </c>
      <c r="AE178" s="15">
        <f t="shared" si="875"/>
        <v>26572.859746461942</v>
      </c>
      <c r="AF178" s="15">
        <f t="shared" ref="AF178:AG178" si="876">+IFERROR(AF305*(AF$218*1000),"n/a")</f>
        <v>32667.784142373654</v>
      </c>
      <c r="AG178" s="15">
        <f t="shared" si="876"/>
        <v>35584.972337282394</v>
      </c>
      <c r="AH178" s="15">
        <f t="shared" ref="AH178:AI178" si="877">+IFERROR(AH305*(AH$218*1000),"n/a")</f>
        <v>37720.070677519339</v>
      </c>
      <c r="AI178" s="15">
        <f t="shared" si="877"/>
        <v>41492.077745271279</v>
      </c>
      <c r="AJ178" s="15">
        <f t="shared" ref="AJ178:AM178" si="878">+IFERROR(AJ305*(AJ$218*1000),"n/a")</f>
        <v>38221.307446577186</v>
      </c>
      <c r="AK178" s="15">
        <f t="shared" si="878"/>
        <v>46260.464038467115</v>
      </c>
      <c r="AL178" s="15">
        <f t="shared" si="878"/>
        <v>49036.091880775137</v>
      </c>
      <c r="AM178" s="15">
        <f t="shared" si="878"/>
        <v>53939.701068852664</v>
      </c>
      <c r="AO178" s="15">
        <f>+IFERROR(AO305*(AO$218*1000),"n/a")</f>
        <v>0</v>
      </c>
      <c r="AP178" s="15">
        <f>+IFERROR(AP305*(AP$218*1000),"n/a")</f>
        <v>0</v>
      </c>
      <c r="AQ178" s="15">
        <f>+SUM(H178:K178)</f>
        <v>0</v>
      </c>
      <c r="AR178" s="15">
        <f>+SUM(L178:O178)</f>
        <v>0</v>
      </c>
      <c r="AS178" s="15">
        <f>+SUM(P178:S178)</f>
        <v>0</v>
      </c>
      <c r="AT178" s="15">
        <f>+SUM(T178:W178)</f>
        <v>0</v>
      </c>
      <c r="AU178" s="15">
        <f>+SUM(X178:AA178)</f>
        <v>435.26006850191163</v>
      </c>
      <c r="AV178" s="15">
        <f>+SUM(AB178:AE178)</f>
        <v>51473.675719029954</v>
      </c>
      <c r="AW178" s="25">
        <f>+SUM(AF178:AI178)</f>
        <v>147464.90490244667</v>
      </c>
      <c r="AX178" s="36">
        <f t="shared" ref="AX178:AX179" si="879">+SUM(AJ178:AM178)</f>
        <v>187457.56443467212</v>
      </c>
    </row>
    <row r="179" spans="2:50" s="1" customFormat="1" ht="10.15" x14ac:dyDescent="0.2">
      <c r="B179" s="38" t="s">
        <v>392</v>
      </c>
      <c r="H179" s="48">
        <f>+IFERROR(H177+H178,"n/a")</f>
        <v>0</v>
      </c>
      <c r="I179" s="48">
        <f t="shared" ref="I179" si="880">+IFERROR(I177+I178,"n/a")</f>
        <v>0</v>
      </c>
      <c r="J179" s="48">
        <f t="shared" ref="J179" si="881">+IFERROR(J177+J178,"n/a")</f>
        <v>0</v>
      </c>
      <c r="K179" s="48">
        <f t="shared" ref="K179" si="882">+IFERROR(K177+K178,"n/a")</f>
        <v>0</v>
      </c>
      <c r="L179" s="48">
        <f t="shared" ref="L179" si="883">+IFERROR(L177+L178,"n/a")</f>
        <v>0</v>
      </c>
      <c r="M179" s="48">
        <f t="shared" ref="M179" si="884">+IFERROR(M177+M178,"n/a")</f>
        <v>0</v>
      </c>
      <c r="N179" s="48">
        <f t="shared" ref="N179" si="885">+IFERROR(N177+N178,"n/a")</f>
        <v>0</v>
      </c>
      <c r="O179" s="48">
        <f t="shared" ref="O179" si="886">+IFERROR(O177+O178,"n/a")</f>
        <v>0</v>
      </c>
      <c r="P179" s="48">
        <f t="shared" ref="P179" si="887">+IFERROR(P177+P178,"n/a")</f>
        <v>0</v>
      </c>
      <c r="Q179" s="48">
        <f t="shared" ref="Q179" si="888">+IFERROR(Q177+Q178,"n/a")</f>
        <v>0</v>
      </c>
      <c r="R179" s="48">
        <f t="shared" ref="R179" si="889">+IFERROR(R177+R178,"n/a")</f>
        <v>0</v>
      </c>
      <c r="S179" s="48">
        <f t="shared" ref="S179" si="890">+IFERROR(S177+S178,"n/a")</f>
        <v>0</v>
      </c>
      <c r="T179" s="48">
        <f t="shared" ref="T179" si="891">+IFERROR(T177+T178,"n/a")</f>
        <v>0</v>
      </c>
      <c r="U179" s="48">
        <f t="shared" ref="U179" si="892">+IFERROR(U177+U178,"n/a")</f>
        <v>0</v>
      </c>
      <c r="V179" s="48">
        <f t="shared" ref="V179" si="893">+IFERROR(V177+V178,"n/a")</f>
        <v>0</v>
      </c>
      <c r="W179" s="48">
        <f t="shared" ref="W179" si="894">+IFERROR(W177+W178,"n/a")</f>
        <v>0</v>
      </c>
      <c r="X179" s="48">
        <f t="shared" ref="X179" si="895">+IFERROR(X177+X178,"n/a")</f>
        <v>0</v>
      </c>
      <c r="Y179" s="48">
        <f t="shared" ref="Y179" si="896">+IFERROR(Y177+Y178,"n/a")</f>
        <v>0</v>
      </c>
      <c r="Z179" s="48">
        <f t="shared" ref="Z179" si="897">+IFERROR(Z177+Z178,"n/a")</f>
        <v>0</v>
      </c>
      <c r="AA179" s="48">
        <f t="shared" ref="AA179" si="898">+IFERROR(AA177+AA178,"n/a")</f>
        <v>435.26006850191163</v>
      </c>
      <c r="AB179" s="48">
        <f t="shared" ref="AB179" si="899">+IFERROR(AB177+AB178,"n/a")</f>
        <v>1448.477665011083</v>
      </c>
      <c r="AC179" s="48">
        <f t="shared" ref="AC179" si="900">+IFERROR(AC177+AC178,"n/a")</f>
        <v>4478.5818695256112</v>
      </c>
      <c r="AD179" s="48">
        <f t="shared" ref="AD179" si="901">+IFERROR(AD177+AD178,"n/a")</f>
        <v>18973.75643803132</v>
      </c>
      <c r="AE179" s="48">
        <f t="shared" ref="AE179:AG179" si="902">+IFERROR(AE177+AE178,"n/a")</f>
        <v>26572.859746461942</v>
      </c>
      <c r="AF179" s="48">
        <f t="shared" si="902"/>
        <v>32667.784142373654</v>
      </c>
      <c r="AG179" s="48">
        <f t="shared" si="902"/>
        <v>35584.972337282394</v>
      </c>
      <c r="AH179" s="48">
        <f t="shared" ref="AH179" si="903">+IFERROR(AH177+AH178,"n/a")</f>
        <v>37720.070677519339</v>
      </c>
      <c r="AI179" s="48">
        <f t="shared" ref="AI179:AJ179" si="904">+IFERROR(AI177+AI178,"n/a")</f>
        <v>41492.077745271279</v>
      </c>
      <c r="AJ179" s="48">
        <f t="shared" si="904"/>
        <v>38221.307446577186</v>
      </c>
      <c r="AK179" s="48">
        <f t="shared" ref="AK179:AM179" si="905">+IFERROR(AK177+AK178,"n/a")</f>
        <v>46260.464038467115</v>
      </c>
      <c r="AL179" s="48">
        <f t="shared" si="905"/>
        <v>49036.091880775137</v>
      </c>
      <c r="AM179" s="48">
        <f t="shared" si="905"/>
        <v>53939.701068852664</v>
      </c>
      <c r="AO179" s="48">
        <f>+IFERROR(AO177+AO178,"n/a")</f>
        <v>0</v>
      </c>
      <c r="AP179" s="48">
        <f>+IFERROR(AP177+AP178,"n/a")</f>
        <v>0</v>
      </c>
      <c r="AQ179" s="48">
        <f>+SUM(H179:K179)</f>
        <v>0</v>
      </c>
      <c r="AR179" s="48">
        <f>+SUM(L179:O179)</f>
        <v>0</v>
      </c>
      <c r="AS179" s="48">
        <f>+SUM(P179:S179)</f>
        <v>0</v>
      </c>
      <c r="AT179" s="48">
        <f>+SUM(T179:W179)</f>
        <v>0</v>
      </c>
      <c r="AU179" s="48">
        <f>+SUM(X179:AA179)</f>
        <v>435.26006850191163</v>
      </c>
      <c r="AV179" s="48">
        <f>+SUM(AB179:AE179)</f>
        <v>51473.675719029954</v>
      </c>
      <c r="AW179" s="42">
        <f>+SUM(AF179:AI179)</f>
        <v>147464.90490244667</v>
      </c>
      <c r="AX179" s="42">
        <f t="shared" si="879"/>
        <v>187457.56443467212</v>
      </c>
    </row>
    <row r="180" spans="2:50" s="1" customFormat="1" ht="10.15" x14ac:dyDescent="0.2">
      <c r="B180" s="3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row>
    <row r="181" spans="2:50" s="1" customFormat="1" ht="10.15" x14ac:dyDescent="0.2">
      <c r="B181" s="19" t="s">
        <v>86</v>
      </c>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spans="2:50" s="1" customFormat="1" ht="10.15" x14ac:dyDescent="0.2">
      <c r="B182" s="20" t="s">
        <v>226</v>
      </c>
      <c r="H182" s="48"/>
      <c r="I182" s="48"/>
      <c r="J182" s="48"/>
      <c r="K182" s="48"/>
      <c r="L182" s="173" t="str">
        <f>+IFERROR(L177/H177-1,"n/a")</f>
        <v>n/a</v>
      </c>
      <c r="M182" s="173" t="str">
        <f t="shared" ref="M182:M184" si="906">+IFERROR(M177/I177-1,"n/a")</f>
        <v>n/a</v>
      </c>
      <c r="N182" s="173" t="str">
        <f t="shared" ref="N182:N184" si="907">+IFERROR(N177/J177-1,"n/a")</f>
        <v>n/a</v>
      </c>
      <c r="O182" s="173" t="str">
        <f t="shared" ref="O182:O184" si="908">+IFERROR(O177/K177-1,"n/a")</f>
        <v>n/a</v>
      </c>
      <c r="P182" s="173" t="str">
        <f t="shared" ref="P182:P184" si="909">+IFERROR(P177/L177-1,"n/a")</f>
        <v>n/a</v>
      </c>
      <c r="Q182" s="173" t="str">
        <f t="shared" ref="Q182:Q184" si="910">+IFERROR(Q177/M177-1,"n/a")</f>
        <v>n/a</v>
      </c>
      <c r="R182" s="173" t="str">
        <f t="shared" ref="R182:R184" si="911">+IFERROR(R177/N177-1,"n/a")</f>
        <v>n/a</v>
      </c>
      <c r="S182" s="173" t="str">
        <f t="shared" ref="S182:S184" si="912">+IFERROR(S177/O177-1,"n/a")</f>
        <v>n/a</v>
      </c>
      <c r="T182" s="173" t="str">
        <f t="shared" ref="T182:T184" si="913">+IFERROR(T177/P177-1,"n/a")</f>
        <v>n/a</v>
      </c>
      <c r="U182" s="173" t="str">
        <f t="shared" ref="U182:U184" si="914">+IFERROR(U177/Q177-1,"n/a")</f>
        <v>n/a</v>
      </c>
      <c r="V182" s="173" t="str">
        <f t="shared" ref="V182:V184" si="915">+IFERROR(V177/R177-1,"n/a")</f>
        <v>n/a</v>
      </c>
      <c r="W182" s="173" t="str">
        <f t="shared" ref="W182:W184" si="916">+IFERROR(W177/S177-1,"n/a")</f>
        <v>n/a</v>
      </c>
      <c r="X182" s="173" t="str">
        <f t="shared" ref="X182:X184" si="917">+IFERROR(X177/T177-1,"n/a")</f>
        <v>n/a</v>
      </c>
      <c r="Y182" s="173" t="str">
        <f t="shared" ref="Y182:Y184" si="918">+IFERROR(Y177/U177-1,"n/a")</f>
        <v>n/a</v>
      </c>
      <c r="Z182" s="173" t="str">
        <f t="shared" ref="Z182:Z184" si="919">+IFERROR(Z177/V177-1,"n/a")</f>
        <v>n/a</v>
      </c>
      <c r="AA182" s="173" t="str">
        <f t="shared" ref="AA182:AA184" si="920">+IFERROR(AA177/W177-1,"n/a")</f>
        <v>n/a</v>
      </c>
      <c r="AB182" s="173" t="str">
        <f t="shared" ref="AB182:AB184" si="921">+IFERROR(AB177/X177-1,"n/a")</f>
        <v>n/a</v>
      </c>
      <c r="AC182" s="173" t="str">
        <f t="shared" ref="AC182:AC184" si="922">+IFERROR(AC177/Y177-1,"n/a")</f>
        <v>n/a</v>
      </c>
      <c r="AD182" s="173" t="str">
        <f t="shared" ref="AD182:AD184" si="923">+IFERROR(AD177/Z177-1,"n/a")</f>
        <v>n/a</v>
      </c>
      <c r="AE182" s="173" t="str">
        <f t="shared" ref="AE182:AG184" si="924">+IFERROR(AE177/AA177-1,"n/a")</f>
        <v>n/a</v>
      </c>
      <c r="AF182" s="173" t="str">
        <f t="shared" si="924"/>
        <v>n/a</v>
      </c>
      <c r="AG182" s="173" t="str">
        <f t="shared" si="924"/>
        <v>n/a</v>
      </c>
      <c r="AH182" s="173" t="str">
        <f t="shared" ref="AH182:AH184" si="925">+IFERROR(AH177/AD177-1,"n/a")</f>
        <v>n/a</v>
      </c>
      <c r="AI182" s="173" t="str">
        <f t="shared" ref="AI182:AJ184" si="926">+IFERROR(AI177/AE177-1,"n/a")</f>
        <v>n/a</v>
      </c>
      <c r="AJ182" s="173" t="str">
        <f t="shared" si="926"/>
        <v>n/a</v>
      </c>
      <c r="AK182" s="173" t="str">
        <f t="shared" ref="AK182:AK184" si="927">+IFERROR(AK177/AG177-1,"n/a")</f>
        <v>n/a</v>
      </c>
      <c r="AL182" s="173" t="str">
        <f t="shared" ref="AL182:AL184" si="928">+IFERROR(AL177/AH177-1,"n/a")</f>
        <v>n/a</v>
      </c>
      <c r="AM182" s="173" t="str">
        <f t="shared" ref="AM182:AM184" si="929">+IFERROR(AM177/AI177-1,"n/a")</f>
        <v>n/a</v>
      </c>
      <c r="AP182" s="173" t="str">
        <f>+IFERROR(AP177/AO177-1,"n/a")</f>
        <v>n/a</v>
      </c>
      <c r="AQ182" s="173" t="str">
        <f t="shared" ref="AQ182:AV182" si="930">+IFERROR(AQ177/AP177-1,"n/a")</f>
        <v>n/a</v>
      </c>
      <c r="AR182" s="173" t="str">
        <f t="shared" si="930"/>
        <v>n/a</v>
      </c>
      <c r="AS182" s="173" t="str">
        <f t="shared" si="930"/>
        <v>n/a</v>
      </c>
      <c r="AT182" s="173" t="str">
        <f t="shared" si="930"/>
        <v>n/a</v>
      </c>
      <c r="AU182" s="173" t="str">
        <f t="shared" si="930"/>
        <v>n/a</v>
      </c>
      <c r="AV182" s="173" t="str">
        <f t="shared" si="930"/>
        <v>n/a</v>
      </c>
      <c r="AW182" s="173" t="str">
        <f t="shared" ref="AW182:AX182" si="931">+IFERROR(AW177/AV177-1,"n/a")</f>
        <v>n/a</v>
      </c>
      <c r="AX182" s="173" t="str">
        <f t="shared" si="931"/>
        <v>n/a</v>
      </c>
    </row>
    <row r="183" spans="2:50" s="1" customFormat="1" ht="12" x14ac:dyDescent="0.35">
      <c r="B183" s="20" t="s">
        <v>227</v>
      </c>
      <c r="H183" s="48"/>
      <c r="I183" s="48"/>
      <c r="J183" s="48"/>
      <c r="K183" s="48"/>
      <c r="L183" s="180" t="str">
        <f t="shared" ref="L183:L184" si="932">+IFERROR(L178/H178-1,"n/a")</f>
        <v>n/a</v>
      </c>
      <c r="M183" s="180" t="str">
        <f t="shared" si="906"/>
        <v>n/a</v>
      </c>
      <c r="N183" s="180" t="str">
        <f t="shared" si="907"/>
        <v>n/a</v>
      </c>
      <c r="O183" s="180" t="str">
        <f t="shared" si="908"/>
        <v>n/a</v>
      </c>
      <c r="P183" s="180" t="str">
        <f t="shared" si="909"/>
        <v>n/a</v>
      </c>
      <c r="Q183" s="180" t="str">
        <f t="shared" si="910"/>
        <v>n/a</v>
      </c>
      <c r="R183" s="180" t="str">
        <f t="shared" si="911"/>
        <v>n/a</v>
      </c>
      <c r="S183" s="180" t="str">
        <f t="shared" si="912"/>
        <v>n/a</v>
      </c>
      <c r="T183" s="180" t="str">
        <f t="shared" si="913"/>
        <v>n/a</v>
      </c>
      <c r="U183" s="180" t="str">
        <f t="shared" si="914"/>
        <v>n/a</v>
      </c>
      <c r="V183" s="180" t="str">
        <f t="shared" si="915"/>
        <v>n/a</v>
      </c>
      <c r="W183" s="180" t="str">
        <f t="shared" si="916"/>
        <v>n/a</v>
      </c>
      <c r="X183" s="180" t="str">
        <f t="shared" si="917"/>
        <v>n/a</v>
      </c>
      <c r="Y183" s="180" t="str">
        <f t="shared" si="918"/>
        <v>n/a</v>
      </c>
      <c r="Z183" s="180" t="str">
        <f t="shared" si="919"/>
        <v>n/a</v>
      </c>
      <c r="AA183" s="180" t="str">
        <f t="shared" si="920"/>
        <v>n/a</v>
      </c>
      <c r="AB183" s="180" t="str">
        <f t="shared" si="921"/>
        <v>n/a</v>
      </c>
      <c r="AC183" s="180" t="str">
        <f t="shared" si="922"/>
        <v>n/a</v>
      </c>
      <c r="AD183" s="180" t="str">
        <f t="shared" si="923"/>
        <v>n/a</v>
      </c>
      <c r="AE183" s="180">
        <f t="shared" si="924"/>
        <v>60.050534311408434</v>
      </c>
      <c r="AF183" s="180">
        <f t="shared" si="924"/>
        <v>21.553184582327471</v>
      </c>
      <c r="AG183" s="180">
        <f t="shared" si="924"/>
        <v>6.9455893347444135</v>
      </c>
      <c r="AH183" s="180">
        <f t="shared" si="925"/>
        <v>0.98801280077110021</v>
      </c>
      <c r="AI183" s="180">
        <f t="shared" si="926"/>
        <v>0.56144570592541387</v>
      </c>
      <c r="AJ183" s="180">
        <f t="shared" si="926"/>
        <v>0.17000000000000037</v>
      </c>
      <c r="AK183" s="180">
        <f t="shared" si="927"/>
        <v>0.30000000000000004</v>
      </c>
      <c r="AL183" s="180">
        <f t="shared" si="928"/>
        <v>0.29999999999999982</v>
      </c>
      <c r="AM183" s="180">
        <f t="shared" si="929"/>
        <v>0.30000000000000004</v>
      </c>
      <c r="AP183" s="180" t="str">
        <f t="shared" ref="AP183:AV184" si="933">+IFERROR(AP178/AO178-1,"n/a")</f>
        <v>n/a</v>
      </c>
      <c r="AQ183" s="180" t="str">
        <f t="shared" si="933"/>
        <v>n/a</v>
      </c>
      <c r="AR183" s="180" t="str">
        <f t="shared" si="933"/>
        <v>n/a</v>
      </c>
      <c r="AS183" s="180" t="str">
        <f t="shared" si="933"/>
        <v>n/a</v>
      </c>
      <c r="AT183" s="180" t="str">
        <f t="shared" si="933"/>
        <v>n/a</v>
      </c>
      <c r="AU183" s="180" t="str">
        <f t="shared" si="933"/>
        <v>n/a</v>
      </c>
      <c r="AV183" s="180">
        <f t="shared" si="933"/>
        <v>117.25958649547904</v>
      </c>
      <c r="AW183" s="180">
        <f t="shared" ref="AW183:AX183" si="934">+IFERROR(AW178/AV178-1,"n/a")</f>
        <v>1.8648605883012257</v>
      </c>
      <c r="AX183" s="180">
        <f t="shared" si="934"/>
        <v>0.27120120247378199</v>
      </c>
    </row>
    <row r="184" spans="2:50" s="1" customFormat="1" ht="10.15" x14ac:dyDescent="0.2">
      <c r="B184" s="30" t="s">
        <v>341</v>
      </c>
      <c r="H184" s="48"/>
      <c r="I184" s="48"/>
      <c r="J184" s="48"/>
      <c r="K184" s="48"/>
      <c r="L184" s="173" t="str">
        <f t="shared" si="932"/>
        <v>n/a</v>
      </c>
      <c r="M184" s="173" t="str">
        <f t="shared" si="906"/>
        <v>n/a</v>
      </c>
      <c r="N184" s="173" t="str">
        <f t="shared" si="907"/>
        <v>n/a</v>
      </c>
      <c r="O184" s="173" t="str">
        <f t="shared" si="908"/>
        <v>n/a</v>
      </c>
      <c r="P184" s="173" t="str">
        <f t="shared" si="909"/>
        <v>n/a</v>
      </c>
      <c r="Q184" s="173" t="str">
        <f t="shared" si="910"/>
        <v>n/a</v>
      </c>
      <c r="R184" s="173" t="str">
        <f t="shared" si="911"/>
        <v>n/a</v>
      </c>
      <c r="S184" s="173" t="str">
        <f t="shared" si="912"/>
        <v>n/a</v>
      </c>
      <c r="T184" s="173" t="str">
        <f t="shared" si="913"/>
        <v>n/a</v>
      </c>
      <c r="U184" s="173" t="str">
        <f t="shared" si="914"/>
        <v>n/a</v>
      </c>
      <c r="V184" s="173" t="str">
        <f t="shared" si="915"/>
        <v>n/a</v>
      </c>
      <c r="W184" s="173" t="str">
        <f t="shared" si="916"/>
        <v>n/a</v>
      </c>
      <c r="X184" s="173" t="str">
        <f t="shared" si="917"/>
        <v>n/a</v>
      </c>
      <c r="Y184" s="173" t="str">
        <f t="shared" si="918"/>
        <v>n/a</v>
      </c>
      <c r="Z184" s="173" t="str">
        <f t="shared" si="919"/>
        <v>n/a</v>
      </c>
      <c r="AA184" s="173" t="str">
        <f t="shared" si="920"/>
        <v>n/a</v>
      </c>
      <c r="AB184" s="173" t="str">
        <f t="shared" si="921"/>
        <v>n/a</v>
      </c>
      <c r="AC184" s="173" t="str">
        <f t="shared" si="922"/>
        <v>n/a</v>
      </c>
      <c r="AD184" s="173" t="str">
        <f t="shared" si="923"/>
        <v>n/a</v>
      </c>
      <c r="AE184" s="173">
        <f t="shared" si="924"/>
        <v>60.050534311408434</v>
      </c>
      <c r="AF184" s="173">
        <f t="shared" si="924"/>
        <v>21.553184582327471</v>
      </c>
      <c r="AG184" s="173">
        <f t="shared" si="924"/>
        <v>6.9455893347444135</v>
      </c>
      <c r="AH184" s="173">
        <f t="shared" si="925"/>
        <v>0.98801280077110021</v>
      </c>
      <c r="AI184" s="173">
        <f t="shared" si="926"/>
        <v>0.56144570592541387</v>
      </c>
      <c r="AJ184" s="173">
        <f t="shared" si="926"/>
        <v>0.17000000000000037</v>
      </c>
      <c r="AK184" s="173">
        <f t="shared" si="927"/>
        <v>0.30000000000000004</v>
      </c>
      <c r="AL184" s="173">
        <f t="shared" si="928"/>
        <v>0.29999999999999982</v>
      </c>
      <c r="AM184" s="173">
        <f t="shared" si="929"/>
        <v>0.30000000000000004</v>
      </c>
      <c r="AP184" s="173" t="str">
        <f t="shared" si="933"/>
        <v>n/a</v>
      </c>
      <c r="AQ184" s="173" t="str">
        <f t="shared" si="933"/>
        <v>n/a</v>
      </c>
      <c r="AR184" s="173" t="str">
        <f t="shared" si="933"/>
        <v>n/a</v>
      </c>
      <c r="AS184" s="173" t="str">
        <f t="shared" si="933"/>
        <v>n/a</v>
      </c>
      <c r="AT184" s="173" t="str">
        <f t="shared" si="933"/>
        <v>n/a</v>
      </c>
      <c r="AU184" s="173" t="str">
        <f t="shared" si="933"/>
        <v>n/a</v>
      </c>
      <c r="AV184" s="173">
        <f t="shared" si="933"/>
        <v>117.25958649547904</v>
      </c>
      <c r="AW184" s="173">
        <f t="shared" ref="AW184:AX184" si="935">+IFERROR(AW179/AV179-1,"n/a")</f>
        <v>1.8648605883012257</v>
      </c>
      <c r="AX184" s="173">
        <f t="shared" si="935"/>
        <v>0.27120120247378199</v>
      </c>
    </row>
    <row r="185" spans="2:50" s="1" customFormat="1" ht="10.15" x14ac:dyDescent="0.2">
      <c r="B185" s="30"/>
      <c r="H185" s="48"/>
      <c r="I185" s="48"/>
      <c r="J185" s="48"/>
      <c r="K185" s="48"/>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P185" s="173"/>
      <c r="AQ185" s="173"/>
      <c r="AR185" s="173"/>
      <c r="AS185" s="173"/>
      <c r="AT185" s="173"/>
      <c r="AU185" s="173"/>
      <c r="AV185" s="173"/>
      <c r="AW185" s="173"/>
      <c r="AX185" s="173"/>
    </row>
    <row r="186" spans="2:50" s="1" customFormat="1" ht="10.15" x14ac:dyDescent="0.2">
      <c r="B186" s="19" t="s">
        <v>262</v>
      </c>
      <c r="H186" s="48"/>
      <c r="I186" s="48"/>
      <c r="J186" s="48"/>
      <c r="K186" s="48"/>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P186" s="173"/>
      <c r="AQ186" s="173"/>
      <c r="AR186" s="173"/>
      <c r="AS186" s="173"/>
      <c r="AT186" s="173"/>
      <c r="AU186" s="173"/>
      <c r="AV186" s="173"/>
      <c r="AW186" s="173"/>
      <c r="AX186" s="173"/>
    </row>
    <row r="187" spans="2:50" s="1" customFormat="1" ht="10.15" x14ac:dyDescent="0.2">
      <c r="B187" s="20" t="s">
        <v>226</v>
      </c>
      <c r="H187" s="48"/>
      <c r="I187" s="173" t="str">
        <f>+IFERROR(I177/H177-1,"n/a")</f>
        <v>n/a</v>
      </c>
      <c r="J187" s="173" t="str">
        <f t="shared" ref="J187:AG189" si="936">+IFERROR(J177/I177-1,"n/a")</f>
        <v>n/a</v>
      </c>
      <c r="K187" s="173" t="str">
        <f t="shared" si="936"/>
        <v>n/a</v>
      </c>
      <c r="L187" s="173" t="str">
        <f t="shared" si="936"/>
        <v>n/a</v>
      </c>
      <c r="M187" s="173" t="str">
        <f t="shared" si="936"/>
        <v>n/a</v>
      </c>
      <c r="N187" s="173" t="str">
        <f t="shared" si="936"/>
        <v>n/a</v>
      </c>
      <c r="O187" s="173" t="str">
        <f t="shared" si="936"/>
        <v>n/a</v>
      </c>
      <c r="P187" s="173" t="str">
        <f t="shared" si="936"/>
        <v>n/a</v>
      </c>
      <c r="Q187" s="173" t="str">
        <f t="shared" si="936"/>
        <v>n/a</v>
      </c>
      <c r="R187" s="173" t="str">
        <f t="shared" si="936"/>
        <v>n/a</v>
      </c>
      <c r="S187" s="173" t="str">
        <f t="shared" si="936"/>
        <v>n/a</v>
      </c>
      <c r="T187" s="173" t="str">
        <f t="shared" si="936"/>
        <v>n/a</v>
      </c>
      <c r="U187" s="173" t="str">
        <f t="shared" si="936"/>
        <v>n/a</v>
      </c>
      <c r="V187" s="173" t="str">
        <f t="shared" si="936"/>
        <v>n/a</v>
      </c>
      <c r="W187" s="173" t="str">
        <f t="shared" si="936"/>
        <v>n/a</v>
      </c>
      <c r="X187" s="173" t="str">
        <f t="shared" si="936"/>
        <v>n/a</v>
      </c>
      <c r="Y187" s="173" t="str">
        <f t="shared" si="936"/>
        <v>n/a</v>
      </c>
      <c r="Z187" s="173" t="str">
        <f t="shared" si="936"/>
        <v>n/a</v>
      </c>
      <c r="AA187" s="173" t="str">
        <f t="shared" si="936"/>
        <v>n/a</v>
      </c>
      <c r="AB187" s="173" t="str">
        <f t="shared" si="936"/>
        <v>n/a</v>
      </c>
      <c r="AC187" s="173" t="str">
        <f t="shared" si="936"/>
        <v>n/a</v>
      </c>
      <c r="AD187" s="173" t="str">
        <f t="shared" si="936"/>
        <v>n/a</v>
      </c>
      <c r="AE187" s="173" t="str">
        <f t="shared" si="936"/>
        <v>n/a</v>
      </c>
      <c r="AF187" s="173" t="str">
        <f t="shared" si="936"/>
        <v>n/a</v>
      </c>
      <c r="AG187" s="173" t="str">
        <f t="shared" si="936"/>
        <v>n/a</v>
      </c>
      <c r="AH187" s="173" t="str">
        <f t="shared" ref="AH187:AJ187" si="937">+IFERROR(AH177/AG177-1,"n/a")</f>
        <v>n/a</v>
      </c>
      <c r="AI187" s="173" t="str">
        <f t="shared" si="937"/>
        <v>n/a</v>
      </c>
      <c r="AJ187" s="173" t="str">
        <f t="shared" si="937"/>
        <v>n/a</v>
      </c>
      <c r="AK187" s="173" t="str">
        <f t="shared" ref="AK187:AK189" si="938">+IFERROR(AK177/AJ177-1,"n/a")</f>
        <v>n/a</v>
      </c>
      <c r="AL187" s="173" t="str">
        <f t="shared" ref="AL187:AL189" si="939">+IFERROR(AL177/AK177-1,"n/a")</f>
        <v>n/a</v>
      </c>
      <c r="AM187" s="173" t="str">
        <f t="shared" ref="AM187:AM189" si="940">+IFERROR(AM177/AL177-1,"n/a")</f>
        <v>n/a</v>
      </c>
      <c r="AP187" s="173"/>
      <c r="AQ187" s="173"/>
      <c r="AR187" s="173"/>
      <c r="AS187" s="173"/>
      <c r="AT187" s="173"/>
      <c r="AU187" s="173"/>
      <c r="AV187" s="173"/>
      <c r="AW187" s="173"/>
      <c r="AX187" s="173"/>
    </row>
    <row r="188" spans="2:50" s="1" customFormat="1" ht="12" x14ac:dyDescent="0.35">
      <c r="B188" s="20" t="s">
        <v>227</v>
      </c>
      <c r="H188" s="48"/>
      <c r="I188" s="180" t="str">
        <f t="shared" ref="I188:X189" si="941">+IFERROR(I178/H178-1,"n/a")</f>
        <v>n/a</v>
      </c>
      <c r="J188" s="180" t="str">
        <f t="shared" si="941"/>
        <v>n/a</v>
      </c>
      <c r="K188" s="180" t="str">
        <f t="shared" si="941"/>
        <v>n/a</v>
      </c>
      <c r="L188" s="180" t="str">
        <f t="shared" si="941"/>
        <v>n/a</v>
      </c>
      <c r="M188" s="180" t="str">
        <f t="shared" si="941"/>
        <v>n/a</v>
      </c>
      <c r="N188" s="180" t="str">
        <f t="shared" si="941"/>
        <v>n/a</v>
      </c>
      <c r="O188" s="180" t="str">
        <f t="shared" si="941"/>
        <v>n/a</v>
      </c>
      <c r="P188" s="180" t="str">
        <f t="shared" si="941"/>
        <v>n/a</v>
      </c>
      <c r="Q188" s="180" t="str">
        <f t="shared" si="941"/>
        <v>n/a</v>
      </c>
      <c r="R188" s="180" t="str">
        <f t="shared" si="941"/>
        <v>n/a</v>
      </c>
      <c r="S188" s="180" t="str">
        <f t="shared" si="941"/>
        <v>n/a</v>
      </c>
      <c r="T188" s="180" t="str">
        <f t="shared" si="941"/>
        <v>n/a</v>
      </c>
      <c r="U188" s="180" t="str">
        <f t="shared" si="941"/>
        <v>n/a</v>
      </c>
      <c r="V188" s="180" t="str">
        <f t="shared" si="941"/>
        <v>n/a</v>
      </c>
      <c r="W188" s="180" t="str">
        <f t="shared" si="941"/>
        <v>n/a</v>
      </c>
      <c r="X188" s="180" t="str">
        <f t="shared" si="941"/>
        <v>n/a</v>
      </c>
      <c r="Y188" s="180" t="str">
        <f t="shared" si="936"/>
        <v>n/a</v>
      </c>
      <c r="Z188" s="180" t="str">
        <f t="shared" si="936"/>
        <v>n/a</v>
      </c>
      <c r="AA188" s="180" t="str">
        <f t="shared" si="936"/>
        <v>n/a</v>
      </c>
      <c r="AB188" s="180">
        <f t="shared" si="936"/>
        <v>2.3278441323516939</v>
      </c>
      <c r="AC188" s="180">
        <f t="shared" si="936"/>
        <v>2.0919233190187598</v>
      </c>
      <c r="AD188" s="180">
        <f t="shared" si="936"/>
        <v>3.2365545591870788</v>
      </c>
      <c r="AE188" s="180">
        <f t="shared" si="936"/>
        <v>0.40050600065672026</v>
      </c>
      <c r="AF188" s="180">
        <f t="shared" si="936"/>
        <v>0.22936652110705635</v>
      </c>
      <c r="AG188" s="180">
        <f t="shared" si="936"/>
        <v>8.9298624669336801E-2</v>
      </c>
      <c r="AH188" s="180">
        <f t="shared" ref="AH188:AJ188" si="942">+IFERROR(AH178/AG178-1,"n/a")</f>
        <v>6.0000000000000053E-2</v>
      </c>
      <c r="AI188" s="180">
        <f t="shared" si="942"/>
        <v>0.10000000000000009</v>
      </c>
      <c r="AJ188" s="180">
        <f t="shared" si="942"/>
        <v>-7.8828790372322377E-2</v>
      </c>
      <c r="AK188" s="180">
        <f t="shared" si="938"/>
        <v>0.21033180518815175</v>
      </c>
      <c r="AL188" s="180">
        <f t="shared" si="939"/>
        <v>5.9999999999999831E-2</v>
      </c>
      <c r="AM188" s="180">
        <f t="shared" si="940"/>
        <v>0.10000000000000031</v>
      </c>
      <c r="AP188" s="173"/>
      <c r="AQ188" s="173"/>
      <c r="AR188" s="173"/>
      <c r="AS188" s="173"/>
      <c r="AT188" s="173"/>
      <c r="AU188" s="173"/>
      <c r="AV188" s="173"/>
      <c r="AW188" s="173"/>
      <c r="AX188" s="173"/>
    </row>
    <row r="189" spans="2:50" s="1" customFormat="1" ht="10.15" x14ac:dyDescent="0.2">
      <c r="B189" s="30" t="s">
        <v>341</v>
      </c>
      <c r="H189" s="48"/>
      <c r="I189" s="173" t="str">
        <f t="shared" si="941"/>
        <v>n/a</v>
      </c>
      <c r="J189" s="173" t="str">
        <f t="shared" si="936"/>
        <v>n/a</v>
      </c>
      <c r="K189" s="173" t="str">
        <f t="shared" si="936"/>
        <v>n/a</v>
      </c>
      <c r="L189" s="173" t="str">
        <f t="shared" si="936"/>
        <v>n/a</v>
      </c>
      <c r="M189" s="173" t="str">
        <f t="shared" si="936"/>
        <v>n/a</v>
      </c>
      <c r="N189" s="173" t="str">
        <f t="shared" si="936"/>
        <v>n/a</v>
      </c>
      <c r="O189" s="173" t="str">
        <f t="shared" si="936"/>
        <v>n/a</v>
      </c>
      <c r="P189" s="173" t="str">
        <f t="shared" si="936"/>
        <v>n/a</v>
      </c>
      <c r="Q189" s="173" t="str">
        <f t="shared" si="936"/>
        <v>n/a</v>
      </c>
      <c r="R189" s="173" t="str">
        <f t="shared" si="936"/>
        <v>n/a</v>
      </c>
      <c r="S189" s="173" t="str">
        <f t="shared" si="936"/>
        <v>n/a</v>
      </c>
      <c r="T189" s="173" t="str">
        <f t="shared" si="936"/>
        <v>n/a</v>
      </c>
      <c r="U189" s="173" t="str">
        <f t="shared" si="936"/>
        <v>n/a</v>
      </c>
      <c r="V189" s="173" t="str">
        <f t="shared" si="936"/>
        <v>n/a</v>
      </c>
      <c r="W189" s="173" t="str">
        <f t="shared" si="936"/>
        <v>n/a</v>
      </c>
      <c r="X189" s="173" t="str">
        <f t="shared" si="936"/>
        <v>n/a</v>
      </c>
      <c r="Y189" s="173" t="str">
        <f t="shared" si="936"/>
        <v>n/a</v>
      </c>
      <c r="Z189" s="173" t="str">
        <f t="shared" si="936"/>
        <v>n/a</v>
      </c>
      <c r="AA189" s="173" t="str">
        <f t="shared" si="936"/>
        <v>n/a</v>
      </c>
      <c r="AB189" s="173">
        <f t="shared" si="936"/>
        <v>2.3278441323516939</v>
      </c>
      <c r="AC189" s="173">
        <f t="shared" si="936"/>
        <v>2.0919233190187598</v>
      </c>
      <c r="AD189" s="173">
        <f t="shared" si="936"/>
        <v>3.2365545591870788</v>
      </c>
      <c r="AE189" s="173">
        <f t="shared" si="936"/>
        <v>0.40050600065672026</v>
      </c>
      <c r="AF189" s="173">
        <f t="shared" si="936"/>
        <v>0.22936652110705635</v>
      </c>
      <c r="AG189" s="173">
        <f t="shared" si="936"/>
        <v>8.9298624669336801E-2</v>
      </c>
      <c r="AH189" s="173">
        <f t="shared" ref="AH189:AJ189" si="943">+IFERROR(AH179/AG179-1,"n/a")</f>
        <v>6.0000000000000053E-2</v>
      </c>
      <c r="AI189" s="173">
        <f t="shared" si="943"/>
        <v>0.10000000000000009</v>
      </c>
      <c r="AJ189" s="173">
        <f t="shared" si="943"/>
        <v>-7.8828790372322377E-2</v>
      </c>
      <c r="AK189" s="173">
        <f t="shared" si="938"/>
        <v>0.21033180518815175</v>
      </c>
      <c r="AL189" s="173">
        <f t="shared" si="939"/>
        <v>5.9999999999999831E-2</v>
      </c>
      <c r="AM189" s="173">
        <f t="shared" si="940"/>
        <v>0.10000000000000031</v>
      </c>
      <c r="AP189" s="173"/>
      <c r="AQ189" s="173"/>
      <c r="AR189" s="173"/>
      <c r="AS189" s="173"/>
      <c r="AT189" s="173"/>
      <c r="AU189" s="173"/>
      <c r="AV189" s="173"/>
      <c r="AW189" s="173"/>
      <c r="AX189" s="173"/>
    </row>
    <row r="191" spans="2:50" ht="10.15" x14ac:dyDescent="0.2">
      <c r="B191" s="24" t="s">
        <v>381</v>
      </c>
    </row>
    <row r="192" spans="2:50" ht="10.15" x14ac:dyDescent="0.2">
      <c r="B192" s="184" t="s">
        <v>226</v>
      </c>
      <c r="H192" s="10">
        <f t="shared" ref="H192:AE192" si="944">+H118</f>
        <v>1108.0999999999999</v>
      </c>
      <c r="I192" s="10">
        <f t="shared" si="944"/>
        <v>2370.9520000000002</v>
      </c>
      <c r="J192" s="10">
        <f t="shared" si="944"/>
        <v>2974.145</v>
      </c>
      <c r="K192" s="10">
        <f t="shared" si="944"/>
        <v>5062.3779999999997</v>
      </c>
      <c r="L192" s="10">
        <f t="shared" si="944"/>
        <v>3948.4140000000002</v>
      </c>
      <c r="M192" s="10">
        <f t="shared" si="944"/>
        <v>6467.0730000000003</v>
      </c>
      <c r="N192" s="10">
        <f t="shared" si="944"/>
        <v>6711.4549999999999</v>
      </c>
      <c r="O192" s="10">
        <f t="shared" si="944"/>
        <v>9686.6990000000005</v>
      </c>
      <c r="P192" s="10">
        <f t="shared" si="944"/>
        <v>5492.27</v>
      </c>
      <c r="Q192" s="10">
        <f t="shared" si="944"/>
        <v>11054.698</v>
      </c>
      <c r="R192" s="10">
        <f t="shared" si="944"/>
        <v>12484.835999999999</v>
      </c>
      <c r="S192" s="10">
        <f t="shared" si="944"/>
        <v>18921.974999999999</v>
      </c>
      <c r="T192" s="10">
        <f t="shared" si="944"/>
        <v>14111.486000000001</v>
      </c>
      <c r="U192" s="10">
        <f t="shared" si="944"/>
        <v>18080.419000000002</v>
      </c>
      <c r="V192" s="10">
        <f t="shared" si="944"/>
        <v>17946.495999999999</v>
      </c>
      <c r="W192" s="10">
        <f t="shared" si="944"/>
        <v>22425.001000000004</v>
      </c>
      <c r="X192" s="10">
        <f t="shared" si="944"/>
        <v>18158.424999999999</v>
      </c>
      <c r="Y192" s="10">
        <f t="shared" si="944"/>
        <v>25172.651000000002</v>
      </c>
      <c r="Z192" s="10">
        <f t="shared" si="944"/>
        <v>28425.645</v>
      </c>
      <c r="AA192" s="10">
        <f t="shared" si="944"/>
        <v>30965.202999999994</v>
      </c>
      <c r="AB192" s="10">
        <f t="shared" si="944"/>
        <v>27244.425999999999</v>
      </c>
      <c r="AC192" s="10">
        <f t="shared" si="944"/>
        <v>37932.830999999998</v>
      </c>
      <c r="AD192" s="10">
        <f t="shared" si="944"/>
        <v>39687.678</v>
      </c>
      <c r="AE192" s="10">
        <f t="shared" si="944"/>
        <v>48675.618000000002</v>
      </c>
      <c r="AF192" s="10">
        <f t="shared" ref="AF192:AG192" si="945">+AF118</f>
        <v>42456.243000000002</v>
      </c>
      <c r="AG192" s="10">
        <f t="shared" si="945"/>
        <v>49115.866000000002</v>
      </c>
      <c r="AH192" s="10">
        <f t="shared" ref="AH192:AI193" si="946">+IFERROR(AH141+AH162+AH177,"n/a")</f>
        <v>48156.01129980883</v>
      </c>
      <c r="AI192" s="10">
        <f t="shared" si="946"/>
        <v>57505.364976837387</v>
      </c>
      <c r="AJ192" s="10">
        <f t="shared" ref="AJ192:AM192" si="947">+IFERROR(AJ141+AJ162+AJ177,"n/a")</f>
        <v>47730.348550340503</v>
      </c>
      <c r="AK192" s="10">
        <f t="shared" si="947"/>
        <v>55788.38336061361</v>
      </c>
      <c r="AL192" s="10">
        <f t="shared" si="947"/>
        <v>55273.899706789445</v>
      </c>
      <c r="AM192" s="10">
        <f t="shared" si="947"/>
        <v>67927.652046612813</v>
      </c>
      <c r="AO192" s="10">
        <f>+AO118</f>
        <v>0</v>
      </c>
      <c r="AP192" s="10">
        <f>+AP118</f>
        <v>1209.2750000000001</v>
      </c>
      <c r="AQ192" s="14">
        <f t="shared" ref="AQ192:AQ197" si="948">+SUM(H192:K192)</f>
        <v>11515.575000000001</v>
      </c>
      <c r="AR192" s="14">
        <f t="shared" ref="AR192:AR197" si="949">+SUM(L192:O192)</f>
        <v>26813.641000000003</v>
      </c>
      <c r="AS192" s="14">
        <f t="shared" ref="AS192:AS197" si="950">+SUM(P192:S192)</f>
        <v>47953.778999999995</v>
      </c>
      <c r="AT192" s="14">
        <f t="shared" ref="AT192:AT197" si="951">+SUM(T192:W192)</f>
        <v>72563.402000000002</v>
      </c>
      <c r="AU192" s="14">
        <f t="shared" ref="AU192:AU197" si="952">+SUM(X192:AA192)</f>
        <v>102721.924</v>
      </c>
      <c r="AV192" s="14">
        <f t="shared" ref="AV192:AV197" si="953">+SUM(AB192:AE192)</f>
        <v>153540.55300000001</v>
      </c>
      <c r="AW192" s="10">
        <f>+SUM(AF192:AI192)</f>
        <v>197233.48527664621</v>
      </c>
      <c r="AX192" s="14">
        <f>+SUM(AJ192:AM192)</f>
        <v>226720.28366435636</v>
      </c>
    </row>
    <row r="193" spans="2:50" ht="12" x14ac:dyDescent="0.35">
      <c r="B193" s="184" t="s">
        <v>227</v>
      </c>
      <c r="H193" s="25">
        <f t="shared" ref="H193:AE193" si="954">+H119</f>
        <v>276.50400000000002</v>
      </c>
      <c r="I193" s="25">
        <f t="shared" si="954"/>
        <v>338.09399999999999</v>
      </c>
      <c r="J193" s="25">
        <f t="shared" si="954"/>
        <v>398.27300000000002</v>
      </c>
      <c r="K193" s="25">
        <f t="shared" si="954"/>
        <v>591.54399999999998</v>
      </c>
      <c r="L193" s="25">
        <f t="shared" si="954"/>
        <v>596.79</v>
      </c>
      <c r="M193" s="25">
        <f t="shared" si="954"/>
        <v>822.93499999999995</v>
      </c>
      <c r="N193" s="25">
        <f t="shared" si="954"/>
        <v>802.49300000000005</v>
      </c>
      <c r="O193" s="25">
        <f t="shared" si="954"/>
        <v>1106.027</v>
      </c>
      <c r="P193" s="25">
        <f t="shared" si="954"/>
        <v>1048.789</v>
      </c>
      <c r="Q193" s="25">
        <f t="shared" si="954"/>
        <v>1138.617</v>
      </c>
      <c r="R193" s="25">
        <f t="shared" si="954"/>
        <v>1332.124</v>
      </c>
      <c r="S193" s="25">
        <f t="shared" si="954"/>
        <v>2267.8850000000002</v>
      </c>
      <c r="T193" s="25">
        <f t="shared" si="954"/>
        <v>2931.4749999999999</v>
      </c>
      <c r="U193" s="25">
        <f t="shared" si="954"/>
        <v>3007.6379999999999</v>
      </c>
      <c r="V193" s="25">
        <f t="shared" si="954"/>
        <v>3477.1469999999999</v>
      </c>
      <c r="W193" s="25">
        <f t="shared" si="954"/>
        <v>4724.1890000000021</v>
      </c>
      <c r="X193" s="25">
        <f t="shared" si="954"/>
        <v>5591.4070000000002</v>
      </c>
      <c r="Y193" s="25">
        <f t="shared" si="954"/>
        <v>6216.2070000000003</v>
      </c>
      <c r="Z193" s="25">
        <f t="shared" si="954"/>
        <v>7022.2520000000004</v>
      </c>
      <c r="AA193" s="25">
        <f t="shared" si="954"/>
        <v>8796.627999999997</v>
      </c>
      <c r="AB193" s="25">
        <f t="shared" si="954"/>
        <v>10392.624</v>
      </c>
      <c r="AC193" s="25">
        <f t="shared" si="954"/>
        <v>14347.916999999999</v>
      </c>
      <c r="AD193" s="25">
        <f t="shared" si="954"/>
        <v>29152.692999999999</v>
      </c>
      <c r="AE193" s="25">
        <f t="shared" si="954"/>
        <v>40205.417999999998</v>
      </c>
      <c r="AF193" s="25">
        <f t="shared" ref="AF193:AG193" si="955">+AF119</f>
        <v>44355.815999999999</v>
      </c>
      <c r="AG193" s="25">
        <f t="shared" si="955"/>
        <v>47943.665000000001</v>
      </c>
      <c r="AH193" s="25">
        <f t="shared" si="946"/>
        <v>49469.165636813108</v>
      </c>
      <c r="AI193" s="25">
        <f t="shared" si="946"/>
        <v>52854.314222277295</v>
      </c>
      <c r="AJ193" s="25">
        <f t="shared" ref="AJ193:AM193" si="956">+IFERROR(AJ142+AJ163+AJ178,"n/a")</f>
        <v>48429.175981943954</v>
      </c>
      <c r="AK193" s="25">
        <f t="shared" si="956"/>
        <v>57392.667858095207</v>
      </c>
      <c r="AL193" s="25">
        <f t="shared" si="956"/>
        <v>61123.32610270202</v>
      </c>
      <c r="AM193" s="25">
        <f t="shared" si="956"/>
        <v>66653.744108848987</v>
      </c>
      <c r="AO193" s="25">
        <f>+AO119</f>
        <v>48.276000000000003</v>
      </c>
      <c r="AP193" s="25">
        <f>+AP119</f>
        <v>531.41600000000005</v>
      </c>
      <c r="AQ193" s="36">
        <f t="shared" si="948"/>
        <v>1604.415</v>
      </c>
      <c r="AR193" s="36">
        <f t="shared" si="949"/>
        <v>3328.2449999999999</v>
      </c>
      <c r="AS193" s="36">
        <f t="shared" si="950"/>
        <v>5787.415</v>
      </c>
      <c r="AT193" s="36">
        <f t="shared" si="951"/>
        <v>14140.449000000001</v>
      </c>
      <c r="AU193" s="36">
        <f t="shared" si="952"/>
        <v>27626.493999999999</v>
      </c>
      <c r="AV193" s="36">
        <f t="shared" si="953"/>
        <v>94098.652000000002</v>
      </c>
      <c r="AW193" s="25">
        <f>+SUM(AF193:AI193)</f>
        <v>194622.96085909041</v>
      </c>
      <c r="AX193" s="36">
        <f t="shared" ref="AX193:AX196" si="957">+SUM(AJ193:AM193)</f>
        <v>233598.91405159014</v>
      </c>
    </row>
    <row r="194" spans="2:50" ht="10.15" x14ac:dyDescent="0.2">
      <c r="B194" s="4" t="s">
        <v>224</v>
      </c>
      <c r="H194" s="10">
        <f>IFERROR(H192+H193,"n/a")</f>
        <v>1384.6039999999998</v>
      </c>
      <c r="I194" s="10">
        <f t="shared" ref="I194:AE194" si="958">IFERROR(I192+I193,"n/a")</f>
        <v>2709.0460000000003</v>
      </c>
      <c r="J194" s="10">
        <f t="shared" si="958"/>
        <v>3372.4180000000001</v>
      </c>
      <c r="K194" s="10">
        <f t="shared" si="958"/>
        <v>5653.9219999999996</v>
      </c>
      <c r="L194" s="10">
        <f t="shared" si="958"/>
        <v>4545.2039999999997</v>
      </c>
      <c r="M194" s="10">
        <f t="shared" si="958"/>
        <v>7290.0079999999998</v>
      </c>
      <c r="N194" s="10">
        <f t="shared" si="958"/>
        <v>7513.9480000000003</v>
      </c>
      <c r="O194" s="10">
        <f t="shared" si="958"/>
        <v>10792.726000000001</v>
      </c>
      <c r="P194" s="10">
        <f t="shared" si="958"/>
        <v>6541.0590000000002</v>
      </c>
      <c r="Q194" s="10">
        <f t="shared" si="958"/>
        <v>12193.315000000001</v>
      </c>
      <c r="R194" s="10">
        <f t="shared" si="958"/>
        <v>13816.96</v>
      </c>
      <c r="S194" s="10">
        <f t="shared" si="958"/>
        <v>21189.86</v>
      </c>
      <c r="T194" s="10">
        <f t="shared" si="958"/>
        <v>17042.960999999999</v>
      </c>
      <c r="U194" s="10">
        <f t="shared" si="958"/>
        <v>21088.057000000001</v>
      </c>
      <c r="V194" s="10">
        <f t="shared" si="958"/>
        <v>21423.643</v>
      </c>
      <c r="W194" s="10">
        <f t="shared" si="958"/>
        <v>27149.190000000006</v>
      </c>
      <c r="X194" s="10">
        <f t="shared" si="958"/>
        <v>23749.831999999999</v>
      </c>
      <c r="Y194" s="10">
        <f t="shared" si="958"/>
        <v>31388.858</v>
      </c>
      <c r="Z194" s="10">
        <f t="shared" si="958"/>
        <v>35447.896999999997</v>
      </c>
      <c r="AA194" s="10">
        <f t="shared" si="958"/>
        <v>39761.830999999991</v>
      </c>
      <c r="AB194" s="10">
        <f t="shared" si="958"/>
        <v>37637.050000000003</v>
      </c>
      <c r="AC194" s="10">
        <f t="shared" si="958"/>
        <v>52280.748</v>
      </c>
      <c r="AD194" s="10">
        <f t="shared" si="958"/>
        <v>68840.370999999999</v>
      </c>
      <c r="AE194" s="10">
        <f t="shared" si="958"/>
        <v>88881.035999999993</v>
      </c>
      <c r="AF194" s="10">
        <f t="shared" ref="AF194:AG194" si="959">IFERROR(AF192+AF193,"n/a")</f>
        <v>86812.059000000008</v>
      </c>
      <c r="AG194" s="10">
        <f t="shared" si="959"/>
        <v>97059.531000000003</v>
      </c>
      <c r="AH194" s="10">
        <f t="shared" ref="AH194" si="960">IFERROR(AH192+AH193,"n/a")</f>
        <v>97625.176936621938</v>
      </c>
      <c r="AI194" s="10">
        <f t="shared" ref="AI194:AJ194" si="961">IFERROR(AI192+AI193,"n/a")</f>
        <v>110359.67919911467</v>
      </c>
      <c r="AJ194" s="10">
        <f t="shared" si="961"/>
        <v>96159.524532284457</v>
      </c>
      <c r="AK194" s="10">
        <f t="shared" ref="AK194:AM194" si="962">IFERROR(AK192+AK193,"n/a")</f>
        <v>113181.05121870882</v>
      </c>
      <c r="AL194" s="10">
        <f t="shared" si="962"/>
        <v>116397.22580949147</v>
      </c>
      <c r="AM194" s="10">
        <f t="shared" si="962"/>
        <v>134581.39615546179</v>
      </c>
      <c r="AO194" s="10">
        <f>IFERROR(AO192+AO193,"n/a")</f>
        <v>48.276000000000003</v>
      </c>
      <c r="AP194" s="10">
        <f>IFERROR(AP192+AP193,"n/a")</f>
        <v>1740.6910000000003</v>
      </c>
      <c r="AQ194" s="10">
        <f t="shared" si="948"/>
        <v>13119.99</v>
      </c>
      <c r="AR194" s="10">
        <f t="shared" si="949"/>
        <v>30141.885999999999</v>
      </c>
      <c r="AS194" s="10">
        <f t="shared" si="950"/>
        <v>53741.194000000003</v>
      </c>
      <c r="AT194" s="10">
        <f t="shared" si="951"/>
        <v>86703.850999999995</v>
      </c>
      <c r="AU194" s="10">
        <f t="shared" si="952"/>
        <v>130348.41799999999</v>
      </c>
      <c r="AV194" s="10">
        <f t="shared" si="953"/>
        <v>247639.20499999999</v>
      </c>
      <c r="AW194" s="10">
        <f>+SUM(AF194:AI194)</f>
        <v>391856.44613573665</v>
      </c>
      <c r="AX194" s="10">
        <f t="shared" si="957"/>
        <v>460319.19771594653</v>
      </c>
    </row>
    <row r="195" spans="2:50" ht="12" x14ac:dyDescent="0.35">
      <c r="B195" s="184" t="s">
        <v>223</v>
      </c>
      <c r="H195" s="25">
        <f t="shared" ref="H195:AE195" si="963">+H121</f>
        <v>0</v>
      </c>
      <c r="I195" s="25">
        <f t="shared" si="963"/>
        <v>0</v>
      </c>
      <c r="J195" s="25">
        <f t="shared" si="963"/>
        <v>0</v>
      </c>
      <c r="K195" s="25">
        <f t="shared" si="963"/>
        <v>0</v>
      </c>
      <c r="L195" s="25">
        <f t="shared" si="963"/>
        <v>0</v>
      </c>
      <c r="M195" s="25">
        <f t="shared" si="963"/>
        <v>0</v>
      </c>
      <c r="N195" s="25">
        <f t="shared" si="963"/>
        <v>0</v>
      </c>
      <c r="O195" s="25">
        <f t="shared" si="963"/>
        <v>0</v>
      </c>
      <c r="P195" s="25">
        <f t="shared" si="963"/>
        <v>0</v>
      </c>
      <c r="Q195" s="25">
        <f t="shared" si="963"/>
        <v>0</v>
      </c>
      <c r="R195" s="25">
        <f t="shared" si="963"/>
        <v>392.822</v>
      </c>
      <c r="S195" s="25">
        <f t="shared" si="963"/>
        <v>5357.8490000000002</v>
      </c>
      <c r="T195" s="25">
        <f t="shared" si="963"/>
        <v>5124.1379999999999</v>
      </c>
      <c r="U195" s="25">
        <f t="shared" si="963"/>
        <v>1958.163</v>
      </c>
      <c r="V195" s="25">
        <f t="shared" si="963"/>
        <v>82.114999999999995</v>
      </c>
      <c r="W195" s="25">
        <f t="shared" si="963"/>
        <v>81.67200000000048</v>
      </c>
      <c r="X195" s="25">
        <f t="shared" si="963"/>
        <v>43.856999999999999</v>
      </c>
      <c r="Y195" s="25">
        <f t="shared" si="963"/>
        <v>50.71</v>
      </c>
      <c r="Z195" s="25">
        <f t="shared" si="963"/>
        <v>56.406999999999996</v>
      </c>
      <c r="AA195" s="25">
        <f t="shared" si="963"/>
        <v>58.197000000000003</v>
      </c>
      <c r="AB195" s="25">
        <f t="shared" si="963"/>
        <v>0</v>
      </c>
      <c r="AC195" s="25">
        <f t="shared" si="963"/>
        <v>0</v>
      </c>
      <c r="AD195" s="25">
        <f t="shared" si="963"/>
        <v>0</v>
      </c>
      <c r="AE195" s="25">
        <f t="shared" si="963"/>
        <v>0</v>
      </c>
      <c r="AF195" s="25">
        <f t="shared" ref="AF195:AG195" si="964">+AF121</f>
        <v>0</v>
      </c>
      <c r="AG195" s="25">
        <f t="shared" si="964"/>
        <v>0</v>
      </c>
      <c r="AH195" s="25">
        <f t="shared" ref="AH195:AI195" si="965">+AH144</f>
        <v>0</v>
      </c>
      <c r="AI195" s="25">
        <f t="shared" si="965"/>
        <v>0</v>
      </c>
      <c r="AJ195" s="25">
        <f t="shared" ref="AJ195:AM195" si="966">+AJ144</f>
        <v>0</v>
      </c>
      <c r="AK195" s="25">
        <f t="shared" si="966"/>
        <v>0</v>
      </c>
      <c r="AL195" s="25">
        <f t="shared" si="966"/>
        <v>0</v>
      </c>
      <c r="AM195" s="25">
        <f t="shared" si="966"/>
        <v>0</v>
      </c>
      <c r="AO195" s="25">
        <f>+AO121</f>
        <v>456.58800000000002</v>
      </c>
      <c r="AP195" s="25">
        <f>+AP121</f>
        <v>3.3849999999999998</v>
      </c>
      <c r="AQ195" s="36">
        <f t="shared" si="948"/>
        <v>0</v>
      </c>
      <c r="AR195" s="36">
        <f t="shared" si="949"/>
        <v>0</v>
      </c>
      <c r="AS195" s="36">
        <f t="shared" si="950"/>
        <v>5750.6710000000003</v>
      </c>
      <c r="AT195" s="36">
        <f t="shared" si="951"/>
        <v>7246.0879999999997</v>
      </c>
      <c r="AU195" s="36">
        <f t="shared" si="952"/>
        <v>209.17099999999999</v>
      </c>
      <c r="AV195" s="36">
        <f t="shared" si="953"/>
        <v>0</v>
      </c>
      <c r="AW195" s="25">
        <f>+SUM(AF195:AI195)</f>
        <v>0</v>
      </c>
      <c r="AX195" s="36">
        <f t="shared" si="957"/>
        <v>0</v>
      </c>
    </row>
    <row r="196" spans="2:50" s="1" customFormat="1" ht="10.15" x14ac:dyDescent="0.2">
      <c r="B196" s="38" t="s">
        <v>225</v>
      </c>
      <c r="H196" s="42">
        <f>IFERROR(H194+H195,"n/a")</f>
        <v>1384.6039999999998</v>
      </c>
      <c r="I196" s="42">
        <f t="shared" ref="I196:AE196" si="967">IFERROR(I194+I195,"n/a")</f>
        <v>2709.0460000000003</v>
      </c>
      <c r="J196" s="42">
        <f t="shared" si="967"/>
        <v>3372.4180000000001</v>
      </c>
      <c r="K196" s="42">
        <f t="shared" si="967"/>
        <v>5653.9219999999996</v>
      </c>
      <c r="L196" s="42">
        <f t="shared" si="967"/>
        <v>4545.2039999999997</v>
      </c>
      <c r="M196" s="42">
        <f t="shared" si="967"/>
        <v>7290.0079999999998</v>
      </c>
      <c r="N196" s="42">
        <f t="shared" si="967"/>
        <v>7513.9480000000003</v>
      </c>
      <c r="O196" s="42">
        <f t="shared" si="967"/>
        <v>10792.726000000001</v>
      </c>
      <c r="P196" s="42">
        <f t="shared" si="967"/>
        <v>6541.0590000000002</v>
      </c>
      <c r="Q196" s="42">
        <f t="shared" si="967"/>
        <v>12193.315000000001</v>
      </c>
      <c r="R196" s="42">
        <f t="shared" si="967"/>
        <v>14209.781999999999</v>
      </c>
      <c r="S196" s="42">
        <f t="shared" si="967"/>
        <v>26547.709000000003</v>
      </c>
      <c r="T196" s="42">
        <f t="shared" si="967"/>
        <v>22167.098999999998</v>
      </c>
      <c r="U196" s="42">
        <f t="shared" si="967"/>
        <v>23046.22</v>
      </c>
      <c r="V196" s="42">
        <f t="shared" si="967"/>
        <v>21505.758000000002</v>
      </c>
      <c r="W196" s="42">
        <f t="shared" si="967"/>
        <v>27230.862000000008</v>
      </c>
      <c r="X196" s="42">
        <f t="shared" si="967"/>
        <v>23793.688999999998</v>
      </c>
      <c r="Y196" s="42">
        <f t="shared" si="967"/>
        <v>31439.567999999999</v>
      </c>
      <c r="Z196" s="42">
        <f t="shared" si="967"/>
        <v>35504.303999999996</v>
      </c>
      <c r="AA196" s="42">
        <f t="shared" si="967"/>
        <v>39820.027999999991</v>
      </c>
      <c r="AB196" s="42">
        <f t="shared" si="967"/>
        <v>37637.050000000003</v>
      </c>
      <c r="AC196" s="42">
        <f t="shared" si="967"/>
        <v>52280.748</v>
      </c>
      <c r="AD196" s="42">
        <f t="shared" si="967"/>
        <v>68840.370999999999</v>
      </c>
      <c r="AE196" s="42">
        <f t="shared" si="967"/>
        <v>88881.035999999993</v>
      </c>
      <c r="AF196" s="42">
        <f t="shared" ref="AF196:AG196" si="968">IFERROR(AF194+AF195,"n/a")</f>
        <v>86812.059000000008</v>
      </c>
      <c r="AG196" s="42">
        <f t="shared" si="968"/>
        <v>97059.531000000003</v>
      </c>
      <c r="AH196" s="42">
        <f t="shared" ref="AH196" si="969">IFERROR(AH194+AH195,"n/a")</f>
        <v>97625.176936621938</v>
      </c>
      <c r="AI196" s="42">
        <f t="shared" ref="AI196:AJ196" si="970">IFERROR(AI194+AI195,"n/a")</f>
        <v>110359.67919911467</v>
      </c>
      <c r="AJ196" s="42">
        <f t="shared" si="970"/>
        <v>96159.524532284457</v>
      </c>
      <c r="AK196" s="42">
        <f t="shared" ref="AK196:AM196" si="971">IFERROR(AK194+AK195,"n/a")</f>
        <v>113181.05121870882</v>
      </c>
      <c r="AL196" s="42">
        <f t="shared" si="971"/>
        <v>116397.22580949147</v>
      </c>
      <c r="AM196" s="42">
        <f t="shared" si="971"/>
        <v>134581.39615546179</v>
      </c>
      <c r="AO196" s="42">
        <f>IFERROR(AO194+AO195,"n/a")</f>
        <v>504.86400000000003</v>
      </c>
      <c r="AP196" s="42">
        <f>IFERROR(AP194+AP195,"n/a")</f>
        <v>1744.0760000000002</v>
      </c>
      <c r="AQ196" s="48">
        <f t="shared" si="948"/>
        <v>13119.99</v>
      </c>
      <c r="AR196" s="48">
        <f t="shared" si="949"/>
        <v>30141.885999999999</v>
      </c>
      <c r="AS196" s="48">
        <f t="shared" si="950"/>
        <v>59491.865000000005</v>
      </c>
      <c r="AT196" s="48">
        <f t="shared" si="951"/>
        <v>93949.939000000013</v>
      </c>
      <c r="AU196" s="48">
        <f t="shared" si="952"/>
        <v>130557.58899999998</v>
      </c>
      <c r="AV196" s="48">
        <f t="shared" si="953"/>
        <v>247639.20499999999</v>
      </c>
      <c r="AW196" s="42">
        <f>+SUM(AF196:AI196)</f>
        <v>391856.44613573665</v>
      </c>
      <c r="AX196" s="48">
        <f t="shared" si="957"/>
        <v>460319.19771594653</v>
      </c>
    </row>
    <row r="197" spans="2:50" s="1" customFormat="1" ht="10.15" x14ac:dyDescent="0.2">
      <c r="B197" s="38"/>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c r="AQ197" s="179">
        <f t="shared" si="948"/>
        <v>0</v>
      </c>
      <c r="AR197" s="179">
        <f t="shared" si="949"/>
        <v>0</v>
      </c>
      <c r="AS197" s="179">
        <f t="shared" si="950"/>
        <v>0</v>
      </c>
      <c r="AT197" s="179">
        <f t="shared" si="951"/>
        <v>0</v>
      </c>
      <c r="AU197" s="179">
        <f t="shared" si="952"/>
        <v>0</v>
      </c>
      <c r="AV197" s="179">
        <f t="shared" si="953"/>
        <v>0</v>
      </c>
    </row>
    <row r="198" spans="2:50" s="1" customFormat="1" ht="10.15" x14ac:dyDescent="0.2">
      <c r="B198" s="19" t="s">
        <v>86</v>
      </c>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spans="2:50" s="1" customFormat="1" ht="10.15" x14ac:dyDescent="0.2">
      <c r="B199" s="20" t="s">
        <v>226</v>
      </c>
      <c r="H199" s="42"/>
      <c r="I199" s="42"/>
      <c r="J199" s="42"/>
      <c r="K199" s="42"/>
      <c r="L199" s="173">
        <f t="shared" ref="L199:U203" si="972">+IFERROR(L192/H192-1,"n/a")</f>
        <v>2.5632289504557355</v>
      </c>
      <c r="M199" s="173">
        <f t="shared" si="972"/>
        <v>1.7276271303678858</v>
      </c>
      <c r="N199" s="173">
        <f t="shared" si="972"/>
        <v>1.2565997959077313</v>
      </c>
      <c r="O199" s="173">
        <f t="shared" si="972"/>
        <v>0.91346813691115147</v>
      </c>
      <c r="P199" s="173">
        <f t="shared" si="972"/>
        <v>0.39100661683399962</v>
      </c>
      <c r="Q199" s="173">
        <f t="shared" si="972"/>
        <v>0.7093819723389545</v>
      </c>
      <c r="R199" s="173">
        <f t="shared" si="972"/>
        <v>0.86022792375125801</v>
      </c>
      <c r="S199" s="173">
        <f t="shared" si="972"/>
        <v>0.95339764351096257</v>
      </c>
      <c r="T199" s="173">
        <f t="shared" si="972"/>
        <v>1.5693358119684575</v>
      </c>
      <c r="U199" s="173">
        <f t="shared" si="972"/>
        <v>0.63554164935125335</v>
      </c>
      <c r="V199" s="173">
        <f t="shared" ref="V199:AG203" si="973">+IFERROR(V192/R192-1,"n/a")</f>
        <v>0.43746349571592291</v>
      </c>
      <c r="W199" s="173">
        <f t="shared" si="973"/>
        <v>0.18513004060094174</v>
      </c>
      <c r="X199" s="173">
        <f t="shared" si="973"/>
        <v>0.28678333380339938</v>
      </c>
      <c r="Y199" s="173">
        <f t="shared" si="973"/>
        <v>0.39226037847906059</v>
      </c>
      <c r="Z199" s="173">
        <f t="shared" si="973"/>
        <v>0.58391058622251402</v>
      </c>
      <c r="AA199" s="173">
        <f t="shared" si="973"/>
        <v>0.3808339629505475</v>
      </c>
      <c r="AB199" s="173">
        <f t="shared" si="973"/>
        <v>0.50037384850282995</v>
      </c>
      <c r="AC199" s="173">
        <f t="shared" si="973"/>
        <v>0.50690648354835566</v>
      </c>
      <c r="AD199" s="173">
        <f t="shared" si="973"/>
        <v>0.39619269852979588</v>
      </c>
      <c r="AE199" s="173">
        <f t="shared" si="973"/>
        <v>0.57194570951141555</v>
      </c>
      <c r="AF199" s="173">
        <f t="shared" si="973"/>
        <v>0.55834602644959386</v>
      </c>
      <c r="AG199" s="173">
        <f t="shared" si="973"/>
        <v>0.29481150510490517</v>
      </c>
      <c r="AH199" s="173">
        <f t="shared" ref="AH199:AJ199" si="974">+IFERROR(AH192/AD192-1,"n/a")</f>
        <v>0.21337437024682648</v>
      </c>
      <c r="AI199" s="173">
        <f t="shared" si="974"/>
        <v>0.18139979192123223</v>
      </c>
      <c r="AJ199" s="173">
        <f t="shared" si="974"/>
        <v>0.12422449980655381</v>
      </c>
      <c r="AK199" s="173">
        <f t="shared" ref="AK199:AK203" si="975">+IFERROR(AK192/AG192-1,"n/a")</f>
        <v>0.13585258499999986</v>
      </c>
      <c r="AL199" s="173">
        <f t="shared" ref="AL199:AL203" si="976">+IFERROR(AL192/AH192-1,"n/a")</f>
        <v>0.14780892799999967</v>
      </c>
      <c r="AM199" s="173">
        <f t="shared" ref="AM199:AM203" si="977">+IFERROR(AM192/AI192-1,"n/a")</f>
        <v>0.18124025599999971</v>
      </c>
      <c r="AP199" s="173" t="str">
        <f>+IFERROR(AP192/AO192-1,"n/a")</f>
        <v>n/a</v>
      </c>
      <c r="AQ199" s="173">
        <f t="shared" ref="AQ199:AV199" si="978">+IFERROR(AQ192/AP192-1,"n/a")</f>
        <v>8.5227098881561272</v>
      </c>
      <c r="AR199" s="173">
        <f t="shared" si="978"/>
        <v>1.3284674017580538</v>
      </c>
      <c r="AS199" s="173">
        <f t="shared" si="978"/>
        <v>0.78840982468587506</v>
      </c>
      <c r="AT199" s="173">
        <f t="shared" si="978"/>
        <v>0.51319465354336335</v>
      </c>
      <c r="AU199" s="173">
        <f t="shared" si="978"/>
        <v>0.41561615316768075</v>
      </c>
      <c r="AV199" s="173">
        <f t="shared" si="978"/>
        <v>0.49472037731692042</v>
      </c>
      <c r="AW199" s="173">
        <f t="shared" ref="AW199:AX199" si="979">+IFERROR(AW192/AV192-1,"n/a")</f>
        <v>0.28456932988020567</v>
      </c>
      <c r="AX199" s="173">
        <f t="shared" si="979"/>
        <v>0.14950198921015367</v>
      </c>
    </row>
    <row r="200" spans="2:50" s="1" customFormat="1" ht="12" x14ac:dyDescent="0.35">
      <c r="B200" s="20" t="s">
        <v>227</v>
      </c>
      <c r="H200" s="42"/>
      <c r="I200" s="42"/>
      <c r="J200" s="42"/>
      <c r="K200" s="42"/>
      <c r="L200" s="180">
        <f t="shared" si="972"/>
        <v>1.1583412898185919</v>
      </c>
      <c r="M200" s="180">
        <f t="shared" si="972"/>
        <v>1.4340420119848325</v>
      </c>
      <c r="N200" s="180">
        <f t="shared" si="972"/>
        <v>1.014931968775187</v>
      </c>
      <c r="O200" s="180">
        <f t="shared" si="972"/>
        <v>0.86972904805052553</v>
      </c>
      <c r="P200" s="180">
        <f t="shared" si="972"/>
        <v>0.75738366929740786</v>
      </c>
      <c r="Q200" s="180">
        <f t="shared" si="972"/>
        <v>0.38360502348302128</v>
      </c>
      <c r="R200" s="180">
        <f t="shared" si="972"/>
        <v>0.65998208084058052</v>
      </c>
      <c r="S200" s="180">
        <f t="shared" si="972"/>
        <v>1.0504788761938002</v>
      </c>
      <c r="T200" s="180">
        <f t="shared" si="972"/>
        <v>1.7951046397321102</v>
      </c>
      <c r="U200" s="180">
        <f t="shared" si="972"/>
        <v>1.6414834839107444</v>
      </c>
      <c r="V200" s="180">
        <f t="shared" si="973"/>
        <v>1.6102277265479787</v>
      </c>
      <c r="W200" s="180">
        <f t="shared" si="973"/>
        <v>1.0830813731736848</v>
      </c>
      <c r="X200" s="180">
        <f t="shared" si="973"/>
        <v>0.90736983941531157</v>
      </c>
      <c r="Y200" s="180">
        <f t="shared" si="973"/>
        <v>1.0668069096081378</v>
      </c>
      <c r="Z200" s="180">
        <f t="shared" si="973"/>
        <v>1.0195441837805537</v>
      </c>
      <c r="AA200" s="180">
        <f t="shared" si="973"/>
        <v>0.86203981254771844</v>
      </c>
      <c r="AB200" s="180">
        <f t="shared" si="973"/>
        <v>0.85867778897154134</v>
      </c>
      <c r="AC200" s="180">
        <f t="shared" si="973"/>
        <v>1.3081465916434247</v>
      </c>
      <c r="AD200" s="180">
        <f t="shared" si="973"/>
        <v>3.1514734874225532</v>
      </c>
      <c r="AE200" s="180">
        <f t="shared" si="973"/>
        <v>3.5705488512189003</v>
      </c>
      <c r="AF200" s="180">
        <f t="shared" si="973"/>
        <v>3.2680093112191875</v>
      </c>
      <c r="AG200" s="180">
        <f t="shared" si="973"/>
        <v>2.3415069936632618</v>
      </c>
      <c r="AH200" s="180">
        <f t="shared" ref="AH200:AJ200" si="980">+IFERROR(AH193/AD193-1,"n/a")</f>
        <v>0.69689865827534736</v>
      </c>
      <c r="AI200" s="180">
        <f t="shared" si="980"/>
        <v>0.31460675828012286</v>
      </c>
      <c r="AJ200" s="180">
        <f t="shared" si="980"/>
        <v>9.183372890589947E-2</v>
      </c>
      <c r="AK200" s="180">
        <f t="shared" si="975"/>
        <v>0.1970855348270768</v>
      </c>
      <c r="AL200" s="180">
        <f t="shared" si="976"/>
        <v>0.23558433452163019</v>
      </c>
      <c r="AM200" s="180">
        <f t="shared" si="977"/>
        <v>0.26108426700114928</v>
      </c>
      <c r="AP200" s="180">
        <f t="shared" ref="AP200:AV203" si="981">+IFERROR(AP193/AO193-1,"n/a")</f>
        <v>10.007871406081698</v>
      </c>
      <c r="AQ200" s="180">
        <f t="shared" si="981"/>
        <v>2.0191319041955826</v>
      </c>
      <c r="AR200" s="180">
        <f t="shared" si="981"/>
        <v>1.0744289974850645</v>
      </c>
      <c r="AS200" s="180">
        <f t="shared" si="981"/>
        <v>0.73887889863877221</v>
      </c>
      <c r="AT200" s="180">
        <f t="shared" si="981"/>
        <v>1.4433100097366443</v>
      </c>
      <c r="AU200" s="180">
        <f t="shared" si="981"/>
        <v>0.95372113007161219</v>
      </c>
      <c r="AV200" s="180">
        <f t="shared" si="981"/>
        <v>2.4061018383295401</v>
      </c>
      <c r="AW200" s="180">
        <f t="shared" ref="AW200:AX200" si="982">+IFERROR(AW193/AV193-1,"n/a")</f>
        <v>1.0682863858569451</v>
      </c>
      <c r="AX200" s="180">
        <f t="shared" si="982"/>
        <v>0.20026390010949857</v>
      </c>
    </row>
    <row r="201" spans="2:50" s="1" customFormat="1" ht="10.15" x14ac:dyDescent="0.2">
      <c r="B201" s="30" t="s">
        <v>224</v>
      </c>
      <c r="H201" s="42"/>
      <c r="I201" s="42"/>
      <c r="J201" s="42"/>
      <c r="K201" s="42"/>
      <c r="L201" s="173">
        <f t="shared" si="972"/>
        <v>2.2826743242111105</v>
      </c>
      <c r="M201" s="173">
        <f t="shared" si="972"/>
        <v>1.6909871593173387</v>
      </c>
      <c r="N201" s="173">
        <f t="shared" si="972"/>
        <v>1.228059511009608</v>
      </c>
      <c r="O201" s="173">
        <f t="shared" si="972"/>
        <v>0.90889191608939801</v>
      </c>
      <c r="P201" s="173">
        <f t="shared" si="972"/>
        <v>0.4391123038701894</v>
      </c>
      <c r="Q201" s="173">
        <f t="shared" si="972"/>
        <v>0.67260653211903199</v>
      </c>
      <c r="R201" s="173">
        <f t="shared" si="972"/>
        <v>0.83884157835534645</v>
      </c>
      <c r="S201" s="173">
        <f t="shared" si="972"/>
        <v>0.9633464242490728</v>
      </c>
      <c r="T201" s="173">
        <f t="shared" si="972"/>
        <v>1.6055354339412009</v>
      </c>
      <c r="U201" s="173">
        <f t="shared" si="972"/>
        <v>0.72947693059680652</v>
      </c>
      <c r="V201" s="173">
        <f t="shared" si="973"/>
        <v>0.55053231680485437</v>
      </c>
      <c r="W201" s="173">
        <f t="shared" si="973"/>
        <v>0.28123498692299087</v>
      </c>
      <c r="X201" s="173">
        <f t="shared" si="973"/>
        <v>0.39352733365991965</v>
      </c>
      <c r="Y201" s="173">
        <f t="shared" si="973"/>
        <v>0.48846610192679196</v>
      </c>
      <c r="Z201" s="173">
        <f t="shared" si="973"/>
        <v>0.65461574392366395</v>
      </c>
      <c r="AA201" s="173">
        <f t="shared" si="973"/>
        <v>0.46456785635225151</v>
      </c>
      <c r="AB201" s="173">
        <f t="shared" si="973"/>
        <v>0.58472910461008754</v>
      </c>
      <c r="AC201" s="173">
        <f t="shared" si="973"/>
        <v>0.66558299126397014</v>
      </c>
      <c r="AD201" s="173">
        <f t="shared" si="973"/>
        <v>0.94201565751559269</v>
      </c>
      <c r="AE201" s="173">
        <f t="shared" si="973"/>
        <v>1.2353355910596777</v>
      </c>
      <c r="AF201" s="173">
        <f t="shared" si="973"/>
        <v>1.3065585373986539</v>
      </c>
      <c r="AG201" s="173">
        <f t="shared" si="973"/>
        <v>0.85650616552004966</v>
      </c>
      <c r="AH201" s="173">
        <f t="shared" ref="AH201:AJ201" si="983">+IFERROR(AH194/AD194-1,"n/a")</f>
        <v>0.41813844868183447</v>
      </c>
      <c r="AI201" s="173">
        <f t="shared" si="983"/>
        <v>0.24165608509687808</v>
      </c>
      <c r="AJ201" s="173">
        <f t="shared" si="983"/>
        <v>0.10767473597515353</v>
      </c>
      <c r="AK201" s="173">
        <f t="shared" si="975"/>
        <v>0.16609930063137046</v>
      </c>
      <c r="AL201" s="173">
        <f t="shared" si="976"/>
        <v>0.19228696389514677</v>
      </c>
      <c r="AM201" s="173">
        <f t="shared" si="977"/>
        <v>0.21947976953290582</v>
      </c>
      <c r="AP201" s="173">
        <f t="shared" si="981"/>
        <v>35.057067694092304</v>
      </c>
      <c r="AQ201" s="173">
        <f t="shared" si="981"/>
        <v>6.5372309042788164</v>
      </c>
      <c r="AR201" s="173">
        <f t="shared" si="981"/>
        <v>1.2974015986292673</v>
      </c>
      <c r="AS201" s="173">
        <f t="shared" si="981"/>
        <v>0.78294065606909946</v>
      </c>
      <c r="AT201" s="173">
        <f t="shared" si="981"/>
        <v>0.6133592230942988</v>
      </c>
      <c r="AU201" s="173">
        <f t="shared" si="981"/>
        <v>0.50337518456936814</v>
      </c>
      <c r="AV201" s="173">
        <f t="shared" si="981"/>
        <v>0.89982516703808413</v>
      </c>
      <c r="AW201" s="173">
        <f t="shared" ref="AW201:AX201" si="984">+IFERROR(AW194/AV194-1,"n/a")</f>
        <v>0.58236837392422047</v>
      </c>
      <c r="AX201" s="173">
        <f t="shared" si="984"/>
        <v>0.17471385823903174</v>
      </c>
    </row>
    <row r="202" spans="2:50" s="1" customFormat="1" ht="12" x14ac:dyDescent="0.35">
      <c r="B202" s="20" t="s">
        <v>223</v>
      </c>
      <c r="H202" s="42"/>
      <c r="I202" s="42"/>
      <c r="J202" s="42"/>
      <c r="K202" s="42"/>
      <c r="L202" s="180" t="str">
        <f t="shared" si="972"/>
        <v>n/a</v>
      </c>
      <c r="M202" s="180" t="str">
        <f t="shared" si="972"/>
        <v>n/a</v>
      </c>
      <c r="N202" s="180" t="str">
        <f t="shared" si="972"/>
        <v>n/a</v>
      </c>
      <c r="O202" s="180" t="str">
        <f t="shared" si="972"/>
        <v>n/a</v>
      </c>
      <c r="P202" s="180" t="str">
        <f t="shared" si="972"/>
        <v>n/a</v>
      </c>
      <c r="Q202" s="180" t="str">
        <f t="shared" si="972"/>
        <v>n/a</v>
      </c>
      <c r="R202" s="180" t="str">
        <f t="shared" si="972"/>
        <v>n/a</v>
      </c>
      <c r="S202" s="180" t="str">
        <f t="shared" si="972"/>
        <v>n/a</v>
      </c>
      <c r="T202" s="180" t="str">
        <f t="shared" si="972"/>
        <v>n/a</v>
      </c>
      <c r="U202" s="180" t="str">
        <f t="shared" si="972"/>
        <v>n/a</v>
      </c>
      <c r="V202" s="180">
        <f t="shared" si="973"/>
        <v>-0.79096130053815727</v>
      </c>
      <c r="W202" s="180">
        <f t="shared" si="973"/>
        <v>-0.98475656928741362</v>
      </c>
      <c r="X202" s="180">
        <f t="shared" si="973"/>
        <v>-0.99144109701963534</v>
      </c>
      <c r="Y202" s="180">
        <f t="shared" si="973"/>
        <v>-0.9741032794511999</v>
      </c>
      <c r="Z202" s="180">
        <f t="shared" si="973"/>
        <v>-0.31307312914814589</v>
      </c>
      <c r="AA202" s="180">
        <f t="shared" si="973"/>
        <v>-0.28743020863943991</v>
      </c>
      <c r="AB202" s="180">
        <f t="shared" si="973"/>
        <v>-1</v>
      </c>
      <c r="AC202" s="180">
        <f t="shared" si="973"/>
        <v>-1</v>
      </c>
      <c r="AD202" s="180">
        <f t="shared" si="973"/>
        <v>-1</v>
      </c>
      <c r="AE202" s="180">
        <f t="shared" si="973"/>
        <v>-1</v>
      </c>
      <c r="AF202" s="180" t="str">
        <f t="shared" si="973"/>
        <v>n/a</v>
      </c>
      <c r="AG202" s="180" t="str">
        <f t="shared" si="973"/>
        <v>n/a</v>
      </c>
      <c r="AH202" s="180" t="str">
        <f t="shared" ref="AH202:AJ202" si="985">+IFERROR(AH195/AD195-1,"n/a")</f>
        <v>n/a</v>
      </c>
      <c r="AI202" s="180" t="str">
        <f t="shared" si="985"/>
        <v>n/a</v>
      </c>
      <c r="AJ202" s="180" t="str">
        <f t="shared" si="985"/>
        <v>n/a</v>
      </c>
      <c r="AK202" s="180" t="str">
        <f t="shared" si="975"/>
        <v>n/a</v>
      </c>
      <c r="AL202" s="180" t="str">
        <f t="shared" si="976"/>
        <v>n/a</v>
      </c>
      <c r="AM202" s="180" t="str">
        <f t="shared" si="977"/>
        <v>n/a</v>
      </c>
      <c r="AP202" s="180">
        <f t="shared" si="981"/>
        <v>-0.99258631413878595</v>
      </c>
      <c r="AQ202" s="180">
        <f t="shared" si="981"/>
        <v>-1</v>
      </c>
      <c r="AR202" s="180" t="str">
        <f t="shared" si="981"/>
        <v>n/a</v>
      </c>
      <c r="AS202" s="180" t="str">
        <f t="shared" si="981"/>
        <v>n/a</v>
      </c>
      <c r="AT202" s="180">
        <f t="shared" si="981"/>
        <v>0.26004217594781531</v>
      </c>
      <c r="AU202" s="180">
        <f t="shared" si="981"/>
        <v>-0.97113325148687124</v>
      </c>
      <c r="AV202" s="180">
        <f t="shared" si="981"/>
        <v>-1</v>
      </c>
      <c r="AW202" s="180" t="str">
        <f t="shared" ref="AW202:AX202" si="986">+IFERROR(AW195/AV195-1,"n/a")</f>
        <v>n/a</v>
      </c>
      <c r="AX202" s="180" t="str">
        <f t="shared" si="986"/>
        <v>n/a</v>
      </c>
    </row>
    <row r="203" spans="2:50" s="1" customFormat="1" ht="10.15" x14ac:dyDescent="0.2">
      <c r="B203" s="30" t="s">
        <v>225</v>
      </c>
      <c r="H203" s="42"/>
      <c r="I203" s="42"/>
      <c r="J203" s="42"/>
      <c r="K203" s="42"/>
      <c r="L203" s="173">
        <f t="shared" si="972"/>
        <v>2.2826743242111105</v>
      </c>
      <c r="M203" s="173">
        <f t="shared" si="972"/>
        <v>1.6909871593173387</v>
      </c>
      <c r="N203" s="173">
        <f t="shared" si="972"/>
        <v>1.228059511009608</v>
      </c>
      <c r="O203" s="173">
        <f t="shared" si="972"/>
        <v>0.90889191608939801</v>
      </c>
      <c r="P203" s="173">
        <f t="shared" si="972"/>
        <v>0.4391123038701894</v>
      </c>
      <c r="Q203" s="173">
        <f t="shared" si="972"/>
        <v>0.67260653211903199</v>
      </c>
      <c r="R203" s="173">
        <f t="shared" si="972"/>
        <v>0.89112061994573266</v>
      </c>
      <c r="S203" s="173">
        <f t="shared" si="972"/>
        <v>1.4597779096773142</v>
      </c>
      <c r="T203" s="173">
        <f t="shared" si="972"/>
        <v>2.3889159232472905</v>
      </c>
      <c r="U203" s="173">
        <f t="shared" si="972"/>
        <v>0.89007009168548512</v>
      </c>
      <c r="V203" s="173">
        <f t="shared" si="973"/>
        <v>0.51344742656854292</v>
      </c>
      <c r="W203" s="173">
        <f t="shared" si="973"/>
        <v>2.573303029651286E-2</v>
      </c>
      <c r="X203" s="173">
        <f t="shared" si="973"/>
        <v>7.3378568842048297E-2</v>
      </c>
      <c r="Y203" s="173">
        <f t="shared" si="973"/>
        <v>0.36419629770088102</v>
      </c>
      <c r="Z203" s="173">
        <f t="shared" si="973"/>
        <v>0.6509208371079036</v>
      </c>
      <c r="AA203" s="173">
        <f t="shared" si="973"/>
        <v>0.46231243065313099</v>
      </c>
      <c r="AB203" s="173">
        <f t="shared" si="973"/>
        <v>0.58180810045890752</v>
      </c>
      <c r="AC203" s="173">
        <f t="shared" si="973"/>
        <v>0.66289651308185915</v>
      </c>
      <c r="AD203" s="173">
        <f t="shared" si="973"/>
        <v>0.93893030546381095</v>
      </c>
      <c r="AE203" s="173">
        <f t="shared" si="973"/>
        <v>1.2320686464610224</v>
      </c>
      <c r="AF203" s="173">
        <f t="shared" si="973"/>
        <v>1.3065585373986539</v>
      </c>
      <c r="AG203" s="173">
        <f t="shared" si="973"/>
        <v>0.85650616552004966</v>
      </c>
      <c r="AH203" s="173">
        <f t="shared" ref="AH203:AJ203" si="987">+IFERROR(AH196/AD196-1,"n/a")</f>
        <v>0.41813844868183447</v>
      </c>
      <c r="AI203" s="173">
        <f t="shared" si="987"/>
        <v>0.24165608509687808</v>
      </c>
      <c r="AJ203" s="173">
        <f t="shared" si="987"/>
        <v>0.10767473597515353</v>
      </c>
      <c r="AK203" s="173">
        <f t="shared" si="975"/>
        <v>0.16609930063137046</v>
      </c>
      <c r="AL203" s="173">
        <f t="shared" si="976"/>
        <v>0.19228696389514677</v>
      </c>
      <c r="AM203" s="173">
        <f t="shared" si="977"/>
        <v>0.21947976953290582</v>
      </c>
      <c r="AP203" s="173">
        <f t="shared" si="981"/>
        <v>2.4545461748114348</v>
      </c>
      <c r="AQ203" s="173">
        <f t="shared" si="981"/>
        <v>6.5226022260497807</v>
      </c>
      <c r="AR203" s="173">
        <f t="shared" si="981"/>
        <v>1.2974015986292673</v>
      </c>
      <c r="AS203" s="173">
        <f t="shared" si="981"/>
        <v>0.97372735733921911</v>
      </c>
      <c r="AT203" s="173">
        <f t="shared" si="981"/>
        <v>0.57920648478577719</v>
      </c>
      <c r="AU203" s="173">
        <f t="shared" si="981"/>
        <v>0.38965059892162324</v>
      </c>
      <c r="AV203" s="173">
        <f t="shared" si="981"/>
        <v>0.8967813889394054</v>
      </c>
      <c r="AW203" s="173">
        <f t="shared" ref="AW203:AX203" si="988">+IFERROR(AW196/AV196-1,"n/a")</f>
        <v>0.58236837392422047</v>
      </c>
      <c r="AX203" s="173">
        <f t="shared" si="988"/>
        <v>0.17471385823903174</v>
      </c>
    </row>
    <row r="204" spans="2:50" s="1" customFormat="1" ht="10.15" x14ac:dyDescent="0.2">
      <c r="B204" s="38"/>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c r="AH204" s="42"/>
      <c r="AI204" s="42"/>
      <c r="AJ204" s="42"/>
      <c r="AK204" s="42"/>
      <c r="AL204" s="42"/>
      <c r="AM204" s="42"/>
    </row>
    <row r="205" spans="2:50" s="1" customFormat="1" ht="10.15" x14ac:dyDescent="0.2">
      <c r="B205" s="19" t="s">
        <v>262</v>
      </c>
      <c r="C205"/>
      <c r="D205"/>
      <c r="E205"/>
      <c r="F205"/>
      <c r="G205"/>
      <c r="H205" s="46"/>
      <c r="I205" s="46"/>
      <c r="J205" s="46"/>
      <c r="K205" s="46"/>
      <c r="L205" s="46"/>
      <c r="M205" s="46"/>
      <c r="N205" s="46"/>
      <c r="O205" s="46"/>
      <c r="P205" s="46"/>
      <c r="Q205" s="46"/>
      <c r="R205" s="46"/>
      <c r="S205" s="46"/>
      <c r="T205" s="46"/>
      <c r="U205" s="46"/>
      <c r="V205" s="46"/>
      <c r="W205" s="46"/>
      <c r="X205" s="46"/>
      <c r="Y205" s="46"/>
      <c r="Z205" s="46"/>
      <c r="AA205" s="46"/>
      <c r="AB205" s="46"/>
      <c r="AC205" s="46"/>
      <c r="AD205" s="46"/>
      <c r="AE205" s="46"/>
      <c r="AF205" s="46"/>
      <c r="AG205" s="46"/>
      <c r="AH205" s="46"/>
      <c r="AI205" s="46"/>
      <c r="AJ205" s="46"/>
      <c r="AK205" s="46"/>
      <c r="AL205" s="46"/>
      <c r="AM205" s="46"/>
    </row>
    <row r="206" spans="2:50" s="1" customFormat="1" ht="10.15" x14ac:dyDescent="0.2">
      <c r="B206" s="20" t="s">
        <v>226</v>
      </c>
      <c r="C206"/>
      <c r="D206"/>
      <c r="E206" s="46"/>
      <c r="F206" s="46"/>
      <c r="G206" s="46"/>
      <c r="H206"/>
      <c r="I206" s="46">
        <f>+IFERROR(I192/H192-1,"n/a")</f>
        <v>1.1396552657702377</v>
      </c>
      <c r="J206" s="46">
        <f t="shared" ref="J206:J210" si="989">+IFERROR(J192/I192-1,"n/a")</f>
        <v>0.25440962111421905</v>
      </c>
      <c r="K206" s="46">
        <f t="shared" ref="K206:K210" si="990">+IFERROR(K192/J192-1,"n/a")</f>
        <v>0.70212884711404455</v>
      </c>
      <c r="L206" s="46">
        <f t="shared" ref="L206:L210" si="991">+IFERROR(L192/K192-1,"n/a")</f>
        <v>-0.22004757447981949</v>
      </c>
      <c r="M206" s="46">
        <f t="shared" ref="M206:M210" si="992">+IFERROR(M192/L192-1,"n/a")</f>
        <v>0.6378913153483905</v>
      </c>
      <c r="N206" s="46">
        <f t="shared" ref="N206:N210" si="993">+IFERROR(N192/M192-1,"n/a")</f>
        <v>3.7788656475657545E-2</v>
      </c>
      <c r="O206" s="46">
        <f t="shared" ref="O206:O210" si="994">+IFERROR(O192/N192-1,"n/a")</f>
        <v>0.44330834371980443</v>
      </c>
      <c r="P206" s="46">
        <f t="shared" ref="P206:P210" si="995">+IFERROR(P192/O192-1,"n/a")</f>
        <v>-0.4330091189991554</v>
      </c>
      <c r="Q206" s="46">
        <f t="shared" ref="Q206:Q210" si="996">+IFERROR(Q192/P192-1,"n/a")</f>
        <v>1.012773953210603</v>
      </c>
      <c r="R206" s="46">
        <f t="shared" ref="R206:R210" si="997">+IFERROR(R192/Q192-1,"n/a")</f>
        <v>0.12936925097365837</v>
      </c>
      <c r="S206" s="46">
        <f t="shared" ref="S206:S210" si="998">+IFERROR(S192/R192-1,"n/a")</f>
        <v>0.51559660054805678</v>
      </c>
      <c r="T206" s="46">
        <f t="shared" ref="T206:T210" si="999">+IFERROR(T192/S192-1,"n/a")</f>
        <v>-0.25422763744270871</v>
      </c>
      <c r="U206" s="46">
        <f t="shared" ref="U206:U210" si="1000">+IFERROR(U192/T192-1,"n/a")</f>
        <v>0.28125549640909542</v>
      </c>
      <c r="V206" s="46">
        <f t="shared" ref="V206:V210" si="1001">+IFERROR(V192/U192-1,"n/a")</f>
        <v>-7.4070739179220579E-3</v>
      </c>
      <c r="W206" s="46">
        <f t="shared" ref="W206:W210" si="1002">+IFERROR(W192/V192-1,"n/a")</f>
        <v>0.24954759970971518</v>
      </c>
      <c r="X206" s="46">
        <f t="shared" ref="X206:X210" si="1003">+IFERROR(X192/W192-1,"n/a")</f>
        <v>-0.1902597908468322</v>
      </c>
      <c r="Y206" s="46">
        <f t="shared" ref="Y206:Y210" si="1004">+IFERROR(Y192/X192-1,"n/a")</f>
        <v>0.38627942676746474</v>
      </c>
      <c r="Z206" s="46">
        <f t="shared" ref="Z206:Z210" si="1005">+IFERROR(Z192/Y192-1,"n/a")</f>
        <v>0.12922731102099649</v>
      </c>
      <c r="AA206" s="46">
        <f t="shared" ref="AA206:AA210" si="1006">+IFERROR(AA192/Z192-1,"n/a")</f>
        <v>8.93403826016963E-2</v>
      </c>
      <c r="AB206" s="46">
        <f t="shared" ref="AB206:AB210" si="1007">+IFERROR(AB192/AA192-1,"n/a")</f>
        <v>-0.12015994211308723</v>
      </c>
      <c r="AC206" s="46">
        <f t="shared" ref="AC206:AC210" si="1008">+IFERROR(AC192/AB192-1,"n/a")</f>
        <v>0.39231529414493815</v>
      </c>
      <c r="AD206" s="46">
        <f t="shared" ref="AD206:AD210" si="1009">+IFERROR(AD192/AC192-1,"n/a")</f>
        <v>4.6261957089361427E-2</v>
      </c>
      <c r="AE206" s="46">
        <f t="shared" ref="AE206:AG210" si="1010">+IFERROR(AE192/AD192-1,"n/a")</f>
        <v>0.22646676381520736</v>
      </c>
      <c r="AF206" s="46">
        <f t="shared" si="1010"/>
        <v>-0.12777187543874635</v>
      </c>
      <c r="AG206" s="46">
        <f t="shared" si="1010"/>
        <v>0.15685850959539693</v>
      </c>
      <c r="AH206" s="46">
        <f t="shared" ref="AH206:AH210" si="1011">+IFERROR(AH192/AG192-1,"n/a")</f>
        <v>-1.9542660617878016E-2</v>
      </c>
      <c r="AI206" s="46">
        <f t="shared" ref="AI206:AJ210" si="1012">+IFERROR(AI192/AH192-1,"n/a")</f>
        <v>0.19414717757294131</v>
      </c>
      <c r="AJ206" s="46">
        <f t="shared" si="1012"/>
        <v>-0.16998442546072301</v>
      </c>
      <c r="AK206" s="46">
        <f t="shared" ref="AK206:AK210" si="1013">+IFERROR(AK192/AJ192-1,"n/a")</f>
        <v>0.16882413506313321</v>
      </c>
      <c r="AL206" s="46">
        <f t="shared" ref="AL206:AL210" si="1014">+IFERROR(AL192/AK192-1,"n/a")</f>
        <v>-9.2220570454347728E-3</v>
      </c>
      <c r="AM206" s="46">
        <f t="shared" ref="AM206:AM210" si="1015">+IFERROR(AM192/AL192-1,"n/a")</f>
        <v>0.22892816332749311</v>
      </c>
    </row>
    <row r="207" spans="2:50" s="1" customFormat="1" ht="12" x14ac:dyDescent="0.35">
      <c r="B207" s="20" t="s">
        <v>227</v>
      </c>
      <c r="C207"/>
      <c r="D207"/>
      <c r="E207" s="47"/>
      <c r="F207" s="47"/>
      <c r="G207" s="47"/>
      <c r="H207"/>
      <c r="I207" s="47">
        <f t="shared" ref="I207:I210" si="1016">+IFERROR(I193/H193-1,"n/a")</f>
        <v>0.2227454214043918</v>
      </c>
      <c r="J207" s="47">
        <f t="shared" si="989"/>
        <v>0.17799487716433893</v>
      </c>
      <c r="K207" s="47">
        <f t="shared" si="990"/>
        <v>0.48527266472997144</v>
      </c>
      <c r="L207" s="47">
        <f t="shared" si="991"/>
        <v>8.8683174877945969E-3</v>
      </c>
      <c r="M207" s="47">
        <f t="shared" si="992"/>
        <v>0.37893563900199401</v>
      </c>
      <c r="N207" s="47">
        <f t="shared" si="993"/>
        <v>-2.4840357986961159E-2</v>
      </c>
      <c r="O207" s="47">
        <f t="shared" si="994"/>
        <v>0.37823881329805986</v>
      </c>
      <c r="P207" s="47">
        <f t="shared" si="995"/>
        <v>-5.1750997037142921E-2</v>
      </c>
      <c r="Q207" s="47">
        <f t="shared" si="996"/>
        <v>8.5649258335089407E-2</v>
      </c>
      <c r="R207" s="47">
        <f t="shared" si="997"/>
        <v>0.16994915761840912</v>
      </c>
      <c r="S207" s="47">
        <f t="shared" si="998"/>
        <v>0.70245787929652215</v>
      </c>
      <c r="T207" s="47">
        <f t="shared" si="999"/>
        <v>0.29260301999439986</v>
      </c>
      <c r="U207" s="47">
        <f t="shared" si="1000"/>
        <v>2.5981118720098229E-2</v>
      </c>
      <c r="V207" s="47">
        <f t="shared" si="1001"/>
        <v>0.15610555525631753</v>
      </c>
      <c r="W207" s="47">
        <f t="shared" si="1002"/>
        <v>0.35863942479279776</v>
      </c>
      <c r="X207" s="47">
        <f t="shared" si="1003"/>
        <v>0.18356970900190439</v>
      </c>
      <c r="Y207" s="47">
        <f t="shared" si="1004"/>
        <v>0.11174289405153304</v>
      </c>
      <c r="Z207" s="47">
        <f t="shared" si="1005"/>
        <v>0.12966830094300263</v>
      </c>
      <c r="AA207" s="47">
        <f t="shared" si="1006"/>
        <v>0.25267905509514565</v>
      </c>
      <c r="AB207" s="47">
        <f t="shared" si="1007"/>
        <v>0.18143270353139895</v>
      </c>
      <c r="AC207" s="47">
        <f t="shared" si="1008"/>
        <v>0.38058655831289578</v>
      </c>
      <c r="AD207" s="47">
        <f t="shared" si="1009"/>
        <v>1.0318414861195531</v>
      </c>
      <c r="AE207" s="47">
        <f t="shared" si="1010"/>
        <v>0.37913221258838758</v>
      </c>
      <c r="AF207" s="47">
        <f t="shared" si="1010"/>
        <v>0.10322981842894907</v>
      </c>
      <c r="AG207" s="47">
        <f t="shared" si="1010"/>
        <v>8.0887904305491753E-2</v>
      </c>
      <c r="AH207" s="47">
        <f t="shared" si="1011"/>
        <v>3.181860704251771E-2</v>
      </c>
      <c r="AI207" s="47">
        <f t="shared" si="1012"/>
        <v>6.8429465948887769E-2</v>
      </c>
      <c r="AJ207" s="47">
        <f t="shared" si="1012"/>
        <v>-8.3723312002943584E-2</v>
      </c>
      <c r="AK207" s="47">
        <f t="shared" si="1013"/>
        <v>0.18508454241495143</v>
      </c>
      <c r="AL207" s="47">
        <f t="shared" si="1014"/>
        <v>6.5002349321536368E-2</v>
      </c>
      <c r="AM207" s="47">
        <f t="shared" si="1015"/>
        <v>9.0479663964204482E-2</v>
      </c>
    </row>
    <row r="208" spans="2:50" s="1" customFormat="1" ht="10.15" x14ac:dyDescent="0.2">
      <c r="B208" s="30" t="s">
        <v>224</v>
      </c>
      <c r="C208"/>
      <c r="D208"/>
      <c r="E208" s="46"/>
      <c r="F208" s="46"/>
      <c r="G208" s="46"/>
      <c r="H208"/>
      <c r="I208" s="46">
        <f t="shared" si="1016"/>
        <v>0.95654930940543337</v>
      </c>
      <c r="J208" s="46">
        <f t="shared" si="989"/>
        <v>0.24487291836314329</v>
      </c>
      <c r="K208" s="46">
        <f t="shared" si="990"/>
        <v>0.67651874708295345</v>
      </c>
      <c r="L208" s="46">
        <f t="shared" si="991"/>
        <v>-0.19609715167630537</v>
      </c>
      <c r="M208" s="46">
        <f t="shared" si="992"/>
        <v>0.60389016642597348</v>
      </c>
      <c r="N208" s="46">
        <f t="shared" si="993"/>
        <v>3.071875915636868E-2</v>
      </c>
      <c r="O208" s="46">
        <f t="shared" si="994"/>
        <v>0.43635888882914808</v>
      </c>
      <c r="P208" s="46">
        <f t="shared" si="995"/>
        <v>-0.39393819503988148</v>
      </c>
      <c r="Q208" s="46">
        <f t="shared" si="996"/>
        <v>0.86411940329539916</v>
      </c>
      <c r="R208" s="46">
        <f t="shared" si="997"/>
        <v>0.13315862011274193</v>
      </c>
      <c r="S208" s="46">
        <f t="shared" si="998"/>
        <v>0.53361231414146104</v>
      </c>
      <c r="T208" s="46">
        <f t="shared" si="999"/>
        <v>-0.19570204805506031</v>
      </c>
      <c r="U208" s="46">
        <f t="shared" si="1000"/>
        <v>0.23734701968748273</v>
      </c>
      <c r="V208" s="46">
        <f t="shared" si="1001"/>
        <v>1.5913557138051981E-2</v>
      </c>
      <c r="W208" s="46">
        <f t="shared" si="1002"/>
        <v>0.26725365989341809</v>
      </c>
      <c r="X208" s="46">
        <f t="shared" si="1003"/>
        <v>-0.12521029172509412</v>
      </c>
      <c r="Y208" s="46">
        <f t="shared" si="1004"/>
        <v>0.32164547521851961</v>
      </c>
      <c r="Z208" s="46">
        <f t="shared" si="1005"/>
        <v>0.1293146440689239</v>
      </c>
      <c r="AA208" s="46">
        <f t="shared" si="1006"/>
        <v>0.1216978823877759</v>
      </c>
      <c r="AB208" s="46">
        <f t="shared" si="1007"/>
        <v>-5.3437705119766421E-2</v>
      </c>
      <c r="AC208" s="46">
        <f t="shared" si="1008"/>
        <v>0.38907666780472949</v>
      </c>
      <c r="AD208" s="46">
        <f t="shared" si="1009"/>
        <v>0.31674418659809533</v>
      </c>
      <c r="AE208" s="46">
        <f t="shared" si="1010"/>
        <v>0.29111791102927076</v>
      </c>
      <c r="AF208" s="46">
        <f t="shared" si="1010"/>
        <v>-2.3278047749128228E-2</v>
      </c>
      <c r="AG208" s="46">
        <f t="shared" si="1010"/>
        <v>0.11804203376860345</v>
      </c>
      <c r="AH208" s="46">
        <f t="shared" si="1011"/>
        <v>5.8278247462573152E-3</v>
      </c>
      <c r="AI208" s="46">
        <f t="shared" si="1012"/>
        <v>0.13044280852632872</v>
      </c>
      <c r="AJ208" s="46">
        <f t="shared" si="1012"/>
        <v>-0.12867158340692364</v>
      </c>
      <c r="AK208" s="46">
        <f t="shared" si="1013"/>
        <v>0.17701342398702868</v>
      </c>
      <c r="AL208" s="46">
        <f t="shared" si="1014"/>
        <v>2.8416192959436204E-2</v>
      </c>
      <c r="AM208" s="46">
        <f t="shared" si="1015"/>
        <v>0.15622511807740613</v>
      </c>
    </row>
    <row r="209" spans="2:51" s="1" customFormat="1" ht="12" x14ac:dyDescent="0.35">
      <c r="B209" s="20" t="s">
        <v>223</v>
      </c>
      <c r="C209"/>
      <c r="D209"/>
      <c r="E209" s="47"/>
      <c r="F209" s="47"/>
      <c r="G209" s="47"/>
      <c r="H209"/>
      <c r="I209" s="47" t="str">
        <f t="shared" si="1016"/>
        <v>n/a</v>
      </c>
      <c r="J209" s="47" t="str">
        <f t="shared" si="989"/>
        <v>n/a</v>
      </c>
      <c r="K209" s="47" t="str">
        <f t="shared" si="990"/>
        <v>n/a</v>
      </c>
      <c r="L209" s="47" t="str">
        <f t="shared" si="991"/>
        <v>n/a</v>
      </c>
      <c r="M209" s="47" t="str">
        <f t="shared" si="992"/>
        <v>n/a</v>
      </c>
      <c r="N209" s="47" t="str">
        <f t="shared" si="993"/>
        <v>n/a</v>
      </c>
      <c r="O209" s="47" t="str">
        <f t="shared" si="994"/>
        <v>n/a</v>
      </c>
      <c r="P209" s="47" t="str">
        <f t="shared" si="995"/>
        <v>n/a</v>
      </c>
      <c r="Q209" s="47" t="str">
        <f t="shared" si="996"/>
        <v>n/a</v>
      </c>
      <c r="R209" s="47" t="str">
        <f t="shared" si="997"/>
        <v>n/a</v>
      </c>
      <c r="S209" s="47">
        <f t="shared" si="998"/>
        <v>12.63938119555422</v>
      </c>
      <c r="T209" s="47">
        <f t="shared" si="999"/>
        <v>-4.3620303595715448E-2</v>
      </c>
      <c r="U209" s="47">
        <f t="shared" si="1000"/>
        <v>-0.61785513973277073</v>
      </c>
      <c r="V209" s="47">
        <f t="shared" si="1001"/>
        <v>-0.95806528874256125</v>
      </c>
      <c r="W209" s="47">
        <f t="shared" si="1002"/>
        <v>-5.3948730438959647E-3</v>
      </c>
      <c r="X209" s="47">
        <f t="shared" si="1003"/>
        <v>-0.46301057890097286</v>
      </c>
      <c r="Y209" s="47">
        <f t="shared" si="1004"/>
        <v>0.15625783797341364</v>
      </c>
      <c r="Z209" s="47">
        <f t="shared" si="1005"/>
        <v>0.11234470518635375</v>
      </c>
      <c r="AA209" s="47">
        <f t="shared" si="1006"/>
        <v>3.1733650078890951E-2</v>
      </c>
      <c r="AB209" s="47">
        <f t="shared" si="1007"/>
        <v>-1</v>
      </c>
      <c r="AC209" s="47" t="str">
        <f t="shared" si="1008"/>
        <v>n/a</v>
      </c>
      <c r="AD209" s="47" t="str">
        <f t="shared" si="1009"/>
        <v>n/a</v>
      </c>
      <c r="AE209" s="47" t="str">
        <f t="shared" si="1010"/>
        <v>n/a</v>
      </c>
      <c r="AF209" s="47" t="str">
        <f t="shared" si="1010"/>
        <v>n/a</v>
      </c>
      <c r="AG209" s="47" t="str">
        <f t="shared" si="1010"/>
        <v>n/a</v>
      </c>
      <c r="AH209" s="47" t="str">
        <f t="shared" si="1011"/>
        <v>n/a</v>
      </c>
      <c r="AI209" s="47" t="str">
        <f t="shared" si="1012"/>
        <v>n/a</v>
      </c>
      <c r="AJ209" s="47" t="str">
        <f t="shared" si="1012"/>
        <v>n/a</v>
      </c>
      <c r="AK209" s="47" t="str">
        <f t="shared" si="1013"/>
        <v>n/a</v>
      </c>
      <c r="AL209" s="47" t="str">
        <f t="shared" si="1014"/>
        <v>n/a</v>
      </c>
      <c r="AM209" s="47" t="str">
        <f t="shared" si="1015"/>
        <v>n/a</v>
      </c>
    </row>
    <row r="210" spans="2:51" s="1" customFormat="1" ht="10.15" x14ac:dyDescent="0.2">
      <c r="B210" s="30" t="s">
        <v>225</v>
      </c>
      <c r="C210"/>
      <c r="D210"/>
      <c r="E210" s="46"/>
      <c r="F210" s="46"/>
      <c r="G210" s="46"/>
      <c r="H210"/>
      <c r="I210" s="46">
        <f t="shared" si="1016"/>
        <v>0.95654930940543337</v>
      </c>
      <c r="J210" s="46">
        <f t="shared" si="989"/>
        <v>0.24487291836314329</v>
      </c>
      <c r="K210" s="46">
        <f t="shared" si="990"/>
        <v>0.67651874708295345</v>
      </c>
      <c r="L210" s="46">
        <f t="shared" si="991"/>
        <v>-0.19609715167630537</v>
      </c>
      <c r="M210" s="46">
        <f t="shared" si="992"/>
        <v>0.60389016642597348</v>
      </c>
      <c r="N210" s="46">
        <f t="shared" si="993"/>
        <v>3.071875915636868E-2</v>
      </c>
      <c r="O210" s="46">
        <f t="shared" si="994"/>
        <v>0.43635888882914808</v>
      </c>
      <c r="P210" s="46">
        <f t="shared" si="995"/>
        <v>-0.39393819503988148</v>
      </c>
      <c r="Q210" s="46">
        <f t="shared" si="996"/>
        <v>0.86411940329539916</v>
      </c>
      <c r="R210" s="46">
        <f t="shared" si="997"/>
        <v>0.16537479758375784</v>
      </c>
      <c r="S210" s="46">
        <f t="shared" si="998"/>
        <v>0.86826997064416633</v>
      </c>
      <c r="T210" s="46">
        <f t="shared" si="999"/>
        <v>-0.16500896555706568</v>
      </c>
      <c r="U210" s="46">
        <f t="shared" si="1000"/>
        <v>3.9658820488869706E-2</v>
      </c>
      <c r="V210" s="46">
        <f t="shared" si="1001"/>
        <v>-6.6842284765137205E-2</v>
      </c>
      <c r="W210" s="46">
        <f t="shared" si="1002"/>
        <v>0.26621261152478359</v>
      </c>
      <c r="X210" s="46">
        <f t="shared" si="1003"/>
        <v>-0.12622343721620011</v>
      </c>
      <c r="Y210" s="46">
        <f t="shared" si="1004"/>
        <v>0.32134062944169783</v>
      </c>
      <c r="Z210" s="46">
        <f t="shared" si="1005"/>
        <v>0.12928727264954776</v>
      </c>
      <c r="AA210" s="46">
        <f t="shared" si="1006"/>
        <v>0.12155495288683871</v>
      </c>
      <c r="AB210" s="46">
        <f t="shared" si="1007"/>
        <v>-5.4821106604947323E-2</v>
      </c>
      <c r="AC210" s="46">
        <f t="shared" si="1008"/>
        <v>0.38907666780472949</v>
      </c>
      <c r="AD210" s="46">
        <f t="shared" si="1009"/>
        <v>0.31674418659809533</v>
      </c>
      <c r="AE210" s="46">
        <f t="shared" si="1010"/>
        <v>0.29111791102927076</v>
      </c>
      <c r="AF210" s="46">
        <f t="shared" si="1010"/>
        <v>-2.3278047749128228E-2</v>
      </c>
      <c r="AG210" s="46">
        <f t="shared" si="1010"/>
        <v>0.11804203376860345</v>
      </c>
      <c r="AH210" s="46">
        <f t="shared" si="1011"/>
        <v>5.8278247462573152E-3</v>
      </c>
      <c r="AI210" s="46">
        <f t="shared" si="1012"/>
        <v>0.13044280852632872</v>
      </c>
      <c r="AJ210" s="46">
        <f t="shared" si="1012"/>
        <v>-0.12867158340692364</v>
      </c>
      <c r="AK210" s="46">
        <f t="shared" si="1013"/>
        <v>0.17701342398702868</v>
      </c>
      <c r="AL210" s="46">
        <f t="shared" si="1014"/>
        <v>2.8416192959436204E-2</v>
      </c>
      <c r="AM210" s="46">
        <f t="shared" si="1015"/>
        <v>0.15622511807740613</v>
      </c>
    </row>
    <row r="211" spans="2:51" s="1" customFormat="1" ht="10.15" x14ac:dyDescent="0.2">
      <c r="B211" s="30"/>
      <c r="C211"/>
      <c r="D211"/>
      <c r="E211" s="46"/>
      <c r="F211" s="46"/>
      <c r="G211" s="46"/>
      <c r="H211"/>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row>
    <row r="212" spans="2:51" ht="10.15" x14ac:dyDescent="0.2">
      <c r="B212" s="6" t="s">
        <v>382</v>
      </c>
      <c r="C212" s="5"/>
      <c r="I212" s="46"/>
      <c r="J212" s="46"/>
      <c r="K212" s="46"/>
      <c r="L212" s="46"/>
      <c r="M212" s="46"/>
      <c r="N212" s="46"/>
      <c r="O212" s="46"/>
      <c r="P212" s="46"/>
      <c r="Q212" s="46"/>
      <c r="R212" s="46"/>
      <c r="S212" s="46"/>
      <c r="T212" s="46"/>
      <c r="U212" s="46"/>
      <c r="V212" s="46"/>
      <c r="W212" s="46"/>
      <c r="X212" s="46"/>
      <c r="Y212" s="46"/>
      <c r="Z212" s="46"/>
      <c r="AA212" s="46"/>
      <c r="AB212" s="46"/>
      <c r="AC212" s="46"/>
      <c r="AD212" s="46"/>
      <c r="AE212" s="46"/>
      <c r="AF212" s="46"/>
      <c r="AG212" s="46"/>
      <c r="AH212" s="46"/>
      <c r="AI212" s="46"/>
      <c r="AJ212" s="46"/>
      <c r="AK212" s="46"/>
      <c r="AL212" s="46"/>
      <c r="AM212" s="46"/>
      <c r="AP212" s="46"/>
      <c r="AQ212" s="46"/>
      <c r="AR212" s="46"/>
      <c r="AS212" s="46"/>
      <c r="AT212" s="46"/>
      <c r="AU212" s="46"/>
      <c r="AV212" s="46"/>
      <c r="AW212" s="46"/>
      <c r="AX212" s="46"/>
    </row>
    <row r="214" spans="2:51" ht="10.15" x14ac:dyDescent="0.2">
      <c r="B214" s="24" t="s">
        <v>363</v>
      </c>
      <c r="AT214" s="33"/>
    </row>
    <row r="215" spans="2:51" ht="10.15" x14ac:dyDescent="0.2">
      <c r="B215" t="s">
        <v>370</v>
      </c>
      <c r="D215" s="14">
        <f>+IFERROR(D217-D216,"n/a")</f>
        <v>8.7059999999999995</v>
      </c>
      <c r="E215" s="14">
        <f t="shared" ref="E215:S215" si="1017">+IFERROR(E217-E216,"n/a")</f>
        <v>19.099</v>
      </c>
      <c r="F215" s="14">
        <f t="shared" si="1017"/>
        <v>35.594000000000001</v>
      </c>
      <c r="G215" s="14">
        <f t="shared" si="1017"/>
        <v>77.849999999999994</v>
      </c>
      <c r="H215" s="14">
        <f t="shared" si="1017"/>
        <v>66.2</v>
      </c>
      <c r="I215" s="14">
        <f t="shared" si="1017"/>
        <v>82.456000000000017</v>
      </c>
      <c r="J215" s="14">
        <f t="shared" si="1017"/>
        <v>118.29399999999998</v>
      </c>
      <c r="K215" s="14">
        <f t="shared" si="1017"/>
        <v>204.65000000000003</v>
      </c>
      <c r="L215" s="14">
        <f t="shared" si="1017"/>
        <v>151.99999999999994</v>
      </c>
      <c r="M215" s="14">
        <f t="shared" si="1017"/>
        <v>234.15600000000006</v>
      </c>
      <c r="N215" s="14">
        <f t="shared" si="1017"/>
        <v>249.39400000000001</v>
      </c>
      <c r="O215" s="14">
        <f t="shared" si="1017"/>
        <v>371.05000000000007</v>
      </c>
      <c r="P215" s="14">
        <f t="shared" si="1017"/>
        <v>302.59999999999991</v>
      </c>
      <c r="Q215" s="14">
        <f t="shared" si="1017"/>
        <v>345.65600000000006</v>
      </c>
      <c r="R215" s="14">
        <f t="shared" si="1017"/>
        <v>438.29399999999987</v>
      </c>
      <c r="S215" s="14">
        <f t="shared" si="1017"/>
        <v>576.25882352941198</v>
      </c>
      <c r="T215" s="58">
        <f>499.27*0.99592</f>
        <v>497.23297839999998</v>
      </c>
      <c r="U215" s="58">
        <f>570.352*0.99592</f>
        <v>568.02496383999994</v>
      </c>
      <c r="V215" s="58">
        <f>594.932*0.99592</f>
        <v>592.50467744000002</v>
      </c>
      <c r="W215" s="58">
        <f>701.622*0.995592</f>
        <v>698.52925022399995</v>
      </c>
      <c r="X215" s="58">
        <v>594.62599999999998</v>
      </c>
      <c r="Y215" s="58">
        <v>654.22400000000005</v>
      </c>
      <c r="Z215" s="58">
        <v>737.71500000000003</v>
      </c>
      <c r="AA215" s="58">
        <v>827.91300000000001</v>
      </c>
      <c r="AB215" s="58">
        <v>743.28200000000004</v>
      </c>
      <c r="AC215" s="58">
        <v>850.49199999999996</v>
      </c>
      <c r="AD215" s="58">
        <v>892.63599999999997</v>
      </c>
      <c r="AE215" s="58">
        <v>1034.8920000000001</v>
      </c>
      <c r="AF215" s="58">
        <v>899.37199999999996</v>
      </c>
      <c r="AG215" s="58">
        <v>1020.59</v>
      </c>
      <c r="AH215" s="14">
        <f t="shared" ref="AH215:AJ215" si="1018">+AD215*(1+AH223)</f>
        <v>1053.3104799999999</v>
      </c>
      <c r="AI215" s="14">
        <f t="shared" si="1018"/>
        <v>1221.17256</v>
      </c>
      <c r="AJ215" s="14">
        <f t="shared" si="1018"/>
        <v>1034.2777999999998</v>
      </c>
      <c r="AK215" s="14">
        <f t="shared" ref="AK215:AK216" si="1019">+AG215*(1+AK223)</f>
        <v>1173.6785</v>
      </c>
      <c r="AL215" s="14">
        <f t="shared" ref="AL215:AL216" si="1020">+AH215*(1+AL223)</f>
        <v>1211.3070519999997</v>
      </c>
      <c r="AM215" s="14">
        <f t="shared" ref="AM215:AM216" si="1021">+AI215*(1+AM223)</f>
        <v>1404.348444</v>
      </c>
      <c r="AO215" s="17" t="str">
        <f>+IFERROR(AO217-AO216,"n/a")</f>
        <v>n/a</v>
      </c>
      <c r="AP215" s="14">
        <f t="shared" ref="AP215:AP220" si="1022">+SUM(D215:G215)</f>
        <v>141.249</v>
      </c>
      <c r="AQ215" s="14">
        <f t="shared" ref="AQ215:AQ220" si="1023">+SUM(H215:K215)</f>
        <v>471.6</v>
      </c>
      <c r="AR215" s="14">
        <f t="shared" ref="AR215:AR220" si="1024">+SUM(L215:O215)</f>
        <v>1006.6</v>
      </c>
      <c r="AS215" s="14">
        <f t="shared" ref="AS215:AS220" si="1025">+SUM(P215:S215)</f>
        <v>1662.8088235294117</v>
      </c>
      <c r="AT215" s="14">
        <f t="shared" ref="AT215:AT220" si="1026">+SUM(T215:W215)</f>
        <v>2356.2918699040001</v>
      </c>
      <c r="AU215" s="14">
        <f t="shared" ref="AU215:AU220" si="1027">+SUM(X215:AA215)</f>
        <v>2814.4780000000001</v>
      </c>
      <c r="AV215" s="14">
        <f t="shared" ref="AV215:AV220" si="1028">+SUM(AB215:AE215)</f>
        <v>3521.3019999999997</v>
      </c>
      <c r="AW215" s="14">
        <f t="shared" ref="AW215:AW220" si="1029">+SUM(AF215:AI215)</f>
        <v>4194.4450399999996</v>
      </c>
      <c r="AX215" s="14">
        <f>+SUM(AJ215:AM215)</f>
        <v>4823.6117959999992</v>
      </c>
      <c r="AY215">
        <f>+AX217*0.65*0.4*0.4%</f>
        <v>5.2408139274355818</v>
      </c>
    </row>
    <row r="216" spans="2:51" ht="12" x14ac:dyDescent="0.35">
      <c r="B216" t="s">
        <v>371</v>
      </c>
      <c r="D216" s="13">
        <v>0</v>
      </c>
      <c r="E216" s="13">
        <v>0</v>
      </c>
      <c r="F216" s="13">
        <v>0</v>
      </c>
      <c r="G216" s="13">
        <v>0</v>
      </c>
      <c r="H216" s="13">
        <v>0</v>
      </c>
      <c r="I216" s="13">
        <v>0</v>
      </c>
      <c r="J216" s="13">
        <v>0</v>
      </c>
      <c r="K216" s="13">
        <v>0</v>
      </c>
      <c r="L216" s="13">
        <v>0</v>
      </c>
      <c r="M216" s="13">
        <v>0</v>
      </c>
      <c r="N216" s="13">
        <v>0</v>
      </c>
      <c r="O216" s="13">
        <v>0</v>
      </c>
      <c r="P216" s="13">
        <v>0</v>
      </c>
      <c r="Q216" s="13">
        <v>0</v>
      </c>
      <c r="R216" s="13">
        <v>0</v>
      </c>
      <c r="S216" s="36">
        <f>+IFERROR(S238/S260,"n/a")</f>
        <v>4.7911764705882351</v>
      </c>
      <c r="T216" s="36">
        <f t="shared" ref="T216:AE216" si="1030">+IFERROR(T238/T260,"n/a")</f>
        <v>13.154721660651038</v>
      </c>
      <c r="U216" s="36">
        <f t="shared" si="1030"/>
        <v>17.720725899279639</v>
      </c>
      <c r="V216" s="36">
        <f t="shared" si="1030"/>
        <v>25.230578755203197</v>
      </c>
      <c r="W216" s="36">
        <f t="shared" si="1030"/>
        <v>29.32651053613148</v>
      </c>
      <c r="X216" s="36">
        <f t="shared" si="1030"/>
        <v>31.402547274132523</v>
      </c>
      <c r="Y216" s="36">
        <f t="shared" si="1030"/>
        <v>37.514407824075207</v>
      </c>
      <c r="Z216" s="36">
        <f t="shared" si="1030"/>
        <v>39.973702104132464</v>
      </c>
      <c r="AA216" s="36">
        <f t="shared" si="1030"/>
        <v>40.429098876092965</v>
      </c>
      <c r="AB216" s="36">
        <f t="shared" si="1030"/>
        <v>39.843203714542859</v>
      </c>
      <c r="AC216" s="36">
        <f t="shared" si="1030"/>
        <v>44.877475102358147</v>
      </c>
      <c r="AD216" s="36">
        <f t="shared" si="1030"/>
        <v>47.813949097516208</v>
      </c>
      <c r="AE216" s="36">
        <f t="shared" si="1030"/>
        <v>47.478640883581619</v>
      </c>
      <c r="AF216" s="36">
        <f t="shared" ref="AF216:AG216" si="1031">+IFERROR(AF238/AF260,"n/a")</f>
        <v>44.148750214791868</v>
      </c>
      <c r="AG216" s="36">
        <f t="shared" si="1031"/>
        <v>47.058823529411768</v>
      </c>
      <c r="AH216" s="15">
        <f t="shared" ref="AH216" si="1032">+AD216*(1+AH224)</f>
        <v>52.595344007267833</v>
      </c>
      <c r="AI216" s="15">
        <f t="shared" ref="AI216:AJ216" si="1033">+AE216*(1+AI224)</f>
        <v>52.226504971939782</v>
      </c>
      <c r="AJ216" s="15">
        <f t="shared" si="1033"/>
        <v>48.563625236271058</v>
      </c>
      <c r="AK216" s="15">
        <f t="shared" si="1019"/>
        <v>51.764705882352949</v>
      </c>
      <c r="AL216" s="15">
        <f t="shared" si="1020"/>
        <v>57.854878407994619</v>
      </c>
      <c r="AM216" s="15">
        <f t="shared" si="1021"/>
        <v>57.449155469133764</v>
      </c>
      <c r="AO216" s="23">
        <v>0</v>
      </c>
      <c r="AP216" s="36">
        <f t="shared" si="1022"/>
        <v>0</v>
      </c>
      <c r="AQ216" s="36">
        <f t="shared" si="1023"/>
        <v>0</v>
      </c>
      <c r="AR216" s="36">
        <f t="shared" si="1024"/>
        <v>0</v>
      </c>
      <c r="AS216" s="36">
        <f t="shared" si="1025"/>
        <v>4.7911764705882351</v>
      </c>
      <c r="AT216" s="36">
        <f t="shared" si="1026"/>
        <v>85.432536851265354</v>
      </c>
      <c r="AU216" s="36">
        <f t="shared" si="1027"/>
        <v>149.31975607843316</v>
      </c>
      <c r="AV216" s="36">
        <f t="shared" si="1028"/>
        <v>180.01326879799882</v>
      </c>
      <c r="AW216" s="36">
        <f t="shared" si="1029"/>
        <v>196.02942272341127</v>
      </c>
      <c r="AX216" s="36">
        <f t="shared" ref="AX216:AX220" si="1034">+SUM(AJ216:AM216)</f>
        <v>215.63236499575237</v>
      </c>
    </row>
    <row r="217" spans="2:51" ht="10.15" x14ac:dyDescent="0.2">
      <c r="B217" s="4" t="s">
        <v>351</v>
      </c>
      <c r="D217" s="14">
        <f>+IFERROR(D219-D218,"n/a")</f>
        <v>8.7059999999999995</v>
      </c>
      <c r="E217" s="14">
        <f t="shared" ref="E217:S217" si="1035">+IFERROR(E219-E218,"n/a")</f>
        <v>19.099</v>
      </c>
      <c r="F217" s="14">
        <f t="shared" si="1035"/>
        <v>35.594000000000001</v>
      </c>
      <c r="G217" s="14">
        <f t="shared" si="1035"/>
        <v>77.849999999999994</v>
      </c>
      <c r="H217" s="14">
        <f t="shared" si="1035"/>
        <v>66.2</v>
      </c>
      <c r="I217" s="14">
        <f t="shared" si="1035"/>
        <v>82.456000000000017</v>
      </c>
      <c r="J217" s="14">
        <f t="shared" si="1035"/>
        <v>118.29399999999998</v>
      </c>
      <c r="K217" s="14">
        <f t="shared" si="1035"/>
        <v>204.65000000000003</v>
      </c>
      <c r="L217" s="14">
        <f t="shared" si="1035"/>
        <v>151.99999999999994</v>
      </c>
      <c r="M217" s="14">
        <f t="shared" si="1035"/>
        <v>234.15600000000006</v>
      </c>
      <c r="N217" s="14">
        <f t="shared" si="1035"/>
        <v>249.39400000000001</v>
      </c>
      <c r="O217" s="14">
        <f t="shared" si="1035"/>
        <v>371.05000000000007</v>
      </c>
      <c r="P217" s="14">
        <f t="shared" si="1035"/>
        <v>302.59999999999991</v>
      </c>
      <c r="Q217" s="14">
        <f t="shared" si="1035"/>
        <v>345.65600000000006</v>
      </c>
      <c r="R217" s="14">
        <f t="shared" si="1035"/>
        <v>438.29399999999987</v>
      </c>
      <c r="S217" s="14">
        <f t="shared" si="1035"/>
        <v>581.05000000000018</v>
      </c>
      <c r="T217" s="10">
        <f>+IFERROR(T215+T216,"n/a")</f>
        <v>510.38770006065101</v>
      </c>
      <c r="U217" s="10">
        <f t="shared" ref="U217:AE217" si="1036">+IFERROR(U215+U216,"n/a")</f>
        <v>585.74568973927956</v>
      </c>
      <c r="V217" s="10">
        <f t="shared" si="1036"/>
        <v>617.73525619520319</v>
      </c>
      <c r="W217" s="10">
        <f t="shared" si="1036"/>
        <v>727.85576076013149</v>
      </c>
      <c r="X217" s="10">
        <f t="shared" si="1036"/>
        <v>626.02854727413251</v>
      </c>
      <c r="Y217" s="10">
        <f t="shared" si="1036"/>
        <v>691.73840782407524</v>
      </c>
      <c r="Z217" s="10">
        <f t="shared" si="1036"/>
        <v>777.68870210413252</v>
      </c>
      <c r="AA217" s="10">
        <f t="shared" si="1036"/>
        <v>868.34209887609302</v>
      </c>
      <c r="AB217" s="10">
        <f t="shared" si="1036"/>
        <v>783.12520371454286</v>
      </c>
      <c r="AC217" s="10">
        <f t="shared" si="1036"/>
        <v>895.36947510235814</v>
      </c>
      <c r="AD217" s="10">
        <f t="shared" si="1036"/>
        <v>940.4499490975162</v>
      </c>
      <c r="AE217" s="10">
        <f t="shared" si="1036"/>
        <v>1082.3706408835817</v>
      </c>
      <c r="AF217" s="10">
        <f t="shared" ref="AF217:AG217" si="1037">+IFERROR(AF215+AF216,"n/a")</f>
        <v>943.52075021479186</v>
      </c>
      <c r="AG217" s="10">
        <f t="shared" si="1037"/>
        <v>1067.6488235294119</v>
      </c>
      <c r="AH217" s="10">
        <f t="shared" ref="AH217" si="1038">+IFERROR(AH215+AH216,"n/a")</f>
        <v>1105.9058240072677</v>
      </c>
      <c r="AI217" s="10">
        <f t="shared" ref="AI217:AJ217" si="1039">+IFERROR(AI215+AI216,"n/a")</f>
        <v>1273.3990649719397</v>
      </c>
      <c r="AJ217" s="10">
        <f t="shared" si="1039"/>
        <v>1082.8414252362709</v>
      </c>
      <c r="AK217" s="10">
        <f t="shared" ref="AK217:AM217" si="1040">+IFERROR(AK215+AK216,"n/a")</f>
        <v>1225.4432058823529</v>
      </c>
      <c r="AL217" s="10">
        <f t="shared" si="1040"/>
        <v>1269.1619304079943</v>
      </c>
      <c r="AM217" s="10">
        <f t="shared" si="1040"/>
        <v>1461.7975994691337</v>
      </c>
      <c r="AO217" s="17" t="str">
        <f>+IFERROR(AO219-AO218,"n/a")</f>
        <v>n/a</v>
      </c>
      <c r="AP217" s="10">
        <f t="shared" si="1022"/>
        <v>141.249</v>
      </c>
      <c r="AQ217" s="10">
        <f t="shared" si="1023"/>
        <v>471.6</v>
      </c>
      <c r="AR217" s="10">
        <f t="shared" si="1024"/>
        <v>1006.6</v>
      </c>
      <c r="AS217" s="10">
        <f t="shared" si="1025"/>
        <v>1667.6</v>
      </c>
      <c r="AT217" s="10">
        <f t="shared" si="1026"/>
        <v>2441.7244067552656</v>
      </c>
      <c r="AU217" s="10">
        <f t="shared" si="1027"/>
        <v>2963.7977560784334</v>
      </c>
      <c r="AV217" s="10">
        <f t="shared" si="1028"/>
        <v>3701.3152687979991</v>
      </c>
      <c r="AW217" s="10">
        <f t="shared" si="1029"/>
        <v>4390.4744627234113</v>
      </c>
      <c r="AX217" s="10">
        <f t="shared" si="1034"/>
        <v>5039.2441609957514</v>
      </c>
    </row>
    <row r="218" spans="2:51" ht="12" x14ac:dyDescent="0.35">
      <c r="B218" t="s">
        <v>372</v>
      </c>
      <c r="D218" s="36">
        <f t="shared" ref="D218:AG218" si="1041">+IFERROR(D220/D541,"n/a")</f>
        <v>0</v>
      </c>
      <c r="E218" s="36">
        <f t="shared" si="1041"/>
        <v>0</v>
      </c>
      <c r="F218" s="36">
        <f t="shared" si="1041"/>
        <v>0</v>
      </c>
      <c r="G218" s="36">
        <f t="shared" si="1041"/>
        <v>0</v>
      </c>
      <c r="H218" s="36">
        <f t="shared" si="1041"/>
        <v>0</v>
      </c>
      <c r="I218" s="36">
        <f t="shared" si="1041"/>
        <v>0</v>
      </c>
      <c r="J218" s="36">
        <f t="shared" si="1041"/>
        <v>0</v>
      </c>
      <c r="K218" s="36">
        <f t="shared" si="1041"/>
        <v>0</v>
      </c>
      <c r="L218" s="36">
        <f t="shared" si="1041"/>
        <v>0</v>
      </c>
      <c r="M218" s="36">
        <f t="shared" si="1041"/>
        <v>0</v>
      </c>
      <c r="N218" s="36">
        <f t="shared" si="1041"/>
        <v>0</v>
      </c>
      <c r="O218" s="36">
        <f t="shared" si="1041"/>
        <v>0</v>
      </c>
      <c r="P218" s="36">
        <f t="shared" si="1041"/>
        <v>0</v>
      </c>
      <c r="Q218" s="36">
        <f t="shared" si="1041"/>
        <v>0</v>
      </c>
      <c r="R218" s="36">
        <f t="shared" si="1041"/>
        <v>0</v>
      </c>
      <c r="S218" s="36">
        <f t="shared" si="1041"/>
        <v>0</v>
      </c>
      <c r="T218" s="36">
        <f t="shared" si="1041"/>
        <v>0</v>
      </c>
      <c r="U218" s="36">
        <f t="shared" si="1041"/>
        <v>0</v>
      </c>
      <c r="V218" s="36">
        <f t="shared" si="1041"/>
        <v>0</v>
      </c>
      <c r="W218" s="36">
        <f t="shared" si="1041"/>
        <v>0</v>
      </c>
      <c r="X218" s="36">
        <f t="shared" si="1041"/>
        <v>0</v>
      </c>
      <c r="Y218" s="36">
        <f t="shared" si="1041"/>
        <v>0</v>
      </c>
      <c r="Z218" s="36">
        <f t="shared" si="1041"/>
        <v>2.7404078420638453E-2</v>
      </c>
      <c r="AA218" s="36">
        <f t="shared" si="1041"/>
        <v>2.176300342509558</v>
      </c>
      <c r="AB218" s="36">
        <f t="shared" si="1041"/>
        <v>5.7939106600443315</v>
      </c>
      <c r="AC218" s="36">
        <f t="shared" si="1041"/>
        <v>20.357190316025505</v>
      </c>
      <c r="AD218" s="36">
        <f t="shared" si="1041"/>
        <v>43.122173722798458</v>
      </c>
      <c r="AE218" s="36">
        <f t="shared" si="1041"/>
        <v>59.050799436582089</v>
      </c>
      <c r="AF218" s="36">
        <f t="shared" si="1041"/>
        <v>65.33556828474731</v>
      </c>
      <c r="AG218" s="36">
        <f t="shared" si="1041"/>
        <v>79.077716305071988</v>
      </c>
      <c r="AH218" s="36">
        <f t="shared" ref="AH218:AI218" si="1042">+AG218*(1+AH233)</f>
        <v>83.822379283376307</v>
      </c>
      <c r="AI218" s="36">
        <f t="shared" si="1042"/>
        <v>92.204617211713952</v>
      </c>
      <c r="AJ218" s="15">
        <f t="shared" ref="AJ218" si="1043">+AF218*(1+AJ226)</f>
        <v>84.936238770171514</v>
      </c>
      <c r="AK218" s="15">
        <f t="shared" ref="AK218" si="1044">+AG218*(1+AK226)</f>
        <v>102.80103119659358</v>
      </c>
      <c r="AL218" s="15">
        <f t="shared" ref="AL218" si="1045">+AH218*(1+AL226)</f>
        <v>108.9690930683892</v>
      </c>
      <c r="AM218" s="15">
        <f t="shared" ref="AM218" si="1046">+AI218*(1+AM226)</f>
        <v>119.86600237522813</v>
      </c>
      <c r="AO218" s="36">
        <f>+IFERROR(AO220/AO541,"n/a")</f>
        <v>0</v>
      </c>
      <c r="AP218" s="36">
        <f t="shared" si="1022"/>
        <v>0</v>
      </c>
      <c r="AQ218" s="36">
        <f t="shared" si="1023"/>
        <v>0</v>
      </c>
      <c r="AR218" s="36">
        <f t="shared" si="1024"/>
        <v>0</v>
      </c>
      <c r="AS218" s="36">
        <f t="shared" si="1025"/>
        <v>0</v>
      </c>
      <c r="AT218" s="36">
        <f t="shared" si="1026"/>
        <v>0</v>
      </c>
      <c r="AU218" s="36">
        <f t="shared" si="1027"/>
        <v>2.2037044209301966</v>
      </c>
      <c r="AV218" s="36">
        <f t="shared" si="1028"/>
        <v>128.32407413545039</v>
      </c>
      <c r="AW218" s="36">
        <f t="shared" si="1029"/>
        <v>320.44028108490954</v>
      </c>
      <c r="AX218" s="36">
        <f t="shared" si="1034"/>
        <v>416.57236541038242</v>
      </c>
    </row>
    <row r="219" spans="2:51" s="1" customFormat="1" ht="10.15" x14ac:dyDescent="0.2">
      <c r="B219" s="38" t="s">
        <v>393</v>
      </c>
      <c r="D219" s="39">
        <v>8.7059999999999995</v>
      </c>
      <c r="E219" s="39">
        <v>19.099</v>
      </c>
      <c r="F219" s="39">
        <v>35.594000000000001</v>
      </c>
      <c r="G219" s="39">
        <v>77.849999999999994</v>
      </c>
      <c r="H219" s="39">
        <v>66.2</v>
      </c>
      <c r="I219" s="48">
        <f t="shared" ref="I219:S219" si="1047">+I493-SUM(F219:H219)</f>
        <v>82.456000000000017</v>
      </c>
      <c r="J219" s="48">
        <f t="shared" si="1047"/>
        <v>118.29399999999998</v>
      </c>
      <c r="K219" s="48">
        <f t="shared" si="1047"/>
        <v>204.65000000000003</v>
      </c>
      <c r="L219" s="48">
        <f t="shared" si="1047"/>
        <v>151.99999999999994</v>
      </c>
      <c r="M219" s="48">
        <f t="shared" si="1047"/>
        <v>234.15600000000006</v>
      </c>
      <c r="N219" s="48">
        <f t="shared" si="1047"/>
        <v>249.39400000000001</v>
      </c>
      <c r="O219" s="48">
        <f t="shared" si="1047"/>
        <v>371.05000000000007</v>
      </c>
      <c r="P219" s="48">
        <f t="shared" si="1047"/>
        <v>302.59999999999991</v>
      </c>
      <c r="Q219" s="48">
        <f t="shared" si="1047"/>
        <v>345.65600000000006</v>
      </c>
      <c r="R219" s="48">
        <f t="shared" si="1047"/>
        <v>438.29399999999987</v>
      </c>
      <c r="S219" s="48">
        <f t="shared" si="1047"/>
        <v>581.05000000000018</v>
      </c>
      <c r="T219" s="48">
        <f>+IFERROR(T217+T218,"n/a")</f>
        <v>510.38770006065101</v>
      </c>
      <c r="U219" s="48">
        <f t="shared" ref="U219:Y219" si="1048">+IFERROR(U217+U218,"n/a")</f>
        <v>585.74568973927956</v>
      </c>
      <c r="V219" s="48">
        <f t="shared" si="1048"/>
        <v>617.73525619520319</v>
      </c>
      <c r="W219" s="48">
        <f t="shared" si="1048"/>
        <v>727.85576076013149</v>
      </c>
      <c r="X219" s="48">
        <f t="shared" si="1048"/>
        <v>626.02854727413251</v>
      </c>
      <c r="Y219" s="48">
        <f t="shared" si="1048"/>
        <v>691.73840782407524</v>
      </c>
      <c r="Z219" s="48">
        <f t="shared" ref="Z219" si="1049">+IFERROR(Z217+Z218,"n/a")</f>
        <v>777.71610618255318</v>
      </c>
      <c r="AA219" s="48">
        <f t="shared" ref="AA219" si="1050">+IFERROR(AA217+AA218,"n/a")</f>
        <v>870.51839921860255</v>
      </c>
      <c r="AB219" s="48">
        <f t="shared" ref="AB219" si="1051">+IFERROR(AB217+AB218,"n/a")</f>
        <v>788.91911437458714</v>
      </c>
      <c r="AC219" s="48">
        <f t="shared" ref="AC219" si="1052">+IFERROR(AC217+AC218,"n/a")</f>
        <v>915.72666541838362</v>
      </c>
      <c r="AD219" s="48">
        <f t="shared" ref="AD219" si="1053">+IFERROR(AD217+AD218,"n/a")</f>
        <v>983.57212282031469</v>
      </c>
      <c r="AE219" s="48">
        <f t="shared" ref="AE219:AG219" si="1054">+IFERROR(AE217+AE218,"n/a")</f>
        <v>1141.4214403201638</v>
      </c>
      <c r="AF219" s="48">
        <f t="shared" si="1054"/>
        <v>1008.8563184995392</v>
      </c>
      <c r="AG219" s="48">
        <f t="shared" si="1054"/>
        <v>1146.7265398344839</v>
      </c>
      <c r="AH219" s="48">
        <f t="shared" ref="AH219" si="1055">+IFERROR(AH217+AH218,"n/a")</f>
        <v>1189.7282032906439</v>
      </c>
      <c r="AI219" s="48">
        <f t="shared" ref="AI219:AJ219" si="1056">+IFERROR(AI217+AI218,"n/a")</f>
        <v>1365.6036821836535</v>
      </c>
      <c r="AJ219" s="48">
        <f t="shared" si="1056"/>
        <v>1167.7776640064424</v>
      </c>
      <c r="AK219" s="48">
        <f t="shared" ref="AK219:AM219" si="1057">+IFERROR(AK217+AK218,"n/a")</f>
        <v>1328.2442370789465</v>
      </c>
      <c r="AL219" s="48">
        <f t="shared" si="1057"/>
        <v>1378.1310234763835</v>
      </c>
      <c r="AM219" s="48">
        <f t="shared" si="1057"/>
        <v>1581.6636018443619</v>
      </c>
      <c r="AO219" s="40" t="s">
        <v>65</v>
      </c>
      <c r="AP219" s="48">
        <f t="shared" si="1022"/>
        <v>141.249</v>
      </c>
      <c r="AQ219" s="48">
        <f t="shared" si="1023"/>
        <v>471.6</v>
      </c>
      <c r="AR219" s="48">
        <f t="shared" si="1024"/>
        <v>1006.6</v>
      </c>
      <c r="AS219" s="48">
        <f t="shared" si="1025"/>
        <v>1667.6</v>
      </c>
      <c r="AT219" s="48">
        <f t="shared" si="1026"/>
        <v>2441.7244067552656</v>
      </c>
      <c r="AU219" s="48">
        <f t="shared" si="1027"/>
        <v>2966.0014604993635</v>
      </c>
      <c r="AV219" s="48">
        <f t="shared" si="1028"/>
        <v>3829.6393429334494</v>
      </c>
      <c r="AW219" s="48">
        <f t="shared" si="1029"/>
        <v>4710.9147438083201</v>
      </c>
      <c r="AX219" s="48">
        <f t="shared" si="1034"/>
        <v>5455.8165264061336</v>
      </c>
    </row>
    <row r="220" spans="2:51" s="1" customFormat="1" ht="10.15" x14ac:dyDescent="0.2">
      <c r="B220" s="20" t="s">
        <v>380</v>
      </c>
      <c r="D220" s="174">
        <v>0</v>
      </c>
      <c r="E220" s="174">
        <v>0</v>
      </c>
      <c r="F220" s="174">
        <v>0</v>
      </c>
      <c r="G220" s="174">
        <v>0</v>
      </c>
      <c r="H220" s="174">
        <v>0</v>
      </c>
      <c r="I220" s="174">
        <v>0</v>
      </c>
      <c r="J220" s="174">
        <v>0</v>
      </c>
      <c r="K220" s="174">
        <v>0</v>
      </c>
      <c r="L220" s="174">
        <v>0</v>
      </c>
      <c r="M220" s="174">
        <v>0</v>
      </c>
      <c r="N220" s="174">
        <v>0</v>
      </c>
      <c r="O220" s="174">
        <v>0</v>
      </c>
      <c r="P220" s="174">
        <v>0</v>
      </c>
      <c r="Q220" s="174">
        <v>0</v>
      </c>
      <c r="R220" s="174">
        <v>0</v>
      </c>
      <c r="S220" s="174">
        <v>0</v>
      </c>
      <c r="T220" s="174">
        <v>0</v>
      </c>
      <c r="U220" s="174">
        <v>0</v>
      </c>
      <c r="V220" s="174">
        <v>0</v>
      </c>
      <c r="W220" s="174">
        <v>0</v>
      </c>
      <c r="X220" s="174">
        <v>0</v>
      </c>
      <c r="Y220" s="174">
        <v>0</v>
      </c>
      <c r="Z220" s="146">
        <v>4.004695E-3</v>
      </c>
      <c r="AA220" s="146">
        <v>0.30626204200000001</v>
      </c>
      <c r="AB220" s="146">
        <v>0.846907509</v>
      </c>
      <c r="AC220" s="146">
        <v>2.9051746299999999</v>
      </c>
      <c r="AD220" s="146">
        <v>5.9536629150381684</v>
      </c>
      <c r="AE220" s="146">
        <v>8.1775318583761969</v>
      </c>
      <c r="AF220" s="146">
        <v>9.1005259708141679</v>
      </c>
      <c r="AG220" s="146">
        <v>10.92</v>
      </c>
      <c r="AH220" s="179">
        <f t="shared" ref="AH220:AM220" si="1058">+AH218*AH541</f>
        <v>11.61987732815804</v>
      </c>
      <c r="AI220" s="179">
        <f t="shared" si="1058"/>
        <v>12.781865060973846</v>
      </c>
      <c r="AJ220" s="179">
        <f t="shared" si="1058"/>
        <v>11.774286099515026</v>
      </c>
      <c r="AK220" s="179">
        <f t="shared" si="1058"/>
        <v>14.250792949627785</v>
      </c>
      <c r="AL220" s="179">
        <f t="shared" si="1058"/>
        <v>15.105840526605453</v>
      </c>
      <c r="AM220" s="179">
        <f t="shared" si="1058"/>
        <v>16.616424579265999</v>
      </c>
      <c r="AO220" s="174">
        <v>0</v>
      </c>
      <c r="AP220" s="179">
        <f t="shared" si="1022"/>
        <v>0</v>
      </c>
      <c r="AQ220" s="179">
        <f t="shared" si="1023"/>
        <v>0</v>
      </c>
      <c r="AR220" s="179">
        <f t="shared" si="1024"/>
        <v>0</v>
      </c>
      <c r="AS220" s="179">
        <f t="shared" si="1025"/>
        <v>0</v>
      </c>
      <c r="AT220" s="179">
        <f t="shared" si="1026"/>
        <v>0</v>
      </c>
      <c r="AU220" s="179">
        <f t="shared" si="1027"/>
        <v>0.31026673700000001</v>
      </c>
      <c r="AV220" s="179">
        <f t="shared" si="1028"/>
        <v>17.883276912414367</v>
      </c>
      <c r="AW220" s="179">
        <f t="shared" si="1029"/>
        <v>44.422268359946059</v>
      </c>
      <c r="AX220" s="179">
        <f t="shared" si="1034"/>
        <v>57.747344155014261</v>
      </c>
    </row>
    <row r="221" spans="2:51" ht="10.15" x14ac:dyDescent="0.2">
      <c r="T221" s="157"/>
    </row>
    <row r="222" spans="2:51" ht="10.15" x14ac:dyDescent="0.2">
      <c r="B222" s="19" t="s">
        <v>86</v>
      </c>
    </row>
    <row r="223" spans="2:51" ht="10.15" x14ac:dyDescent="0.2">
      <c r="B223" s="20" t="s">
        <v>370</v>
      </c>
      <c r="H223" s="46">
        <f t="shared" ref="H223:Q227" si="1059">+IFERROR(H215/D215-1,"n/a")</f>
        <v>6.603951297955434</v>
      </c>
      <c r="I223" s="46">
        <f t="shared" si="1059"/>
        <v>3.3172940991674968</v>
      </c>
      <c r="J223" s="46">
        <f t="shared" si="1059"/>
        <v>2.3234252963982689</v>
      </c>
      <c r="K223" s="46">
        <f t="shared" si="1059"/>
        <v>1.6287732819524732</v>
      </c>
      <c r="L223" s="46">
        <f t="shared" si="1059"/>
        <v>1.2960725075528692</v>
      </c>
      <c r="M223" s="46">
        <f t="shared" si="1059"/>
        <v>1.8397690889686622</v>
      </c>
      <c r="N223" s="46">
        <f t="shared" si="1059"/>
        <v>1.1082557018952781</v>
      </c>
      <c r="O223" s="46">
        <f t="shared" si="1059"/>
        <v>0.8130955289518691</v>
      </c>
      <c r="P223" s="46">
        <f t="shared" si="1059"/>
        <v>0.99078947368421066</v>
      </c>
      <c r="Q223" s="46">
        <f t="shared" si="1059"/>
        <v>0.47617827431285109</v>
      </c>
      <c r="R223" s="46">
        <f t="shared" ref="R223:AA227" si="1060">+IFERROR(R215/N215-1,"n/a")</f>
        <v>0.75743602492441631</v>
      </c>
      <c r="S223" s="46">
        <f t="shared" si="1060"/>
        <v>0.55304897865358282</v>
      </c>
      <c r="T223" s="46">
        <f t="shared" si="1060"/>
        <v>0.64320217580965022</v>
      </c>
      <c r="U223" s="46">
        <f t="shared" si="1060"/>
        <v>0.64332447242344948</v>
      </c>
      <c r="V223" s="46">
        <f t="shared" si="1060"/>
        <v>0.351843003645955</v>
      </c>
      <c r="W223" s="46">
        <f t="shared" si="1060"/>
        <v>0.21217970415744514</v>
      </c>
      <c r="X223" s="46">
        <f t="shared" si="1060"/>
        <v>0.19586999622066892</v>
      </c>
      <c r="Y223" s="46">
        <f t="shared" si="1060"/>
        <v>0.15175219690569874</v>
      </c>
      <c r="Z223" s="46">
        <f t="shared" si="1060"/>
        <v>0.24507877842821713</v>
      </c>
      <c r="AA223" s="46">
        <f t="shared" si="1060"/>
        <v>0.18522309514527868</v>
      </c>
      <c r="AB223" s="46">
        <f t="shared" ref="AB223:AG227" si="1061">+IFERROR(AB215/X215-1,"n/a")</f>
        <v>0.24999915913532211</v>
      </c>
      <c r="AC223" s="46">
        <f t="shared" si="1061"/>
        <v>0.30000122282276398</v>
      </c>
      <c r="AD223" s="46">
        <f t="shared" si="1061"/>
        <v>0.21000115220647531</v>
      </c>
      <c r="AE223" s="46">
        <f t="shared" si="1061"/>
        <v>0.25000090589228585</v>
      </c>
      <c r="AF223" s="46">
        <f t="shared" si="1061"/>
        <v>0.21000104939982389</v>
      </c>
      <c r="AG223" s="46">
        <f t="shared" si="1061"/>
        <v>0.1999995296839947</v>
      </c>
      <c r="AH223" s="168">
        <v>0.18</v>
      </c>
      <c r="AI223" s="168">
        <v>0.18</v>
      </c>
      <c r="AJ223" s="168">
        <v>0.15</v>
      </c>
      <c r="AK223" s="168">
        <v>0.15</v>
      </c>
      <c r="AL223" s="168">
        <v>0.15</v>
      </c>
      <c r="AM223" s="168">
        <v>0.15</v>
      </c>
      <c r="AP223" s="46" t="str">
        <f t="shared" ref="AP223:AQ227" si="1062">+IFERROR(AP215/AO215-1,"n/a")</f>
        <v>n/a</v>
      </c>
      <c r="AQ223" s="46">
        <f t="shared" si="1062"/>
        <v>2.3387846993607035</v>
      </c>
      <c r="AR223" s="46">
        <f t="shared" ref="AR223:AV223" si="1063">+IFERROR(AR215/AQ215-1,"n/a")</f>
        <v>1.1344359626802376</v>
      </c>
      <c r="AS223" s="46">
        <f t="shared" si="1063"/>
        <v>0.65190624233003347</v>
      </c>
      <c r="AT223" s="46">
        <f t="shared" si="1063"/>
        <v>0.41705518792150076</v>
      </c>
      <c r="AU223" s="46">
        <f t="shared" si="1063"/>
        <v>0.1944521966689412</v>
      </c>
      <c r="AV223" s="46">
        <f t="shared" si="1063"/>
        <v>0.25113857702920384</v>
      </c>
      <c r="AW223" s="46">
        <f t="shared" ref="AW223:AX223" si="1064">+IFERROR(AW215/AV215-1,"n/a")</f>
        <v>0.19116310955436377</v>
      </c>
      <c r="AX223" s="46">
        <f t="shared" si="1064"/>
        <v>0.14999999999999991</v>
      </c>
    </row>
    <row r="224" spans="2:51" ht="12" x14ac:dyDescent="0.35">
      <c r="B224" s="20" t="s">
        <v>371</v>
      </c>
      <c r="H224" s="47" t="str">
        <f t="shared" si="1059"/>
        <v>n/a</v>
      </c>
      <c r="I224" s="47" t="str">
        <f t="shared" si="1059"/>
        <v>n/a</v>
      </c>
      <c r="J224" s="47" t="str">
        <f t="shared" si="1059"/>
        <v>n/a</v>
      </c>
      <c r="K224" s="47" t="str">
        <f t="shared" si="1059"/>
        <v>n/a</v>
      </c>
      <c r="L224" s="47" t="str">
        <f t="shared" si="1059"/>
        <v>n/a</v>
      </c>
      <c r="M224" s="47" t="str">
        <f t="shared" si="1059"/>
        <v>n/a</v>
      </c>
      <c r="N224" s="47" t="str">
        <f t="shared" si="1059"/>
        <v>n/a</v>
      </c>
      <c r="O224" s="47" t="str">
        <f t="shared" si="1059"/>
        <v>n/a</v>
      </c>
      <c r="P224" s="47" t="str">
        <f t="shared" si="1059"/>
        <v>n/a</v>
      </c>
      <c r="Q224" s="47" t="str">
        <f t="shared" si="1059"/>
        <v>n/a</v>
      </c>
      <c r="R224" s="47" t="str">
        <f t="shared" si="1060"/>
        <v>n/a</v>
      </c>
      <c r="S224" s="47" t="str">
        <f t="shared" si="1060"/>
        <v>n/a</v>
      </c>
      <c r="T224" s="47" t="str">
        <f t="shared" si="1060"/>
        <v>n/a</v>
      </c>
      <c r="U224" s="47" t="str">
        <f t="shared" si="1060"/>
        <v>n/a</v>
      </c>
      <c r="V224" s="47" t="str">
        <f t="shared" si="1060"/>
        <v>n/a</v>
      </c>
      <c r="W224" s="47">
        <f t="shared" si="1060"/>
        <v>5.1209414255891366</v>
      </c>
      <c r="X224" s="47">
        <f t="shared" si="1060"/>
        <v>1.3871692677516054</v>
      </c>
      <c r="Y224" s="47">
        <f t="shared" si="1060"/>
        <v>1.116979182303147</v>
      </c>
      <c r="Z224" s="47">
        <f t="shared" si="1060"/>
        <v>0.58433551968715158</v>
      </c>
      <c r="AA224" s="47">
        <f t="shared" si="1060"/>
        <v>0.37858538697546829</v>
      </c>
      <c r="AB224" s="47">
        <f t="shared" si="1061"/>
        <v>0.26878890959789192</v>
      </c>
      <c r="AC224" s="47">
        <f t="shared" si="1061"/>
        <v>0.19627305095184333</v>
      </c>
      <c r="AD224" s="47">
        <f t="shared" si="1061"/>
        <v>0.19613512336084638</v>
      </c>
      <c r="AE224" s="47">
        <f t="shared" si="1061"/>
        <v>0.17436802212916191</v>
      </c>
      <c r="AF224" s="47">
        <f t="shared" si="1061"/>
        <v>0.10806225651672374</v>
      </c>
      <c r="AG224" s="47">
        <f t="shared" si="1061"/>
        <v>4.8606754771259419E-2</v>
      </c>
      <c r="AH224" s="169">
        <v>0.1</v>
      </c>
      <c r="AI224" s="169">
        <v>0.1</v>
      </c>
      <c r="AJ224" s="169">
        <v>0.1</v>
      </c>
      <c r="AK224" s="169">
        <v>0.1</v>
      </c>
      <c r="AL224" s="169">
        <v>0.1</v>
      </c>
      <c r="AM224" s="169">
        <v>0.1</v>
      </c>
      <c r="AP224" s="47" t="str">
        <f t="shared" si="1062"/>
        <v>n/a</v>
      </c>
      <c r="AQ224" s="47" t="str">
        <f t="shared" si="1062"/>
        <v>n/a</v>
      </c>
      <c r="AR224" s="47" t="str">
        <f t="shared" ref="AR224:AV224" si="1065">+IFERROR(AR216/AQ216-1,"n/a")</f>
        <v>n/a</v>
      </c>
      <c r="AS224" s="47" t="str">
        <f t="shared" si="1065"/>
        <v>n/a</v>
      </c>
      <c r="AT224" s="47">
        <f t="shared" si="1065"/>
        <v>16.831223161098968</v>
      </c>
      <c r="AU224" s="47">
        <f t="shared" si="1065"/>
        <v>0.74780899153671299</v>
      </c>
      <c r="AV224" s="47">
        <f t="shared" si="1065"/>
        <v>0.20555560446698884</v>
      </c>
      <c r="AW224" s="47">
        <f t="shared" ref="AW224:AX224" si="1066">+IFERROR(AW216/AV216-1,"n/a")</f>
        <v>8.897207429406162E-2</v>
      </c>
      <c r="AX224" s="47">
        <f t="shared" si="1066"/>
        <v>9.9999999999999867E-2</v>
      </c>
    </row>
    <row r="225" spans="2:51" ht="10.15" x14ac:dyDescent="0.2">
      <c r="B225" s="30" t="s">
        <v>351</v>
      </c>
      <c r="H225" s="46">
        <f t="shared" si="1059"/>
        <v>6.603951297955434</v>
      </c>
      <c r="I225" s="46">
        <f t="shared" si="1059"/>
        <v>3.3172940991674968</v>
      </c>
      <c r="J225" s="46">
        <f t="shared" si="1059"/>
        <v>2.3234252963982689</v>
      </c>
      <c r="K225" s="46">
        <f t="shared" si="1059"/>
        <v>1.6287732819524732</v>
      </c>
      <c r="L225" s="46">
        <f t="shared" si="1059"/>
        <v>1.2960725075528692</v>
      </c>
      <c r="M225" s="46">
        <f t="shared" si="1059"/>
        <v>1.8397690889686622</v>
      </c>
      <c r="N225" s="46">
        <f t="shared" si="1059"/>
        <v>1.1082557018952781</v>
      </c>
      <c r="O225" s="46">
        <f t="shared" si="1059"/>
        <v>0.8130955289518691</v>
      </c>
      <c r="P225" s="46">
        <f t="shared" si="1059"/>
        <v>0.99078947368421066</v>
      </c>
      <c r="Q225" s="46">
        <f t="shared" si="1059"/>
        <v>0.47617827431285109</v>
      </c>
      <c r="R225" s="46">
        <f t="shared" si="1060"/>
        <v>0.75743602492441631</v>
      </c>
      <c r="S225" s="46">
        <f t="shared" si="1060"/>
        <v>0.56596146071957976</v>
      </c>
      <c r="T225" s="46">
        <f t="shared" si="1060"/>
        <v>0.68667448797307062</v>
      </c>
      <c r="U225" s="46">
        <f t="shared" si="1060"/>
        <v>0.69459141383132206</v>
      </c>
      <c r="V225" s="46">
        <f t="shared" si="1060"/>
        <v>0.40940842492756779</v>
      </c>
      <c r="W225" s="46">
        <f t="shared" si="1060"/>
        <v>0.25265598616320672</v>
      </c>
      <c r="X225" s="46">
        <f t="shared" si="1060"/>
        <v>0.22657451815500163</v>
      </c>
      <c r="Y225" s="46">
        <f t="shared" si="1060"/>
        <v>0.18095347510277704</v>
      </c>
      <c r="Z225" s="46">
        <f t="shared" si="1060"/>
        <v>0.25893527090249857</v>
      </c>
      <c r="AA225" s="46">
        <f t="shared" si="1060"/>
        <v>0.19301398118941249</v>
      </c>
      <c r="AB225" s="46">
        <f t="shared" si="1061"/>
        <v>0.25094168169238307</v>
      </c>
      <c r="AC225" s="46">
        <f t="shared" si="1061"/>
        <v>0.29437582903459503</v>
      </c>
      <c r="AD225" s="46">
        <f t="shared" si="1061"/>
        <v>0.20928842935870495</v>
      </c>
      <c r="AE225" s="46">
        <f t="shared" si="1061"/>
        <v>0.2464795180200392</v>
      </c>
      <c r="AF225" s="46">
        <f t="shared" si="1061"/>
        <v>0.20481469085588877</v>
      </c>
      <c r="AG225" s="46">
        <f t="shared" si="1061"/>
        <v>0.19241146053963787</v>
      </c>
      <c r="AH225" s="46">
        <f t="shared" ref="AH225:AJ225" si="1067">+IFERROR(AH217/AD217-1,"n/a")</f>
        <v>0.17593267463997186</v>
      </c>
      <c r="AI225" s="46">
        <f t="shared" si="1067"/>
        <v>0.17649076653854356</v>
      </c>
      <c r="AJ225" s="46">
        <f t="shared" si="1067"/>
        <v>0.1476604250513438</v>
      </c>
      <c r="AK225" s="46">
        <f t="shared" ref="AK225:AK227" si="1068">+IFERROR(AK217/AG217-1,"n/a")</f>
        <v>0.14779614689342102</v>
      </c>
      <c r="AL225" s="46">
        <f t="shared" ref="AL225:AL227" si="1069">+IFERROR(AL217/AH217-1,"n/a")</f>
        <v>0.14762206948975587</v>
      </c>
      <c r="AM225" s="46">
        <f t="shared" ref="AM225:AM227" si="1070">+IFERROR(AM217/AI217-1,"n/a")</f>
        <v>0.14794932686820017</v>
      </c>
      <c r="AP225" s="46" t="str">
        <f t="shared" si="1062"/>
        <v>n/a</v>
      </c>
      <c r="AQ225" s="46">
        <f t="shared" si="1062"/>
        <v>2.3387846993607035</v>
      </c>
      <c r="AR225" s="46">
        <f t="shared" ref="AR225:AV225" si="1071">+IFERROR(AR217/AQ217-1,"n/a")</f>
        <v>1.1344359626802376</v>
      </c>
      <c r="AS225" s="46">
        <f t="shared" si="1071"/>
        <v>0.6566660043711503</v>
      </c>
      <c r="AT225" s="46">
        <f t="shared" si="1071"/>
        <v>0.46421468383021458</v>
      </c>
      <c r="AU225" s="46">
        <f t="shared" si="1071"/>
        <v>0.21381338036299335</v>
      </c>
      <c r="AV225" s="46">
        <f t="shared" si="1071"/>
        <v>0.24884205111735302</v>
      </c>
      <c r="AW225" s="46">
        <f t="shared" ref="AW225:AX225" si="1072">+IFERROR(AW217/AV217-1,"n/a")</f>
        <v>0.18619305405702891</v>
      </c>
      <c r="AX225" s="46">
        <f t="shared" si="1072"/>
        <v>0.14776755992560964</v>
      </c>
    </row>
    <row r="226" spans="2:51" ht="12" x14ac:dyDescent="0.35">
      <c r="B226" s="20" t="s">
        <v>372</v>
      </c>
      <c r="H226" s="47" t="str">
        <f t="shared" si="1059"/>
        <v>n/a</v>
      </c>
      <c r="I226" s="47" t="str">
        <f t="shared" si="1059"/>
        <v>n/a</v>
      </c>
      <c r="J226" s="47" t="str">
        <f t="shared" si="1059"/>
        <v>n/a</v>
      </c>
      <c r="K226" s="47" t="str">
        <f t="shared" si="1059"/>
        <v>n/a</v>
      </c>
      <c r="L226" s="47" t="str">
        <f t="shared" si="1059"/>
        <v>n/a</v>
      </c>
      <c r="M226" s="47" t="str">
        <f t="shared" si="1059"/>
        <v>n/a</v>
      </c>
      <c r="N226" s="47" t="str">
        <f t="shared" si="1059"/>
        <v>n/a</v>
      </c>
      <c r="O226" s="47" t="str">
        <f t="shared" si="1059"/>
        <v>n/a</v>
      </c>
      <c r="P226" s="47" t="str">
        <f t="shared" si="1059"/>
        <v>n/a</v>
      </c>
      <c r="Q226" s="47" t="str">
        <f t="shared" si="1059"/>
        <v>n/a</v>
      </c>
      <c r="R226" s="47" t="str">
        <f t="shared" si="1060"/>
        <v>n/a</v>
      </c>
      <c r="S226" s="47" t="str">
        <f t="shared" si="1060"/>
        <v>n/a</v>
      </c>
      <c r="T226" s="47" t="str">
        <f t="shared" si="1060"/>
        <v>n/a</v>
      </c>
      <c r="U226" s="47" t="str">
        <f t="shared" si="1060"/>
        <v>n/a</v>
      </c>
      <c r="V226" s="47" t="str">
        <f t="shared" si="1060"/>
        <v>n/a</v>
      </c>
      <c r="W226" s="47" t="str">
        <f t="shared" si="1060"/>
        <v>n/a</v>
      </c>
      <c r="X226" s="47" t="str">
        <f t="shared" si="1060"/>
        <v>n/a</v>
      </c>
      <c r="Y226" s="47" t="str">
        <f t="shared" si="1060"/>
        <v>n/a</v>
      </c>
      <c r="Z226" s="47" t="str">
        <f t="shared" si="1060"/>
        <v>n/a</v>
      </c>
      <c r="AA226" s="47" t="str">
        <f t="shared" si="1060"/>
        <v>n/a</v>
      </c>
      <c r="AB226" s="47" t="str">
        <f t="shared" si="1061"/>
        <v>n/a</v>
      </c>
      <c r="AC226" s="47" t="str">
        <f t="shared" si="1061"/>
        <v>n/a</v>
      </c>
      <c r="AD226" s="47">
        <f t="shared" si="1061"/>
        <v>1572.5677391115059</v>
      </c>
      <c r="AE226" s="47">
        <f t="shared" si="1061"/>
        <v>26.133570805070416</v>
      </c>
      <c r="AF226" s="47">
        <f t="shared" si="1061"/>
        <v>10.276592291163738</v>
      </c>
      <c r="AG226" s="47">
        <f t="shared" si="1061"/>
        <v>2.8845103414306021</v>
      </c>
      <c r="AH226" s="47">
        <f t="shared" ref="AH226:AI226" si="1073">+IFERROR(AH218/AD218-1,"n/a")</f>
        <v>0.94383473853174227</v>
      </c>
      <c r="AI226" s="47">
        <f t="shared" si="1073"/>
        <v>0.56144570592541387</v>
      </c>
      <c r="AJ226" s="169">
        <v>0.3</v>
      </c>
      <c r="AK226" s="169">
        <v>0.3</v>
      </c>
      <c r="AL226" s="169">
        <v>0.3</v>
      </c>
      <c r="AM226" s="169">
        <v>0.3</v>
      </c>
      <c r="AP226" s="47" t="str">
        <f t="shared" si="1062"/>
        <v>n/a</v>
      </c>
      <c r="AQ226" s="47" t="str">
        <f t="shared" si="1062"/>
        <v>n/a</v>
      </c>
      <c r="AR226" s="47" t="str">
        <f t="shared" ref="AR226:AV226" si="1074">+IFERROR(AR218/AQ218-1,"n/a")</f>
        <v>n/a</v>
      </c>
      <c r="AS226" s="47" t="str">
        <f t="shared" si="1074"/>
        <v>n/a</v>
      </c>
      <c r="AT226" s="47" t="str">
        <f t="shared" si="1074"/>
        <v>n/a</v>
      </c>
      <c r="AU226" s="47" t="str">
        <f t="shared" si="1074"/>
        <v>n/a</v>
      </c>
      <c r="AV226" s="47">
        <f t="shared" si="1074"/>
        <v>57.231073512700966</v>
      </c>
      <c r="AW226" s="47">
        <f t="shared" ref="AW226:AX226" si="1075">+IFERROR(AW218/AV218-1,"n/a")</f>
        <v>1.4971174212149312</v>
      </c>
      <c r="AX226" s="47">
        <f t="shared" si="1075"/>
        <v>0.30000000000000004</v>
      </c>
    </row>
    <row r="227" spans="2:51" ht="10.15" x14ac:dyDescent="0.2">
      <c r="B227" s="30" t="s">
        <v>394</v>
      </c>
      <c r="H227" s="46">
        <f t="shared" si="1059"/>
        <v>6.603951297955434</v>
      </c>
      <c r="I227" s="46">
        <f t="shared" si="1059"/>
        <v>3.3172940991674968</v>
      </c>
      <c r="J227" s="46">
        <f t="shared" si="1059"/>
        <v>2.3234252963982689</v>
      </c>
      <c r="K227" s="46">
        <f t="shared" si="1059"/>
        <v>1.6287732819524732</v>
      </c>
      <c r="L227" s="46">
        <f t="shared" si="1059"/>
        <v>1.2960725075528692</v>
      </c>
      <c r="M227" s="46">
        <f t="shared" si="1059"/>
        <v>1.8397690889686622</v>
      </c>
      <c r="N227" s="46">
        <f t="shared" si="1059"/>
        <v>1.1082557018952781</v>
      </c>
      <c r="O227" s="46">
        <f t="shared" si="1059"/>
        <v>0.8130955289518691</v>
      </c>
      <c r="P227" s="46">
        <f t="shared" si="1059"/>
        <v>0.99078947368421066</v>
      </c>
      <c r="Q227" s="46">
        <f t="shared" si="1059"/>
        <v>0.47617827431285109</v>
      </c>
      <c r="R227" s="46">
        <f t="shared" si="1060"/>
        <v>0.75743602492441631</v>
      </c>
      <c r="S227" s="46">
        <f t="shared" si="1060"/>
        <v>0.56596146071957976</v>
      </c>
      <c r="T227" s="46">
        <f t="shared" si="1060"/>
        <v>0.68667448797307062</v>
      </c>
      <c r="U227" s="46">
        <f t="shared" si="1060"/>
        <v>0.69459141383132206</v>
      </c>
      <c r="V227" s="46">
        <f t="shared" si="1060"/>
        <v>0.40940842492756779</v>
      </c>
      <c r="W227" s="46">
        <f t="shared" si="1060"/>
        <v>0.25265598616320672</v>
      </c>
      <c r="X227" s="46">
        <f t="shared" si="1060"/>
        <v>0.22657451815500163</v>
      </c>
      <c r="Y227" s="46">
        <f t="shared" si="1060"/>
        <v>0.18095347510277704</v>
      </c>
      <c r="Z227" s="46">
        <f t="shared" si="1060"/>
        <v>0.25897963307568816</v>
      </c>
      <c r="AA227" s="46">
        <f t="shared" si="1060"/>
        <v>0.19600399715114203</v>
      </c>
      <c r="AB227" s="46">
        <f t="shared" si="1061"/>
        <v>0.26019670797716232</v>
      </c>
      <c r="AC227" s="46">
        <f t="shared" si="1061"/>
        <v>0.32380485897679634</v>
      </c>
      <c r="AD227" s="46">
        <f t="shared" si="1061"/>
        <v>0.26469300944301266</v>
      </c>
      <c r="AE227" s="46">
        <f t="shared" si="1061"/>
        <v>0.31119737543138681</v>
      </c>
      <c r="AF227" s="46">
        <f t="shared" si="1061"/>
        <v>0.27878295774251383</v>
      </c>
      <c r="AG227" s="46">
        <f t="shared" si="1061"/>
        <v>0.25225854301246042</v>
      </c>
      <c r="AH227" s="46">
        <f t="shared" ref="AH227:AJ227" si="1076">+IFERROR(AH219/AD219-1,"n/a")</f>
        <v>0.2095993528966571</v>
      </c>
      <c r="AI227" s="46">
        <f t="shared" si="1076"/>
        <v>0.19640619489380495</v>
      </c>
      <c r="AJ227" s="46">
        <f t="shared" si="1076"/>
        <v>0.1575262429275015</v>
      </c>
      <c r="AK227" s="46">
        <f t="shared" si="1068"/>
        <v>0.15829205214929654</v>
      </c>
      <c r="AL227" s="46">
        <f t="shared" si="1069"/>
        <v>0.15835786666621843</v>
      </c>
      <c r="AM227" s="46">
        <f t="shared" si="1070"/>
        <v>0.15821568327585367</v>
      </c>
      <c r="AP227" s="46" t="str">
        <f t="shared" si="1062"/>
        <v>n/a</v>
      </c>
      <c r="AQ227" s="46">
        <f t="shared" si="1062"/>
        <v>2.3387846993607035</v>
      </c>
      <c r="AR227" s="46">
        <f t="shared" ref="AR227:AV227" si="1077">+IFERROR(AR219/AQ219-1,"n/a")</f>
        <v>1.1344359626802376</v>
      </c>
      <c r="AS227" s="46">
        <f t="shared" si="1077"/>
        <v>0.6566660043711503</v>
      </c>
      <c r="AT227" s="46">
        <f t="shared" si="1077"/>
        <v>0.46421468383021458</v>
      </c>
      <c r="AU227" s="46">
        <f t="shared" si="1077"/>
        <v>0.21471590008013797</v>
      </c>
      <c r="AV227" s="46">
        <f t="shared" si="1077"/>
        <v>0.29117918313117808</v>
      </c>
      <c r="AW227" s="46">
        <f t="shared" ref="AW227:AX227" si="1078">+IFERROR(AW219/AV219-1,"n/a")</f>
        <v>0.23011968542181993</v>
      </c>
      <c r="AX227" s="46">
        <f t="shared" si="1078"/>
        <v>0.15812253524155961</v>
      </c>
    </row>
    <row r="228" spans="2:51" ht="10.15" x14ac:dyDescent="0.2">
      <c r="B228" s="30"/>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row>
    <row r="229" spans="2:51" ht="10.15" x14ac:dyDescent="0.2">
      <c r="B229" s="19" t="s">
        <v>262</v>
      </c>
      <c r="H229" s="46"/>
      <c r="I229" s="46"/>
      <c r="J229" s="46"/>
      <c r="K229" s="46"/>
      <c r="L229" s="46"/>
      <c r="M229" s="46"/>
      <c r="N229" s="46"/>
      <c r="O229" s="46"/>
      <c r="P229" s="46"/>
      <c r="Q229" s="46"/>
      <c r="R229" s="46"/>
      <c r="S229" s="46"/>
      <c r="T229" s="46"/>
      <c r="U229" s="46"/>
      <c r="V229" s="46"/>
      <c r="W229" s="46"/>
      <c r="X229" s="46"/>
      <c r="Y229" s="46"/>
      <c r="Z229" s="46"/>
      <c r="AA229" s="46"/>
      <c r="AB229" s="46"/>
      <c r="AC229" s="46"/>
      <c r="AD229" s="46"/>
      <c r="AE229" s="46"/>
      <c r="AF229" s="46"/>
      <c r="AG229" s="46"/>
    </row>
    <row r="230" spans="2:51" ht="10.15" x14ac:dyDescent="0.2">
      <c r="B230" s="20" t="s">
        <v>370</v>
      </c>
      <c r="E230" s="46">
        <f>IFERROR(E215/D215-1,"n/a")</f>
        <v>1.1937744084539399</v>
      </c>
      <c r="F230" s="46">
        <f t="shared" ref="F230:S230" si="1079">IFERROR(F215/E215-1,"n/a")</f>
        <v>0.86365778313000674</v>
      </c>
      <c r="G230" s="46">
        <f t="shared" si="1079"/>
        <v>1.1871663763555653</v>
      </c>
      <c r="H230" s="46">
        <f t="shared" si="1079"/>
        <v>-0.14964675658317272</v>
      </c>
      <c r="I230" s="46">
        <f t="shared" si="1079"/>
        <v>0.24555891238670724</v>
      </c>
      <c r="J230" s="46">
        <f t="shared" si="1079"/>
        <v>0.43463180362860143</v>
      </c>
      <c r="K230" s="46">
        <f t="shared" si="1079"/>
        <v>0.73001166584949417</v>
      </c>
      <c r="L230" s="46">
        <f t="shared" si="1079"/>
        <v>-0.25726850720742767</v>
      </c>
      <c r="M230" s="46">
        <f t="shared" si="1079"/>
        <v>0.54050000000000109</v>
      </c>
      <c r="N230" s="46">
        <f t="shared" si="1079"/>
        <v>6.5076273937033191E-2</v>
      </c>
      <c r="O230" s="46">
        <f t="shared" si="1079"/>
        <v>0.48780644281738961</v>
      </c>
      <c r="P230" s="46">
        <f t="shared" si="1079"/>
        <v>-0.18447648564883479</v>
      </c>
      <c r="Q230" s="46">
        <f t="shared" si="1079"/>
        <v>0.14228684732319952</v>
      </c>
      <c r="R230" s="46">
        <f t="shared" si="1079"/>
        <v>0.26800634156502356</v>
      </c>
      <c r="S230" s="46">
        <f t="shared" si="1079"/>
        <v>0.31477689297460643</v>
      </c>
      <c r="T230" s="46">
        <f t="shared" ref="T230:AG230" si="1080">IFERROR(T215/S215-1,"n/a")</f>
        <v>-0.13713602621371157</v>
      </c>
      <c r="U230" s="46">
        <f t="shared" si="1080"/>
        <v>0.14237186291986292</v>
      </c>
      <c r="V230" s="46">
        <f t="shared" si="1080"/>
        <v>4.3096193228041813E-2</v>
      </c>
      <c r="W230" s="46">
        <f t="shared" si="1080"/>
        <v>0.17894301398951651</v>
      </c>
      <c r="X230" s="46">
        <f t="shared" si="1080"/>
        <v>-0.14874573998251461</v>
      </c>
      <c r="Y230" s="46">
        <f t="shared" si="1080"/>
        <v>0.10022770615479315</v>
      </c>
      <c r="Z230" s="46">
        <f t="shared" si="1080"/>
        <v>0.12761836924356174</v>
      </c>
      <c r="AA230" s="46">
        <f t="shared" si="1080"/>
        <v>0.12226672902136992</v>
      </c>
      <c r="AB230" s="46">
        <f t="shared" si="1080"/>
        <v>-0.10222209338420818</v>
      </c>
      <c r="AC230" s="46">
        <f t="shared" si="1080"/>
        <v>0.14423866042767064</v>
      </c>
      <c r="AD230" s="46">
        <f t="shared" si="1080"/>
        <v>4.9552494320934226E-2</v>
      </c>
      <c r="AE230" s="46">
        <f t="shared" si="1080"/>
        <v>0.15936619181838974</v>
      </c>
      <c r="AF230" s="46">
        <f t="shared" si="1080"/>
        <v>-0.13095086250545962</v>
      </c>
      <c r="AG230" s="46">
        <f t="shared" si="1080"/>
        <v>0.13478071365352728</v>
      </c>
      <c r="AH230" s="46">
        <f t="shared" ref="AH230:AJ230" si="1081">IFERROR(AH215/AG215-1,"n/a")</f>
        <v>3.2060357244338977E-2</v>
      </c>
      <c r="AI230" s="46">
        <f t="shared" si="1081"/>
        <v>0.15936619181838974</v>
      </c>
      <c r="AJ230" s="46">
        <f t="shared" si="1081"/>
        <v>-0.15304533210277849</v>
      </c>
      <c r="AK230" s="46">
        <f t="shared" ref="AK230:AK234" si="1082">IFERROR(AK215/AJ215-1,"n/a")</f>
        <v>0.13478071365352728</v>
      </c>
      <c r="AL230" s="46">
        <f t="shared" ref="AL230:AL234" si="1083">IFERROR(AL215/AK215-1,"n/a")</f>
        <v>3.2060357244338755E-2</v>
      </c>
      <c r="AM230" s="46">
        <f t="shared" ref="AM230:AM234" si="1084">IFERROR(AM215/AL215-1,"n/a")</f>
        <v>0.15936619181838996</v>
      </c>
    </row>
    <row r="231" spans="2:51" ht="12" x14ac:dyDescent="0.35">
      <c r="B231" s="20" t="s">
        <v>371</v>
      </c>
      <c r="E231" s="47" t="str">
        <f>IFERROR(E216/D216-1,"n/a")</f>
        <v>n/a</v>
      </c>
      <c r="F231" s="47" t="str">
        <f t="shared" ref="F231:S231" si="1085">IFERROR(F216/E216-1,"n/a")</f>
        <v>n/a</v>
      </c>
      <c r="G231" s="47" t="str">
        <f t="shared" si="1085"/>
        <v>n/a</v>
      </c>
      <c r="H231" s="47" t="str">
        <f t="shared" si="1085"/>
        <v>n/a</v>
      </c>
      <c r="I231" s="47" t="str">
        <f t="shared" si="1085"/>
        <v>n/a</v>
      </c>
      <c r="J231" s="47" t="str">
        <f t="shared" si="1085"/>
        <v>n/a</v>
      </c>
      <c r="K231" s="47" t="str">
        <f t="shared" si="1085"/>
        <v>n/a</v>
      </c>
      <c r="L231" s="47" t="str">
        <f t="shared" si="1085"/>
        <v>n/a</v>
      </c>
      <c r="M231" s="47" t="str">
        <f t="shared" si="1085"/>
        <v>n/a</v>
      </c>
      <c r="N231" s="47" t="str">
        <f t="shared" si="1085"/>
        <v>n/a</v>
      </c>
      <c r="O231" s="47" t="str">
        <f t="shared" si="1085"/>
        <v>n/a</v>
      </c>
      <c r="P231" s="47" t="str">
        <f t="shared" si="1085"/>
        <v>n/a</v>
      </c>
      <c r="Q231" s="47" t="str">
        <f t="shared" si="1085"/>
        <v>n/a</v>
      </c>
      <c r="R231" s="47" t="str">
        <f t="shared" si="1085"/>
        <v>n/a</v>
      </c>
      <c r="S231" s="47" t="str">
        <f t="shared" si="1085"/>
        <v>n/a</v>
      </c>
      <c r="T231" s="47">
        <f t="shared" ref="T231:AG231" si="1086">IFERROR(T216/S216-1,"n/a")</f>
        <v>1.7456140973734517</v>
      </c>
      <c r="U231" s="47">
        <f t="shared" si="1086"/>
        <v>0.34710002662288364</v>
      </c>
      <c r="V231" s="47">
        <f t="shared" si="1086"/>
        <v>0.42378923406455038</v>
      </c>
      <c r="W231" s="47">
        <f t="shared" si="1086"/>
        <v>0.16233998516913117</v>
      </c>
      <c r="X231" s="47">
        <f t="shared" si="1086"/>
        <v>7.0790445233614774E-2</v>
      </c>
      <c r="Y231" s="47">
        <f t="shared" si="1086"/>
        <v>0.19462945144508259</v>
      </c>
      <c r="Z231" s="47">
        <f t="shared" si="1086"/>
        <v>6.5555993622241848E-2</v>
      </c>
      <c r="AA231" s="47">
        <f t="shared" si="1086"/>
        <v>1.1392409208788923E-2</v>
      </c>
      <c r="AB231" s="47">
        <f t="shared" si="1086"/>
        <v>-1.4491917402011723E-2</v>
      </c>
      <c r="AC231" s="47">
        <f t="shared" si="1086"/>
        <v>0.12635207308838381</v>
      </c>
      <c r="AD231" s="47">
        <f t="shared" si="1086"/>
        <v>6.543313741382395E-2</v>
      </c>
      <c r="AE231" s="47">
        <f t="shared" si="1086"/>
        <v>-7.0127697097499553E-3</v>
      </c>
      <c r="AF231" s="47">
        <f t="shared" si="1086"/>
        <v>-7.0134498520180832E-2</v>
      </c>
      <c r="AG231" s="47">
        <f t="shared" si="1086"/>
        <v>6.591519126729195E-2</v>
      </c>
      <c r="AH231" s="47">
        <f t="shared" ref="AH231:AJ231" si="1087">IFERROR(AH216/AG216-1,"n/a")</f>
        <v>0.11765106015444138</v>
      </c>
      <c r="AI231" s="47">
        <f t="shared" si="1087"/>
        <v>-7.0127697097500663E-3</v>
      </c>
      <c r="AJ231" s="47">
        <f t="shared" si="1087"/>
        <v>-7.0134498520180721E-2</v>
      </c>
      <c r="AK231" s="47">
        <f t="shared" si="1082"/>
        <v>6.591519126729195E-2</v>
      </c>
      <c r="AL231" s="47">
        <f t="shared" si="1083"/>
        <v>0.11765106015444138</v>
      </c>
      <c r="AM231" s="47">
        <f t="shared" si="1084"/>
        <v>-7.0127697097500663E-3</v>
      </c>
    </row>
    <row r="232" spans="2:51" ht="10.15" x14ac:dyDescent="0.2">
      <c r="B232" s="30" t="s">
        <v>351</v>
      </c>
      <c r="E232" s="46">
        <f>IFERROR(E217/D217-1,"n/a")</f>
        <v>1.1937744084539399</v>
      </c>
      <c r="F232" s="46">
        <f t="shared" ref="F232:S232" si="1088">IFERROR(F217/E217-1,"n/a")</f>
        <v>0.86365778313000674</v>
      </c>
      <c r="G232" s="46">
        <f t="shared" si="1088"/>
        <v>1.1871663763555653</v>
      </c>
      <c r="H232" s="46">
        <f t="shared" si="1088"/>
        <v>-0.14964675658317272</v>
      </c>
      <c r="I232" s="46">
        <f t="shared" si="1088"/>
        <v>0.24555891238670724</v>
      </c>
      <c r="J232" s="46">
        <f t="shared" si="1088"/>
        <v>0.43463180362860143</v>
      </c>
      <c r="K232" s="46">
        <f t="shared" si="1088"/>
        <v>0.73001166584949417</v>
      </c>
      <c r="L232" s="46">
        <f t="shared" si="1088"/>
        <v>-0.25726850720742767</v>
      </c>
      <c r="M232" s="46">
        <f t="shared" si="1088"/>
        <v>0.54050000000000109</v>
      </c>
      <c r="N232" s="46">
        <f t="shared" si="1088"/>
        <v>6.5076273937033191E-2</v>
      </c>
      <c r="O232" s="46">
        <f t="shared" si="1088"/>
        <v>0.48780644281738961</v>
      </c>
      <c r="P232" s="46">
        <f t="shared" si="1088"/>
        <v>-0.18447648564883479</v>
      </c>
      <c r="Q232" s="46">
        <f t="shared" si="1088"/>
        <v>0.14228684732319952</v>
      </c>
      <c r="R232" s="46">
        <f t="shared" si="1088"/>
        <v>0.26800634156502356</v>
      </c>
      <c r="S232" s="46">
        <f t="shared" si="1088"/>
        <v>0.32570831451035231</v>
      </c>
      <c r="T232" s="46">
        <f t="shared" ref="T232:AG232" si="1089">IFERROR(T217/S217-1,"n/a")</f>
        <v>-0.12161139306316004</v>
      </c>
      <c r="U232" s="46">
        <f t="shared" si="1089"/>
        <v>0.14764852223059743</v>
      </c>
      <c r="V232" s="46">
        <f t="shared" si="1089"/>
        <v>5.4613404786917785E-2</v>
      </c>
      <c r="W232" s="46">
        <f t="shared" si="1089"/>
        <v>0.17826488525714068</v>
      </c>
      <c r="X232" s="46">
        <f t="shared" si="1089"/>
        <v>-0.13990026455194415</v>
      </c>
      <c r="Y232" s="46">
        <f t="shared" si="1089"/>
        <v>0.10496304175913074</v>
      </c>
      <c r="Z232" s="46">
        <f t="shared" si="1089"/>
        <v>0.12425259795884624</v>
      </c>
      <c r="AA232" s="46">
        <f t="shared" si="1089"/>
        <v>0.11656771729701942</v>
      </c>
      <c r="AB232" s="46">
        <f t="shared" si="1089"/>
        <v>-9.8137468253407856E-2</v>
      </c>
      <c r="AC232" s="46">
        <f t="shared" si="1089"/>
        <v>0.14332864126376577</v>
      </c>
      <c r="AD232" s="46">
        <f t="shared" si="1089"/>
        <v>5.0348459768526865E-2</v>
      </c>
      <c r="AE232" s="46">
        <f t="shared" si="1089"/>
        <v>0.15090722469840823</v>
      </c>
      <c r="AF232" s="46">
        <f t="shared" si="1089"/>
        <v>-0.128283127261694</v>
      </c>
      <c r="AG232" s="46">
        <f t="shared" si="1089"/>
        <v>0.13155839263350844</v>
      </c>
      <c r="AH232" s="46">
        <f t="shared" ref="AH232:AJ233" si="1090">IFERROR(AH217/AG217-1,"n/a")</f>
        <v>3.5832943974392961E-2</v>
      </c>
      <c r="AI232" s="46">
        <f t="shared" si="1090"/>
        <v>0.15145343964078006</v>
      </c>
      <c r="AJ232" s="46">
        <f t="shared" si="1090"/>
        <v>-0.14964487172751917</v>
      </c>
      <c r="AK232" s="46">
        <f t="shared" si="1082"/>
        <v>0.13169221025596345</v>
      </c>
      <c r="AL232" s="46">
        <f t="shared" si="1083"/>
        <v>3.5675847167607078E-2</v>
      </c>
      <c r="AM232" s="46">
        <f t="shared" si="1084"/>
        <v>0.15178178957764143</v>
      </c>
    </row>
    <row r="233" spans="2:51" ht="12" x14ac:dyDescent="0.35">
      <c r="B233" s="20" t="s">
        <v>372</v>
      </c>
      <c r="E233" s="47" t="str">
        <f>IFERROR(E218/D218-1,"n/a")</f>
        <v>n/a</v>
      </c>
      <c r="F233" s="47" t="str">
        <f t="shared" ref="F233:S233" si="1091">IFERROR(F218/E218-1,"n/a")</f>
        <v>n/a</v>
      </c>
      <c r="G233" s="47" t="str">
        <f t="shared" si="1091"/>
        <v>n/a</v>
      </c>
      <c r="H233" s="47" t="str">
        <f t="shared" si="1091"/>
        <v>n/a</v>
      </c>
      <c r="I233" s="47" t="str">
        <f t="shared" si="1091"/>
        <v>n/a</v>
      </c>
      <c r="J233" s="47" t="str">
        <f t="shared" si="1091"/>
        <v>n/a</v>
      </c>
      <c r="K233" s="47" t="str">
        <f t="shared" si="1091"/>
        <v>n/a</v>
      </c>
      <c r="L233" s="47" t="str">
        <f t="shared" si="1091"/>
        <v>n/a</v>
      </c>
      <c r="M233" s="47" t="str">
        <f t="shared" si="1091"/>
        <v>n/a</v>
      </c>
      <c r="N233" s="47" t="str">
        <f t="shared" si="1091"/>
        <v>n/a</v>
      </c>
      <c r="O233" s="47" t="str">
        <f t="shared" si="1091"/>
        <v>n/a</v>
      </c>
      <c r="P233" s="47" t="str">
        <f t="shared" si="1091"/>
        <v>n/a</v>
      </c>
      <c r="Q233" s="47" t="str">
        <f t="shared" si="1091"/>
        <v>n/a</v>
      </c>
      <c r="R233" s="47" t="str">
        <f t="shared" si="1091"/>
        <v>n/a</v>
      </c>
      <c r="S233" s="47" t="str">
        <f t="shared" si="1091"/>
        <v>n/a</v>
      </c>
      <c r="T233" s="47" t="str">
        <f t="shared" ref="T233:AG233" si="1092">IFERROR(T218/S218-1,"n/a")</f>
        <v>n/a</v>
      </c>
      <c r="U233" s="47" t="str">
        <f t="shared" si="1092"/>
        <v>n/a</v>
      </c>
      <c r="V233" s="47" t="str">
        <f t="shared" si="1092"/>
        <v>n/a</v>
      </c>
      <c r="W233" s="47" t="str">
        <f t="shared" si="1092"/>
        <v>n/a</v>
      </c>
      <c r="X233" s="47" t="str">
        <f t="shared" si="1092"/>
        <v>n/a</v>
      </c>
      <c r="Y233" s="47" t="str">
        <f t="shared" si="1092"/>
        <v>n/a</v>
      </c>
      <c r="Z233" s="47" t="str">
        <f t="shared" si="1092"/>
        <v>n/a</v>
      </c>
      <c r="AA233" s="47">
        <f t="shared" si="1092"/>
        <v>78.415199048275639</v>
      </c>
      <c r="AB233" s="47">
        <f t="shared" si="1092"/>
        <v>1.6622753058813551</v>
      </c>
      <c r="AC233" s="47">
        <f t="shared" si="1092"/>
        <v>2.5135492261576822</v>
      </c>
      <c r="AD233" s="47">
        <f t="shared" si="1092"/>
        <v>1.1182772795935398</v>
      </c>
      <c r="AE233" s="47">
        <f t="shared" si="1092"/>
        <v>0.36938364508657062</v>
      </c>
      <c r="AF233" s="47">
        <f t="shared" si="1092"/>
        <v>0.10642986899635076</v>
      </c>
      <c r="AG233" s="47">
        <f t="shared" si="1092"/>
        <v>0.21033180518815198</v>
      </c>
      <c r="AH233" s="169">
        <v>0.06</v>
      </c>
      <c r="AI233" s="169">
        <v>0.1</v>
      </c>
      <c r="AJ233" s="47">
        <f t="shared" si="1090"/>
        <v>-7.8828790372322488E-2</v>
      </c>
      <c r="AK233" s="47">
        <f t="shared" si="1082"/>
        <v>0.21033180518815198</v>
      </c>
      <c r="AL233" s="47">
        <f t="shared" si="1083"/>
        <v>6.0000000000000053E-2</v>
      </c>
      <c r="AM233" s="47">
        <f t="shared" si="1084"/>
        <v>0.10000000000000009</v>
      </c>
    </row>
    <row r="234" spans="2:51" ht="10.15" x14ac:dyDescent="0.2">
      <c r="B234" s="30" t="s">
        <v>394</v>
      </c>
      <c r="E234" s="46">
        <f>IFERROR(E219/D219-1,"n/a")</f>
        <v>1.1937744084539399</v>
      </c>
      <c r="F234" s="46">
        <f t="shared" ref="F234:S234" si="1093">IFERROR(F219/E219-1,"n/a")</f>
        <v>0.86365778313000674</v>
      </c>
      <c r="G234" s="46">
        <f t="shared" si="1093"/>
        <v>1.1871663763555653</v>
      </c>
      <c r="H234" s="46">
        <f t="shared" si="1093"/>
        <v>-0.14964675658317272</v>
      </c>
      <c r="I234" s="46">
        <f t="shared" si="1093"/>
        <v>0.24555891238670724</v>
      </c>
      <c r="J234" s="46">
        <f t="shared" si="1093"/>
        <v>0.43463180362860143</v>
      </c>
      <c r="K234" s="46">
        <f t="shared" si="1093"/>
        <v>0.73001166584949417</v>
      </c>
      <c r="L234" s="46">
        <f t="shared" si="1093"/>
        <v>-0.25726850720742767</v>
      </c>
      <c r="M234" s="46">
        <f t="shared" si="1093"/>
        <v>0.54050000000000109</v>
      </c>
      <c r="N234" s="46">
        <f t="shared" si="1093"/>
        <v>6.5076273937033191E-2</v>
      </c>
      <c r="O234" s="46">
        <f t="shared" si="1093"/>
        <v>0.48780644281738961</v>
      </c>
      <c r="P234" s="46">
        <f t="shared" si="1093"/>
        <v>-0.18447648564883479</v>
      </c>
      <c r="Q234" s="46">
        <f t="shared" si="1093"/>
        <v>0.14228684732319952</v>
      </c>
      <c r="R234" s="46">
        <f t="shared" si="1093"/>
        <v>0.26800634156502356</v>
      </c>
      <c r="S234" s="46">
        <f t="shared" si="1093"/>
        <v>0.32570831451035231</v>
      </c>
      <c r="T234" s="46">
        <f t="shared" ref="T234:AJ234" si="1094">IFERROR(T219/S219-1,"n/a")</f>
        <v>-0.12161139306316004</v>
      </c>
      <c r="U234" s="46">
        <f t="shared" si="1094"/>
        <v>0.14764852223059743</v>
      </c>
      <c r="V234" s="46">
        <f t="shared" si="1094"/>
        <v>5.4613404786917785E-2</v>
      </c>
      <c r="W234" s="46">
        <f t="shared" si="1094"/>
        <v>0.17826488525714068</v>
      </c>
      <c r="X234" s="46">
        <f t="shared" si="1094"/>
        <v>-0.13990026455194415</v>
      </c>
      <c r="Y234" s="46">
        <f t="shared" si="1094"/>
        <v>0.10496304175913074</v>
      </c>
      <c r="Z234" s="46">
        <f t="shared" si="1094"/>
        <v>0.12429221420410697</v>
      </c>
      <c r="AA234" s="46">
        <f t="shared" si="1094"/>
        <v>0.11932669556192255</v>
      </c>
      <c r="AB234" s="46">
        <f t="shared" si="1094"/>
        <v>-9.3736427532445932E-2</v>
      </c>
      <c r="AC234" s="46">
        <f t="shared" si="1094"/>
        <v>0.16073580768076923</v>
      </c>
      <c r="AD234" s="46">
        <f t="shared" si="1094"/>
        <v>7.4089201465956434E-2</v>
      </c>
      <c r="AE234" s="46">
        <f t="shared" si="1094"/>
        <v>0.16048575781837826</v>
      </c>
      <c r="AF234" s="46">
        <f t="shared" si="1094"/>
        <v>-0.11614038175368491</v>
      </c>
      <c r="AG234" s="46">
        <f t="shared" si="1094"/>
        <v>0.13665991757874663</v>
      </c>
      <c r="AH234" s="46">
        <f t="shared" si="1094"/>
        <v>3.7499492653555233E-2</v>
      </c>
      <c r="AI234" s="46">
        <f t="shared" si="1094"/>
        <v>0.1478282841463785</v>
      </c>
      <c r="AJ234" s="46">
        <f t="shared" si="1094"/>
        <v>-0.14486341883677378</v>
      </c>
      <c r="AK234" s="46">
        <f t="shared" si="1082"/>
        <v>0.13741192182249073</v>
      </c>
      <c r="AL234" s="46">
        <f t="shared" si="1083"/>
        <v>3.7558443699441169E-2</v>
      </c>
      <c r="AM234" s="46">
        <f t="shared" si="1084"/>
        <v>0.14768739321647395</v>
      </c>
    </row>
    <row r="235" spans="2:51" ht="10.15" x14ac:dyDescent="0.2">
      <c r="B235" s="30"/>
      <c r="E235" s="46"/>
      <c r="F235" s="46"/>
      <c r="G235" s="46"/>
      <c r="H235" s="46"/>
      <c r="I235" s="46"/>
      <c r="J235" s="46"/>
      <c r="K235" s="46"/>
      <c r="L235" s="46"/>
      <c r="M235" s="46"/>
      <c r="N235" s="46"/>
      <c r="O235" s="46"/>
      <c r="P235" s="46"/>
      <c r="Q235" s="46"/>
      <c r="R235" s="46"/>
      <c r="S235" s="46"/>
      <c r="T235" s="168"/>
      <c r="U235" s="168"/>
      <c r="V235" s="168"/>
      <c r="W235" s="168"/>
    </row>
    <row r="236" spans="2:51" ht="10.15" x14ac:dyDescent="0.2">
      <c r="B236" s="24" t="s">
        <v>369</v>
      </c>
    </row>
    <row r="237" spans="2:51" ht="10.15" x14ac:dyDescent="0.2">
      <c r="B237" t="s">
        <v>370</v>
      </c>
      <c r="D237" s="14">
        <f>+IFERROR(D215*D259,"n/a")</f>
        <v>5.2235999999999994</v>
      </c>
      <c r="E237" s="14">
        <f t="shared" ref="E237:K237" si="1095">+IFERROR(E215*E259,"n/a")</f>
        <v>11.4594</v>
      </c>
      <c r="F237" s="14">
        <f t="shared" si="1095"/>
        <v>21.356400000000001</v>
      </c>
      <c r="G237" s="14">
        <f t="shared" si="1095"/>
        <v>46.709999999999994</v>
      </c>
      <c r="H237" s="14">
        <f t="shared" si="1095"/>
        <v>39.72</v>
      </c>
      <c r="I237" s="14">
        <f t="shared" si="1095"/>
        <v>49.473600000000012</v>
      </c>
      <c r="J237" s="14">
        <f t="shared" si="1095"/>
        <v>70.976399999999984</v>
      </c>
      <c r="K237" s="14">
        <f t="shared" si="1095"/>
        <v>122.79000000000002</v>
      </c>
      <c r="L237" s="58">
        <v>91.192800000000005</v>
      </c>
      <c r="M237" s="58">
        <v>140.5008</v>
      </c>
      <c r="N237" s="58">
        <v>149.63639999999998</v>
      </c>
      <c r="O237" s="58">
        <v>222.63</v>
      </c>
      <c r="P237" s="58">
        <v>142.64862857142853</v>
      </c>
      <c r="Q237" s="58">
        <v>246.30497142857143</v>
      </c>
      <c r="R237" s="58">
        <v>262.97639999999996</v>
      </c>
      <c r="S237" s="58">
        <v>348.63</v>
      </c>
      <c r="T237" s="58">
        <v>299.56211999999994</v>
      </c>
      <c r="U237" s="58">
        <v>342.21131999999994</v>
      </c>
      <c r="V237" s="58">
        <v>356.95905784064144</v>
      </c>
      <c r="W237" s="58">
        <v>420.97293439930019</v>
      </c>
      <c r="X237" s="58">
        <v>356.77554554648219</v>
      </c>
      <c r="Y237" s="58">
        <v>392.53460121673413</v>
      </c>
      <c r="Z237" s="58">
        <v>442.62923172239533</v>
      </c>
      <c r="AA237" s="58">
        <v>496.74806259117423</v>
      </c>
      <c r="AB237" s="58">
        <v>445.96943193310278</v>
      </c>
      <c r="AC237" s="58">
        <v>510.29498158175443</v>
      </c>
      <c r="AD237" s="58">
        <v>535.58137038409836</v>
      </c>
      <c r="AE237" s="58">
        <v>620.93507823896778</v>
      </c>
      <c r="AF237" s="58">
        <v>539.6232</v>
      </c>
      <c r="AG237" s="58">
        <v>612.35400000000004</v>
      </c>
      <c r="AH237" s="14">
        <f t="shared" ref="AH237:AI237" si="1096">+IFERROR(AH215*AH259,"n/a")</f>
        <v>631.98628799999994</v>
      </c>
      <c r="AI237" s="14">
        <f t="shared" si="1096"/>
        <v>732.70353599999999</v>
      </c>
      <c r="AJ237" s="14">
        <f t="shared" ref="AJ237:AM237" si="1097">+IFERROR(AJ215*AJ259,"n/a")</f>
        <v>620.56667999999991</v>
      </c>
      <c r="AK237" s="14">
        <f t="shared" si="1097"/>
        <v>704.20709999999997</v>
      </c>
      <c r="AL237" s="14">
        <f t="shared" si="1097"/>
        <v>726.78423119999979</v>
      </c>
      <c r="AM237" s="14">
        <f t="shared" si="1097"/>
        <v>842.60906639999996</v>
      </c>
      <c r="AO237" s="17" t="str">
        <f>+IFERROR(AO215*AO259,"n/a")</f>
        <v>n/a</v>
      </c>
      <c r="AP237" s="14">
        <f t="shared" ref="AP237:AP242" si="1098">+SUM(D237:G237)</f>
        <v>84.749399999999994</v>
      </c>
      <c r="AQ237" s="14">
        <f t="shared" ref="AQ237:AQ242" si="1099">+SUM(H237:K237)</f>
        <v>282.96000000000004</v>
      </c>
      <c r="AR237" s="14">
        <f t="shared" ref="AR237:AR242" si="1100">+SUM(L237:O237)</f>
        <v>603.96</v>
      </c>
      <c r="AS237" s="14">
        <f t="shared" ref="AS237:AS242" si="1101">+SUM(P237:S237)</f>
        <v>1000.5599999999998</v>
      </c>
      <c r="AT237" s="14">
        <f t="shared" ref="AT237:AT242" si="1102">+SUM(T237:W237)</f>
        <v>1419.7054322399415</v>
      </c>
      <c r="AU237" s="14">
        <f t="shared" ref="AU237:AU242" si="1103">+SUM(X237:AA237)</f>
        <v>1688.6874410767859</v>
      </c>
      <c r="AV237" s="14">
        <f t="shared" ref="AV237:AV242" si="1104">+SUM(AB237:AE237)</f>
        <v>2112.7808621379236</v>
      </c>
      <c r="AW237" s="14">
        <f t="shared" ref="AW237:AW242" si="1105">+SUM(AF237:AI237)</f>
        <v>2516.6670239999999</v>
      </c>
      <c r="AX237" s="14">
        <f>+SUM(AJ237:AM237)</f>
        <v>2894.1670775999996</v>
      </c>
      <c r="AY237" s="33"/>
    </row>
    <row r="238" spans="2:51" ht="12" x14ac:dyDescent="0.35">
      <c r="B238" t="s">
        <v>371</v>
      </c>
      <c r="D238" s="13">
        <v>0</v>
      </c>
      <c r="E238" s="13">
        <v>0</v>
      </c>
      <c r="F238" s="13">
        <v>0</v>
      </c>
      <c r="G238" s="13">
        <v>0</v>
      </c>
      <c r="H238" s="13">
        <v>0</v>
      </c>
      <c r="I238" s="13">
        <v>0</v>
      </c>
      <c r="J238" s="13">
        <v>0</v>
      </c>
      <c r="K238" s="13">
        <v>0</v>
      </c>
      <c r="L238" s="13">
        <v>0</v>
      </c>
      <c r="M238" s="13">
        <v>0</v>
      </c>
      <c r="N238" s="13">
        <v>0</v>
      </c>
      <c r="O238" s="13">
        <v>0</v>
      </c>
      <c r="P238" s="13">
        <v>0</v>
      </c>
      <c r="Q238" s="13">
        <v>0</v>
      </c>
      <c r="R238" s="13">
        <v>0</v>
      </c>
      <c r="S238" s="54">
        <v>4.0724999999999998</v>
      </c>
      <c r="T238" s="54">
        <v>11.181513411553382</v>
      </c>
      <c r="U238" s="54">
        <v>15.062617014387692</v>
      </c>
      <c r="V238" s="54">
        <v>21.445991941922717</v>
      </c>
      <c r="W238" s="54">
        <v>24.927533955711755</v>
      </c>
      <c r="X238" s="54">
        <v>26.692165183012644</v>
      </c>
      <c r="Y238" s="54">
        <v>31.887246650463922</v>
      </c>
      <c r="Z238" s="54">
        <v>33.977646788512594</v>
      </c>
      <c r="AA238" s="54">
        <v>34.364734044679018</v>
      </c>
      <c r="AB238" s="54">
        <v>33.866723157361427</v>
      </c>
      <c r="AC238" s="54">
        <v>38.145853837004424</v>
      </c>
      <c r="AD238" s="54">
        <v>40.641856732888776</v>
      </c>
      <c r="AE238" s="54">
        <v>40.356844751044378</v>
      </c>
      <c r="AF238" s="54">
        <v>37.526437682573089</v>
      </c>
      <c r="AG238" s="54">
        <v>40</v>
      </c>
      <c r="AH238" s="15">
        <f t="shared" ref="AH238:AI238" si="1106">+IFERROR(AH216*AH260,"n/a")</f>
        <v>44.706042406177659</v>
      </c>
      <c r="AI238" s="15">
        <f t="shared" si="1106"/>
        <v>44.392529226148817</v>
      </c>
      <c r="AJ238" s="15">
        <f t="shared" ref="AJ238:AM238" si="1107">+IFERROR(AJ216*AJ260,"n/a")</f>
        <v>41.279081450830397</v>
      </c>
      <c r="AK238" s="15">
        <f t="shared" si="1107"/>
        <v>44.000000000000007</v>
      </c>
      <c r="AL238" s="15">
        <f t="shared" si="1107"/>
        <v>49.176646646795426</v>
      </c>
      <c r="AM238" s="15">
        <f t="shared" si="1107"/>
        <v>48.8317821487637</v>
      </c>
      <c r="AO238" s="13">
        <v>0</v>
      </c>
      <c r="AP238" s="36">
        <f t="shared" si="1098"/>
        <v>0</v>
      </c>
      <c r="AQ238" s="36">
        <f t="shared" si="1099"/>
        <v>0</v>
      </c>
      <c r="AR238" s="36">
        <f t="shared" si="1100"/>
        <v>0</v>
      </c>
      <c r="AS238" s="36">
        <f t="shared" si="1101"/>
        <v>4.0724999999999998</v>
      </c>
      <c r="AT238" s="36">
        <f t="shared" si="1102"/>
        <v>72.617656323575545</v>
      </c>
      <c r="AU238" s="36">
        <f t="shared" si="1103"/>
        <v>126.92179266666818</v>
      </c>
      <c r="AV238" s="36">
        <f t="shared" si="1104"/>
        <v>153.011278478299</v>
      </c>
      <c r="AW238" s="36">
        <f t="shared" si="1105"/>
        <v>166.62500931489956</v>
      </c>
      <c r="AX238" s="36">
        <f t="shared" ref="AX238:AX242" si="1108">+SUM(AJ238:AM238)</f>
        <v>183.28751024638953</v>
      </c>
    </row>
    <row r="239" spans="2:51" ht="10.15" x14ac:dyDescent="0.2">
      <c r="B239" s="4" t="s">
        <v>358</v>
      </c>
      <c r="D239" s="14">
        <f>+IFERROR(D237+D238,"n/a")</f>
        <v>5.2235999999999994</v>
      </c>
      <c r="E239" s="14">
        <f t="shared" ref="E239:T239" si="1109">+IFERROR(E237+E238,"n/a")</f>
        <v>11.4594</v>
      </c>
      <c r="F239" s="14">
        <f t="shared" si="1109"/>
        <v>21.356400000000001</v>
      </c>
      <c r="G239" s="14">
        <f t="shared" si="1109"/>
        <v>46.709999999999994</v>
      </c>
      <c r="H239" s="14">
        <f t="shared" si="1109"/>
        <v>39.72</v>
      </c>
      <c r="I239" s="14">
        <f t="shared" si="1109"/>
        <v>49.473600000000012</v>
      </c>
      <c r="J239" s="14">
        <f t="shared" si="1109"/>
        <v>70.976399999999984</v>
      </c>
      <c r="K239" s="14">
        <f t="shared" si="1109"/>
        <v>122.79000000000002</v>
      </c>
      <c r="L239" s="14">
        <f t="shared" si="1109"/>
        <v>91.192800000000005</v>
      </c>
      <c r="M239" s="14">
        <f t="shared" si="1109"/>
        <v>140.5008</v>
      </c>
      <c r="N239" s="14">
        <f t="shared" si="1109"/>
        <v>149.63639999999998</v>
      </c>
      <c r="O239" s="14">
        <f t="shared" si="1109"/>
        <v>222.63</v>
      </c>
      <c r="P239" s="14">
        <f t="shared" si="1109"/>
        <v>142.64862857142853</v>
      </c>
      <c r="Q239" s="14">
        <f t="shared" si="1109"/>
        <v>246.30497142857143</v>
      </c>
      <c r="R239" s="14">
        <f t="shared" si="1109"/>
        <v>262.97639999999996</v>
      </c>
      <c r="S239" s="14">
        <f t="shared" si="1109"/>
        <v>352.70249999999999</v>
      </c>
      <c r="T239" s="14">
        <f t="shared" si="1109"/>
        <v>310.74363341155333</v>
      </c>
      <c r="U239" s="14">
        <f t="shared" ref="U239" si="1110">+IFERROR(U237+U238,"n/a")</f>
        <v>357.27393701438763</v>
      </c>
      <c r="V239" s="14">
        <f t="shared" ref="V239" si="1111">+IFERROR(V237+V238,"n/a")</f>
        <v>378.40504978256416</v>
      </c>
      <c r="W239" s="14">
        <f t="shared" ref="W239" si="1112">+IFERROR(W237+W238,"n/a")</f>
        <v>445.90046835501192</v>
      </c>
      <c r="X239" s="14">
        <f t="shared" ref="X239" si="1113">+IFERROR(X237+X238,"n/a")</f>
        <v>383.46771072949485</v>
      </c>
      <c r="Y239" s="14">
        <f t="shared" ref="Y239" si="1114">+IFERROR(Y237+Y238,"n/a")</f>
        <v>424.42184786719804</v>
      </c>
      <c r="Z239" s="14">
        <f t="shared" ref="Z239" si="1115">+IFERROR(Z237+Z238,"n/a")</f>
        <v>476.6068785109079</v>
      </c>
      <c r="AA239" s="14">
        <f t="shared" ref="AA239" si="1116">+IFERROR(AA237+AA238,"n/a")</f>
        <v>531.11279663585321</v>
      </c>
      <c r="AB239" s="14">
        <f t="shared" ref="AB239" si="1117">+IFERROR(AB237+AB238,"n/a")</f>
        <v>479.83615509046422</v>
      </c>
      <c r="AC239" s="14">
        <f t="shared" ref="AC239" si="1118">+IFERROR(AC237+AC238,"n/a")</f>
        <v>548.44083541875887</v>
      </c>
      <c r="AD239" s="14">
        <f t="shared" ref="AD239" si="1119">+IFERROR(AD237+AD238,"n/a")</f>
        <v>576.22322711698712</v>
      </c>
      <c r="AE239" s="14">
        <f t="shared" ref="AE239:AF239" si="1120">+IFERROR(AE237+AE238,"n/a")</f>
        <v>661.29192299001215</v>
      </c>
      <c r="AF239" s="14">
        <f t="shared" si="1120"/>
        <v>577.14963768257303</v>
      </c>
      <c r="AG239" s="14">
        <f t="shared" ref="AG239" si="1121">+IFERROR(AG237+AG238,"n/a")</f>
        <v>652.35400000000004</v>
      </c>
      <c r="AH239" s="14">
        <f t="shared" ref="AH239" si="1122">+IFERROR(AH237+AH238,"n/a")</f>
        <v>676.69233040617758</v>
      </c>
      <c r="AI239" s="14">
        <f t="shared" ref="AI239:AM239" si="1123">+IFERROR(AI237+AI238,"n/a")</f>
        <v>777.09606522614877</v>
      </c>
      <c r="AJ239" s="14">
        <f t="shared" si="1123"/>
        <v>661.84576145083031</v>
      </c>
      <c r="AK239" s="14">
        <f t="shared" si="1123"/>
        <v>748.20709999999997</v>
      </c>
      <c r="AL239" s="14">
        <f t="shared" si="1123"/>
        <v>775.96087784679526</v>
      </c>
      <c r="AM239" s="14">
        <f t="shared" si="1123"/>
        <v>891.44084854876371</v>
      </c>
      <c r="AO239" s="17" t="str">
        <f>+IFERROR(AO237+AO238,"n/a")</f>
        <v>n/a</v>
      </c>
      <c r="AP239" s="10">
        <f t="shared" si="1098"/>
        <v>84.749399999999994</v>
      </c>
      <c r="AQ239" s="10">
        <f t="shared" si="1099"/>
        <v>282.96000000000004</v>
      </c>
      <c r="AR239" s="10">
        <f t="shared" si="1100"/>
        <v>603.96</v>
      </c>
      <c r="AS239" s="10">
        <f t="shared" si="1101"/>
        <v>1004.6324999999998</v>
      </c>
      <c r="AT239" s="10">
        <f t="shared" si="1102"/>
        <v>1492.3230885635171</v>
      </c>
      <c r="AU239" s="10">
        <f t="shared" si="1103"/>
        <v>1815.6092337434538</v>
      </c>
      <c r="AV239" s="10">
        <f t="shared" si="1104"/>
        <v>2265.7921406162222</v>
      </c>
      <c r="AW239" s="10">
        <f t="shared" si="1105"/>
        <v>2683.2920333148995</v>
      </c>
      <c r="AX239" s="10">
        <f t="shared" si="1108"/>
        <v>3077.4545878463896</v>
      </c>
    </row>
    <row r="240" spans="2:51" ht="12" x14ac:dyDescent="0.35">
      <c r="B240" t="s">
        <v>372</v>
      </c>
      <c r="D240" s="36">
        <f t="shared" ref="D240:AG240" si="1124">+IFERROR(D242/D541,"n/a")</f>
        <v>0</v>
      </c>
      <c r="E240" s="36">
        <f t="shared" si="1124"/>
        <v>0</v>
      </c>
      <c r="F240" s="36">
        <f t="shared" si="1124"/>
        <v>0</v>
      </c>
      <c r="G240" s="36">
        <f t="shared" si="1124"/>
        <v>0</v>
      </c>
      <c r="H240" s="36">
        <f t="shared" si="1124"/>
        <v>0</v>
      </c>
      <c r="I240" s="36">
        <f t="shared" si="1124"/>
        <v>0</v>
      </c>
      <c r="J240" s="36">
        <f t="shared" si="1124"/>
        <v>0</v>
      </c>
      <c r="K240" s="36">
        <f t="shared" si="1124"/>
        <v>0</v>
      </c>
      <c r="L240" s="36">
        <f t="shared" si="1124"/>
        <v>0</v>
      </c>
      <c r="M240" s="36">
        <f t="shared" si="1124"/>
        <v>0</v>
      </c>
      <c r="N240" s="36">
        <f t="shared" si="1124"/>
        <v>0</v>
      </c>
      <c r="O240" s="36">
        <f t="shared" si="1124"/>
        <v>0</v>
      </c>
      <c r="P240" s="36">
        <f t="shared" si="1124"/>
        <v>0</v>
      </c>
      <c r="Q240" s="36">
        <f t="shared" si="1124"/>
        <v>0</v>
      </c>
      <c r="R240" s="36">
        <f t="shared" si="1124"/>
        <v>0</v>
      </c>
      <c r="S240" s="36">
        <f t="shared" si="1124"/>
        <v>0</v>
      </c>
      <c r="T240" s="36">
        <f t="shared" si="1124"/>
        <v>0</v>
      </c>
      <c r="U240" s="36">
        <f t="shared" si="1124"/>
        <v>0</v>
      </c>
      <c r="V240" s="36">
        <f t="shared" si="1124"/>
        <v>0</v>
      </c>
      <c r="W240" s="36">
        <f t="shared" si="1124"/>
        <v>0</v>
      </c>
      <c r="X240" s="36">
        <f t="shared" si="1124"/>
        <v>0</v>
      </c>
      <c r="Y240" s="36">
        <f t="shared" si="1124"/>
        <v>0</v>
      </c>
      <c r="Z240" s="36">
        <f t="shared" si="1124"/>
        <v>2.2784804633205064E-2</v>
      </c>
      <c r="AA240" s="36">
        <f t="shared" si="1124"/>
        <v>1.7565470458219887</v>
      </c>
      <c r="AB240" s="36">
        <f t="shared" si="1124"/>
        <v>4.9398421931012768</v>
      </c>
      <c r="AC240" s="36">
        <f t="shared" si="1124"/>
        <v>17.19662018252307</v>
      </c>
      <c r="AD240" s="36">
        <f t="shared" si="1124"/>
        <v>35.681548173179472</v>
      </c>
      <c r="AE240" s="36">
        <f t="shared" si="1124"/>
        <v>50.19317952109477</v>
      </c>
      <c r="AF240" s="36">
        <f t="shared" si="1124"/>
        <v>55.535233042035216</v>
      </c>
      <c r="AG240" s="36">
        <f t="shared" si="1124"/>
        <v>67.21605885931119</v>
      </c>
      <c r="AH240" s="36">
        <f t="shared" ref="AH240:AI240" si="1125">+IFERROR(AH218*AH262,"n/a")</f>
        <v>71.249022390869854</v>
      </c>
      <c r="AI240" s="36">
        <f t="shared" si="1125"/>
        <v>78.373924629956861</v>
      </c>
      <c r="AJ240" s="36">
        <f t="shared" ref="AJ240:AM240" si="1126">+IFERROR(AJ218*AJ262,"n/a")</f>
        <v>72.195802954645785</v>
      </c>
      <c r="AK240" s="36">
        <f t="shared" si="1126"/>
        <v>87.380876517104539</v>
      </c>
      <c r="AL240" s="36">
        <f t="shared" si="1126"/>
        <v>92.623729108130817</v>
      </c>
      <c r="AM240" s="36">
        <f t="shared" si="1126"/>
        <v>101.88610201894392</v>
      </c>
      <c r="AO240" s="36">
        <f>+IFERROR(AO242/AO541,"n/a")</f>
        <v>0</v>
      </c>
      <c r="AP240" s="36">
        <f t="shared" si="1098"/>
        <v>0</v>
      </c>
      <c r="AQ240" s="36">
        <f t="shared" si="1099"/>
        <v>0</v>
      </c>
      <c r="AR240" s="36">
        <f t="shared" si="1100"/>
        <v>0</v>
      </c>
      <c r="AS240" s="36">
        <f t="shared" si="1101"/>
        <v>0</v>
      </c>
      <c r="AT240" s="36">
        <f t="shared" si="1102"/>
        <v>0</v>
      </c>
      <c r="AU240" s="36">
        <f t="shared" si="1103"/>
        <v>1.7793318504551938</v>
      </c>
      <c r="AV240" s="36">
        <f t="shared" si="1104"/>
        <v>108.01119006989859</v>
      </c>
      <c r="AW240" s="36">
        <f t="shared" si="1105"/>
        <v>272.37423892217316</v>
      </c>
      <c r="AX240" s="36">
        <f t="shared" si="1108"/>
        <v>354.08651059882504</v>
      </c>
    </row>
    <row r="241" spans="2:50" ht="10.15" x14ac:dyDescent="0.2">
      <c r="B241" s="38" t="s">
        <v>395</v>
      </c>
      <c r="D241" s="49">
        <f>+IFERROR(D239+D240,"n/a")</f>
        <v>5.2235999999999994</v>
      </c>
      <c r="E241" s="49">
        <f t="shared" ref="E241:S241" si="1127">+IFERROR(E239+E240,"n/a")</f>
        <v>11.4594</v>
      </c>
      <c r="F241" s="49">
        <f t="shared" si="1127"/>
        <v>21.356400000000001</v>
      </c>
      <c r="G241" s="49">
        <f t="shared" si="1127"/>
        <v>46.709999999999994</v>
      </c>
      <c r="H241" s="49">
        <f t="shared" si="1127"/>
        <v>39.72</v>
      </c>
      <c r="I241" s="49">
        <f t="shared" si="1127"/>
        <v>49.473600000000012</v>
      </c>
      <c r="J241" s="49">
        <f t="shared" si="1127"/>
        <v>70.976399999999984</v>
      </c>
      <c r="K241" s="49">
        <f t="shared" si="1127"/>
        <v>122.79000000000002</v>
      </c>
      <c r="L241" s="49">
        <f t="shared" si="1127"/>
        <v>91.192800000000005</v>
      </c>
      <c r="M241" s="49">
        <f t="shared" si="1127"/>
        <v>140.5008</v>
      </c>
      <c r="N241" s="49">
        <f t="shared" si="1127"/>
        <v>149.63639999999998</v>
      </c>
      <c r="O241" s="49">
        <f t="shared" si="1127"/>
        <v>222.63</v>
      </c>
      <c r="P241" s="49">
        <f t="shared" si="1127"/>
        <v>142.64862857142853</v>
      </c>
      <c r="Q241" s="49">
        <f t="shared" si="1127"/>
        <v>246.30497142857143</v>
      </c>
      <c r="R241" s="49">
        <f t="shared" si="1127"/>
        <v>262.97639999999996</v>
      </c>
      <c r="S241" s="49">
        <f t="shared" si="1127"/>
        <v>352.70249999999999</v>
      </c>
      <c r="T241" s="49">
        <f t="shared" ref="T241" si="1128">+IFERROR(T239+T240,"n/a")</f>
        <v>310.74363341155333</v>
      </c>
      <c r="U241" s="49">
        <f t="shared" ref="U241" si="1129">+IFERROR(U239+U240,"n/a")</f>
        <v>357.27393701438763</v>
      </c>
      <c r="V241" s="49">
        <f t="shared" ref="V241" si="1130">+IFERROR(V239+V240,"n/a")</f>
        <v>378.40504978256416</v>
      </c>
      <c r="W241" s="49">
        <f t="shared" ref="W241" si="1131">+IFERROR(W239+W240,"n/a")</f>
        <v>445.90046835501192</v>
      </c>
      <c r="X241" s="49">
        <f t="shared" ref="X241" si="1132">+IFERROR(X239+X240,"n/a")</f>
        <v>383.46771072949485</v>
      </c>
      <c r="Y241" s="49">
        <f t="shared" ref="Y241" si="1133">+IFERROR(Y239+Y240,"n/a")</f>
        <v>424.42184786719804</v>
      </c>
      <c r="Z241" s="49">
        <f t="shared" ref="Z241" si="1134">+IFERROR(Z239+Z240,"n/a")</f>
        <v>476.62966331554111</v>
      </c>
      <c r="AA241" s="49">
        <f t="shared" ref="AA241" si="1135">+IFERROR(AA239+AA240,"n/a")</f>
        <v>532.86934368167522</v>
      </c>
      <c r="AB241" s="49">
        <f t="shared" ref="AB241" si="1136">+IFERROR(AB239+AB240,"n/a")</f>
        <v>484.77599728356552</v>
      </c>
      <c r="AC241" s="49">
        <f t="shared" ref="AC241" si="1137">+IFERROR(AC239+AC240,"n/a")</f>
        <v>565.63745560128189</v>
      </c>
      <c r="AD241" s="49">
        <f t="shared" ref="AD241" si="1138">+IFERROR(AD239+AD240,"n/a")</f>
        <v>611.90477529016664</v>
      </c>
      <c r="AE241" s="49">
        <f t="shared" ref="AE241" si="1139">+IFERROR(AE239+AE240,"n/a")</f>
        <v>711.4851025111069</v>
      </c>
      <c r="AF241" s="49">
        <f t="shared" ref="AF241:AG241" si="1140">+IFERROR(AF239+AF240,"n/a")</f>
        <v>632.68487072460823</v>
      </c>
      <c r="AG241" s="49">
        <f t="shared" si="1140"/>
        <v>719.57005885931119</v>
      </c>
      <c r="AH241" s="49">
        <f t="shared" ref="AH241" si="1141">+IFERROR(AH239+AH240,"n/a")</f>
        <v>747.94135279704744</v>
      </c>
      <c r="AI241" s="49">
        <f t="shared" ref="AI241:AM241" si="1142">+IFERROR(AI239+AI240,"n/a")</f>
        <v>855.4699898561056</v>
      </c>
      <c r="AJ241" s="49">
        <f t="shared" si="1142"/>
        <v>734.04156440547604</v>
      </c>
      <c r="AK241" s="49">
        <f t="shared" si="1142"/>
        <v>835.58797651710449</v>
      </c>
      <c r="AL241" s="49">
        <f t="shared" si="1142"/>
        <v>868.58460695492613</v>
      </c>
      <c r="AM241" s="49">
        <f t="shared" si="1142"/>
        <v>993.32695056770763</v>
      </c>
      <c r="AO241" s="49" t="str">
        <f>+IFERROR(AO239+AO240,"n/a")</f>
        <v>n/a</v>
      </c>
      <c r="AP241" s="48">
        <f t="shared" si="1098"/>
        <v>84.749399999999994</v>
      </c>
      <c r="AQ241" s="48">
        <f t="shared" si="1099"/>
        <v>282.96000000000004</v>
      </c>
      <c r="AR241" s="48">
        <f t="shared" si="1100"/>
        <v>603.96</v>
      </c>
      <c r="AS241" s="48">
        <f t="shared" si="1101"/>
        <v>1004.6324999999998</v>
      </c>
      <c r="AT241" s="48">
        <f t="shared" si="1102"/>
        <v>1492.3230885635171</v>
      </c>
      <c r="AU241" s="48">
        <f t="shared" si="1103"/>
        <v>1817.3885655939093</v>
      </c>
      <c r="AV241" s="48">
        <f t="shared" si="1104"/>
        <v>2373.8033306861212</v>
      </c>
      <c r="AW241" s="48">
        <f t="shared" si="1105"/>
        <v>2955.6662722370725</v>
      </c>
      <c r="AX241" s="48">
        <f t="shared" si="1108"/>
        <v>3431.5410984452142</v>
      </c>
    </row>
    <row r="242" spans="2:50" ht="10.15" x14ac:dyDescent="0.2">
      <c r="B242" s="20" t="s">
        <v>380</v>
      </c>
      <c r="D242" s="174">
        <v>0</v>
      </c>
      <c r="E242" s="174">
        <v>0</v>
      </c>
      <c r="F242" s="174">
        <v>0</v>
      </c>
      <c r="G242" s="174">
        <v>0</v>
      </c>
      <c r="H242" s="174">
        <v>0</v>
      </c>
      <c r="I242" s="174">
        <v>0</v>
      </c>
      <c r="J242" s="174">
        <v>0</v>
      </c>
      <c r="K242" s="174">
        <v>0</v>
      </c>
      <c r="L242" s="174">
        <v>0</v>
      </c>
      <c r="M242" s="174">
        <v>0</v>
      </c>
      <c r="N242" s="174">
        <v>0</v>
      </c>
      <c r="O242" s="174">
        <v>0</v>
      </c>
      <c r="P242" s="174">
        <v>0</v>
      </c>
      <c r="Q242" s="174">
        <v>0</v>
      </c>
      <c r="R242" s="174">
        <v>0</v>
      </c>
      <c r="S242" s="174">
        <v>0</v>
      </c>
      <c r="T242" s="174">
        <v>0</v>
      </c>
      <c r="U242" s="174">
        <v>0</v>
      </c>
      <c r="V242" s="174">
        <v>0</v>
      </c>
      <c r="W242" s="174">
        <v>0</v>
      </c>
      <c r="X242" s="174">
        <v>0</v>
      </c>
      <c r="Y242" s="174">
        <v>0</v>
      </c>
      <c r="Z242" s="146">
        <v>3.3296574250734215E-3</v>
      </c>
      <c r="AA242" s="146">
        <v>0.24719183957034516</v>
      </c>
      <c r="AB242" s="146">
        <v>0.72206661304999986</v>
      </c>
      <c r="AC242" s="146">
        <v>2.4541296662478671</v>
      </c>
      <c r="AD242" s="146">
        <v>4.9263729485300232</v>
      </c>
      <c r="AE242" s="146">
        <v>6.9509020796197669</v>
      </c>
      <c r="AF242" s="146">
        <f>+AF220*0.85</f>
        <v>7.7354470751920426</v>
      </c>
      <c r="AG242" s="146">
        <f>+AG220*0.85</f>
        <v>9.282</v>
      </c>
      <c r="AH242" s="179">
        <f t="shared" ref="AH242:AM242" si="1143">+AH240*AH541</f>
        <v>9.8768957289343327</v>
      </c>
      <c r="AI242" s="179">
        <f t="shared" si="1143"/>
        <v>10.86458530182777</v>
      </c>
      <c r="AJ242" s="179">
        <f t="shared" si="1143"/>
        <v>10.008143184587771</v>
      </c>
      <c r="AK242" s="179">
        <f t="shared" si="1143"/>
        <v>12.113174007183616</v>
      </c>
      <c r="AL242" s="179">
        <f t="shared" si="1143"/>
        <v>12.839964447614634</v>
      </c>
      <c r="AM242" s="179">
        <f t="shared" si="1143"/>
        <v>14.1239608923761</v>
      </c>
      <c r="AO242" s="174">
        <v>0</v>
      </c>
      <c r="AP242" s="179">
        <f t="shared" si="1098"/>
        <v>0</v>
      </c>
      <c r="AQ242" s="179">
        <f t="shared" si="1099"/>
        <v>0</v>
      </c>
      <c r="AR242" s="179">
        <f t="shared" si="1100"/>
        <v>0</v>
      </c>
      <c r="AS242" s="179">
        <f t="shared" si="1101"/>
        <v>0</v>
      </c>
      <c r="AT242" s="179">
        <f t="shared" si="1102"/>
        <v>0</v>
      </c>
      <c r="AU242" s="179">
        <f t="shared" si="1103"/>
        <v>0.25052149699541859</v>
      </c>
      <c r="AV242" s="179">
        <f t="shared" si="1104"/>
        <v>15.053471307447658</v>
      </c>
      <c r="AW242" s="179">
        <f t="shared" si="1105"/>
        <v>37.758928105954141</v>
      </c>
      <c r="AX242" s="179">
        <f t="shared" si="1108"/>
        <v>49.08524253176212</v>
      </c>
    </row>
    <row r="244" spans="2:50" ht="10.15" x14ac:dyDescent="0.2">
      <c r="B244" s="19" t="s">
        <v>86</v>
      </c>
    </row>
    <row r="245" spans="2:50" ht="10.15" x14ac:dyDescent="0.2">
      <c r="B245" s="20" t="s">
        <v>370</v>
      </c>
      <c r="H245" s="46">
        <f t="shared" ref="H245:Q249" si="1144">+IFERROR(H237/D237-1,"n/a")</f>
        <v>6.603951297955434</v>
      </c>
      <c r="I245" s="46">
        <f t="shared" si="1144"/>
        <v>3.3172940991674968</v>
      </c>
      <c r="J245" s="46">
        <f t="shared" si="1144"/>
        <v>2.3234252963982684</v>
      </c>
      <c r="K245" s="46">
        <f t="shared" si="1144"/>
        <v>1.6287732819524736</v>
      </c>
      <c r="L245" s="46">
        <f t="shared" si="1144"/>
        <v>1.2958912386706949</v>
      </c>
      <c r="M245" s="46">
        <f t="shared" si="1144"/>
        <v>1.8399146211312694</v>
      </c>
      <c r="N245" s="46">
        <f t="shared" si="1144"/>
        <v>1.1082557018952781</v>
      </c>
      <c r="O245" s="46">
        <f t="shared" si="1144"/>
        <v>0.81309552895186865</v>
      </c>
      <c r="P245" s="46">
        <f t="shared" si="1144"/>
        <v>0.56425319292124509</v>
      </c>
      <c r="Q245" s="46">
        <f t="shared" si="1144"/>
        <v>0.75305031308413506</v>
      </c>
      <c r="R245" s="46">
        <f t="shared" ref="R245:AA249" si="1145">+IFERROR(R237/N237-1,"n/a")</f>
        <v>0.75743602492441675</v>
      </c>
      <c r="S245" s="46">
        <f t="shared" si="1145"/>
        <v>0.56596146071957953</v>
      </c>
      <c r="T245" s="46">
        <f t="shared" si="1145"/>
        <v>1.1000000000000001</v>
      </c>
      <c r="U245" s="46">
        <f t="shared" si="1145"/>
        <v>0.38938048231495559</v>
      </c>
      <c r="V245" s="46">
        <f t="shared" si="1145"/>
        <v>0.35738057803149448</v>
      </c>
      <c r="W245" s="46">
        <f t="shared" si="1145"/>
        <v>0.20750633737572843</v>
      </c>
      <c r="X245" s="46">
        <f t="shared" si="1145"/>
        <v>0.19099018776633803</v>
      </c>
      <c r="Y245" s="46">
        <f t="shared" si="1145"/>
        <v>0.14705323370581125</v>
      </c>
      <c r="Z245" s="46">
        <f t="shared" si="1145"/>
        <v>0.23999999999999977</v>
      </c>
      <c r="AA245" s="46">
        <f t="shared" si="1145"/>
        <v>0.17999999999999994</v>
      </c>
      <c r="AB245" s="46">
        <f t="shared" ref="AB245:AG249" si="1146">+IFERROR(AB237/X237-1,"n/a")</f>
        <v>0.25000000000000022</v>
      </c>
      <c r="AC245" s="46">
        <f t="shared" si="1146"/>
        <v>0.30000000000000004</v>
      </c>
      <c r="AD245" s="46">
        <f t="shared" si="1146"/>
        <v>0.20999999999999996</v>
      </c>
      <c r="AE245" s="46">
        <f t="shared" si="1146"/>
        <v>0.25</v>
      </c>
      <c r="AF245" s="46">
        <f t="shared" ref="AF245:AI245" si="1147">+IFERROR(AF237/AB237-1,"n/a")</f>
        <v>0.21000042012060072</v>
      </c>
      <c r="AG245" s="46">
        <f t="shared" si="1146"/>
        <v>0.20000004331199706</v>
      </c>
      <c r="AH245" s="46">
        <f t="shared" si="1147"/>
        <v>0.18000050589280892</v>
      </c>
      <c r="AI245" s="46">
        <f t="shared" si="1147"/>
        <v>0.18000023138975885</v>
      </c>
      <c r="AJ245" s="46">
        <f t="shared" ref="AJ245:AJ249" si="1148">+IFERROR(AJ237/AF237-1,"n/a")</f>
        <v>0.14999999999999991</v>
      </c>
      <c r="AK245" s="46">
        <f t="shared" ref="AK245:AK249" si="1149">+IFERROR(AK237/AG237-1,"n/a")</f>
        <v>0.14999999999999991</v>
      </c>
      <c r="AL245" s="46">
        <f t="shared" ref="AL245:AL249" si="1150">+IFERROR(AL237/AH237-1,"n/a")</f>
        <v>0.14999999999999969</v>
      </c>
      <c r="AM245" s="46">
        <f t="shared" ref="AM245:AM249" si="1151">+IFERROR(AM237/AI237-1,"n/a")</f>
        <v>0.14999999999999991</v>
      </c>
      <c r="AP245" s="46" t="str">
        <f t="shared" ref="AP245:AQ249" si="1152">+IFERROR(AP237/AO237-1,"n/a")</f>
        <v>n/a</v>
      </c>
      <c r="AQ245" s="46">
        <f t="shared" si="1152"/>
        <v>2.338784699360704</v>
      </c>
      <c r="AR245" s="46">
        <f t="shared" ref="AR245:AV245" si="1153">+IFERROR(AR237/AQ237-1,"n/a")</f>
        <v>1.1344359626802372</v>
      </c>
      <c r="AS245" s="46">
        <f t="shared" si="1153"/>
        <v>0.65666600437115008</v>
      </c>
      <c r="AT245" s="46">
        <f t="shared" si="1153"/>
        <v>0.41891084216832741</v>
      </c>
      <c r="AU245" s="46">
        <f t="shared" si="1153"/>
        <v>0.18946325253715335</v>
      </c>
      <c r="AV245" s="46">
        <f t="shared" si="1153"/>
        <v>0.25113790198541164</v>
      </c>
      <c r="AW245" s="46">
        <f t="shared" ref="AW245:AX245" si="1154">+IFERROR(AW237/AV237-1,"n/a")</f>
        <v>0.19116330003736581</v>
      </c>
      <c r="AX245" s="46">
        <f t="shared" si="1154"/>
        <v>0.14999999999999991</v>
      </c>
    </row>
    <row r="246" spans="2:50" ht="12" x14ac:dyDescent="0.35">
      <c r="B246" s="20" t="s">
        <v>371</v>
      </c>
      <c r="H246" s="47" t="str">
        <f t="shared" si="1144"/>
        <v>n/a</v>
      </c>
      <c r="I246" s="47" t="str">
        <f t="shared" si="1144"/>
        <v>n/a</v>
      </c>
      <c r="J246" s="47" t="str">
        <f t="shared" si="1144"/>
        <v>n/a</v>
      </c>
      <c r="K246" s="47" t="str">
        <f t="shared" si="1144"/>
        <v>n/a</v>
      </c>
      <c r="L246" s="47" t="str">
        <f t="shared" si="1144"/>
        <v>n/a</v>
      </c>
      <c r="M246" s="47" t="str">
        <f t="shared" si="1144"/>
        <v>n/a</v>
      </c>
      <c r="N246" s="47" t="str">
        <f t="shared" si="1144"/>
        <v>n/a</v>
      </c>
      <c r="O246" s="47" t="str">
        <f t="shared" si="1144"/>
        <v>n/a</v>
      </c>
      <c r="P246" s="47" t="str">
        <f t="shared" si="1144"/>
        <v>n/a</v>
      </c>
      <c r="Q246" s="47" t="str">
        <f t="shared" si="1144"/>
        <v>n/a</v>
      </c>
      <c r="R246" s="47" t="str">
        <f t="shared" si="1145"/>
        <v>n/a</v>
      </c>
      <c r="S246" s="47" t="str">
        <f t="shared" si="1145"/>
        <v>n/a</v>
      </c>
      <c r="T246" s="47" t="str">
        <f t="shared" si="1145"/>
        <v>n/a</v>
      </c>
      <c r="U246" s="47" t="str">
        <f t="shared" si="1145"/>
        <v>n/a</v>
      </c>
      <c r="V246" s="47" t="str">
        <f t="shared" si="1145"/>
        <v>n/a</v>
      </c>
      <c r="W246" s="47">
        <f t="shared" si="1145"/>
        <v>5.1209414255891357</v>
      </c>
      <c r="X246" s="47">
        <f t="shared" si="1145"/>
        <v>1.3871692677516054</v>
      </c>
      <c r="Y246" s="47">
        <f t="shared" si="1145"/>
        <v>1.1169791823031465</v>
      </c>
      <c r="Z246" s="47">
        <f t="shared" si="1145"/>
        <v>0.58433551968715158</v>
      </c>
      <c r="AA246" s="47">
        <f t="shared" si="1145"/>
        <v>0.37858538697546829</v>
      </c>
      <c r="AB246" s="47">
        <f t="shared" si="1146"/>
        <v>0.26878890959789192</v>
      </c>
      <c r="AC246" s="47">
        <f t="shared" si="1146"/>
        <v>0.19627305095184333</v>
      </c>
      <c r="AD246" s="47">
        <f t="shared" si="1146"/>
        <v>0.19613512336084638</v>
      </c>
      <c r="AE246" s="47">
        <f t="shared" si="1146"/>
        <v>0.17436802212916214</v>
      </c>
      <c r="AF246" s="47">
        <f t="shared" ref="AF246:AI246" si="1155">+IFERROR(AF238/AB238-1,"n/a")</f>
        <v>0.10806225651672374</v>
      </c>
      <c r="AG246" s="47">
        <f t="shared" si="1146"/>
        <v>4.8606754771259419E-2</v>
      </c>
      <c r="AH246" s="47">
        <f t="shared" si="1155"/>
        <v>0.10000000000000009</v>
      </c>
      <c r="AI246" s="47">
        <f t="shared" si="1155"/>
        <v>0.10000000000000009</v>
      </c>
      <c r="AJ246" s="47">
        <f t="shared" si="1148"/>
        <v>9.9999999999999867E-2</v>
      </c>
      <c r="AK246" s="47">
        <f t="shared" si="1149"/>
        <v>0.10000000000000009</v>
      </c>
      <c r="AL246" s="47">
        <f t="shared" si="1150"/>
        <v>0.10000000000000009</v>
      </c>
      <c r="AM246" s="47">
        <f t="shared" si="1151"/>
        <v>0.10000000000000009</v>
      </c>
      <c r="AP246" s="47" t="str">
        <f t="shared" si="1152"/>
        <v>n/a</v>
      </c>
      <c r="AQ246" s="47" t="str">
        <f t="shared" si="1152"/>
        <v>n/a</v>
      </c>
      <c r="AR246" s="47" t="str">
        <f t="shared" ref="AR246:AV246" si="1156">+IFERROR(AR238/AQ238-1,"n/a")</f>
        <v>n/a</v>
      </c>
      <c r="AS246" s="47" t="str">
        <f t="shared" si="1156"/>
        <v>n/a</v>
      </c>
      <c r="AT246" s="47">
        <f t="shared" si="1156"/>
        <v>16.831223161098968</v>
      </c>
      <c r="AU246" s="47">
        <f t="shared" si="1156"/>
        <v>0.74780899153671299</v>
      </c>
      <c r="AV246" s="47">
        <f t="shared" si="1156"/>
        <v>0.20555560446698884</v>
      </c>
      <c r="AW246" s="47">
        <f t="shared" ref="AW246:AX246" si="1157">+IFERROR(AW238/AV238-1,"n/a")</f>
        <v>8.8972074294061398E-2</v>
      </c>
      <c r="AX246" s="47">
        <f t="shared" si="1157"/>
        <v>0.10000000000000009</v>
      </c>
    </row>
    <row r="247" spans="2:50" ht="10.15" x14ac:dyDescent="0.2">
      <c r="B247" s="30" t="s">
        <v>358</v>
      </c>
      <c r="H247" s="46">
        <f t="shared" si="1144"/>
        <v>6.603951297955434</v>
      </c>
      <c r="I247" s="46">
        <f t="shared" si="1144"/>
        <v>3.3172940991674968</v>
      </c>
      <c r="J247" s="46">
        <f t="shared" si="1144"/>
        <v>2.3234252963982684</v>
      </c>
      <c r="K247" s="46">
        <f t="shared" si="1144"/>
        <v>1.6287732819524736</v>
      </c>
      <c r="L247" s="46">
        <f t="shared" si="1144"/>
        <v>1.2958912386706949</v>
      </c>
      <c r="M247" s="46">
        <f t="shared" si="1144"/>
        <v>1.8399146211312694</v>
      </c>
      <c r="N247" s="46">
        <f t="shared" si="1144"/>
        <v>1.1082557018952781</v>
      </c>
      <c r="O247" s="46">
        <f t="shared" si="1144"/>
        <v>0.81309552895186865</v>
      </c>
      <c r="P247" s="46">
        <f t="shared" si="1144"/>
        <v>0.56425319292124509</v>
      </c>
      <c r="Q247" s="46">
        <f t="shared" si="1144"/>
        <v>0.75305031308413506</v>
      </c>
      <c r="R247" s="46">
        <f t="shared" si="1145"/>
        <v>0.75743602492441675</v>
      </c>
      <c r="S247" s="46">
        <f t="shared" si="1145"/>
        <v>0.58425414364640882</v>
      </c>
      <c r="T247" s="46">
        <f t="shared" si="1145"/>
        <v>1.178385004633637</v>
      </c>
      <c r="U247" s="46">
        <f t="shared" si="1145"/>
        <v>0.45053481844964405</v>
      </c>
      <c r="V247" s="46">
        <f t="shared" si="1145"/>
        <v>0.43893159151377925</v>
      </c>
      <c r="W247" s="46">
        <f t="shared" si="1145"/>
        <v>0.26423960237030353</v>
      </c>
      <c r="X247" s="46">
        <f t="shared" si="1145"/>
        <v>0.23403239680094967</v>
      </c>
      <c r="Y247" s="46">
        <f t="shared" si="1145"/>
        <v>0.18794517006737688</v>
      </c>
      <c r="Z247" s="46">
        <f t="shared" si="1145"/>
        <v>0.25951511161061847</v>
      </c>
      <c r="AA247" s="46">
        <f t="shared" si="1145"/>
        <v>0.1911016792496345</v>
      </c>
      <c r="AB247" s="46">
        <f t="shared" si="1146"/>
        <v>0.25130784591391442</v>
      </c>
      <c r="AC247" s="46">
        <f t="shared" si="1146"/>
        <v>0.2922068884407818</v>
      </c>
      <c r="AD247" s="46">
        <f t="shared" si="1146"/>
        <v>0.2090115629831375</v>
      </c>
      <c r="AE247" s="46">
        <f t="shared" si="1146"/>
        <v>0.24510636380582951</v>
      </c>
      <c r="AF247" s="46">
        <f t="shared" ref="AF247:AI247" si="1158">+IFERROR(AF239/AB239-1,"n/a")</f>
        <v>0.20280564846924087</v>
      </c>
      <c r="AG247" s="46">
        <f t="shared" si="1146"/>
        <v>0.18947014494626191</v>
      </c>
      <c r="AH247" s="46">
        <f t="shared" si="1158"/>
        <v>0.17435795462787351</v>
      </c>
      <c r="AI247" s="46">
        <f t="shared" si="1158"/>
        <v>0.1751180351826036</v>
      </c>
      <c r="AJ247" s="46">
        <f t="shared" si="1148"/>
        <v>0.14674898542488446</v>
      </c>
      <c r="AK247" s="46">
        <f t="shared" si="1149"/>
        <v>0.14693417990845448</v>
      </c>
      <c r="AL247" s="46">
        <f t="shared" si="1150"/>
        <v>0.14669672313417936</v>
      </c>
      <c r="AM247" s="46">
        <f t="shared" si="1151"/>
        <v>0.14714369103045022</v>
      </c>
      <c r="AP247" s="46" t="str">
        <f t="shared" si="1152"/>
        <v>n/a</v>
      </c>
      <c r="AQ247" s="46">
        <f t="shared" si="1152"/>
        <v>2.338784699360704</v>
      </c>
      <c r="AR247" s="46">
        <f t="shared" ref="AR247:AV247" si="1159">+IFERROR(AR239/AQ239-1,"n/a")</f>
        <v>1.1344359626802372</v>
      </c>
      <c r="AS247" s="46">
        <f t="shared" si="1159"/>
        <v>0.66340900059606556</v>
      </c>
      <c r="AT247" s="46">
        <f t="shared" si="1159"/>
        <v>0.48544177951989154</v>
      </c>
      <c r="AU247" s="46">
        <f t="shared" si="1159"/>
        <v>0.21663281072138751</v>
      </c>
      <c r="AV247" s="46">
        <f t="shared" si="1159"/>
        <v>0.24795143057549551</v>
      </c>
      <c r="AW247" s="46">
        <f t="shared" ref="AW247:AX247" si="1160">+IFERROR(AW239/AV239-1,"n/a")</f>
        <v>0.18426222124026381</v>
      </c>
      <c r="AX247" s="46">
        <f t="shared" si="1160"/>
        <v>0.14689513837394275</v>
      </c>
    </row>
    <row r="248" spans="2:50" ht="12" x14ac:dyDescent="0.35">
      <c r="B248" s="20" t="s">
        <v>372</v>
      </c>
      <c r="H248" s="47" t="str">
        <f t="shared" si="1144"/>
        <v>n/a</v>
      </c>
      <c r="I248" s="47" t="str">
        <f t="shared" si="1144"/>
        <v>n/a</v>
      </c>
      <c r="J248" s="47" t="str">
        <f t="shared" si="1144"/>
        <v>n/a</v>
      </c>
      <c r="K248" s="47" t="str">
        <f t="shared" si="1144"/>
        <v>n/a</v>
      </c>
      <c r="L248" s="47" t="str">
        <f t="shared" si="1144"/>
        <v>n/a</v>
      </c>
      <c r="M248" s="47" t="str">
        <f t="shared" si="1144"/>
        <v>n/a</v>
      </c>
      <c r="N248" s="47" t="str">
        <f t="shared" si="1144"/>
        <v>n/a</v>
      </c>
      <c r="O248" s="47" t="str">
        <f t="shared" si="1144"/>
        <v>n/a</v>
      </c>
      <c r="P248" s="47" t="str">
        <f t="shared" si="1144"/>
        <v>n/a</v>
      </c>
      <c r="Q248" s="47" t="str">
        <f t="shared" si="1144"/>
        <v>n/a</v>
      </c>
      <c r="R248" s="47" t="str">
        <f t="shared" si="1145"/>
        <v>n/a</v>
      </c>
      <c r="S248" s="47" t="str">
        <f t="shared" si="1145"/>
        <v>n/a</v>
      </c>
      <c r="T248" s="47" t="str">
        <f t="shared" si="1145"/>
        <v>n/a</v>
      </c>
      <c r="U248" s="47" t="str">
        <f t="shared" si="1145"/>
        <v>n/a</v>
      </c>
      <c r="V248" s="47" t="str">
        <f t="shared" si="1145"/>
        <v>n/a</v>
      </c>
      <c r="W248" s="47" t="str">
        <f t="shared" si="1145"/>
        <v>n/a</v>
      </c>
      <c r="X248" s="47" t="str">
        <f t="shared" si="1145"/>
        <v>n/a</v>
      </c>
      <c r="Y248" s="47" t="str">
        <f t="shared" si="1145"/>
        <v>n/a</v>
      </c>
      <c r="Z248" s="47" t="str">
        <f t="shared" si="1145"/>
        <v>n/a</v>
      </c>
      <c r="AA248" s="47" t="str">
        <f t="shared" si="1145"/>
        <v>n/a</v>
      </c>
      <c r="AB248" s="47" t="str">
        <f t="shared" si="1146"/>
        <v>n/a</v>
      </c>
      <c r="AC248" s="47" t="str">
        <f t="shared" si="1146"/>
        <v>n/a</v>
      </c>
      <c r="AD248" s="47">
        <f t="shared" si="1146"/>
        <v>1565.0238807217838</v>
      </c>
      <c r="AE248" s="47">
        <f t="shared" si="1146"/>
        <v>27.574913288249853</v>
      </c>
      <c r="AF248" s="47">
        <f t="shared" ref="AF248:AI248" si="1161">+IFERROR(AF240/AB240-1,"n/a")</f>
        <v>10.242309140885673</v>
      </c>
      <c r="AG248" s="47">
        <f t="shared" si="1146"/>
        <v>2.9086784580857867</v>
      </c>
      <c r="AH248" s="47">
        <f t="shared" si="1161"/>
        <v>0.99680299871139466</v>
      </c>
      <c r="AI248" s="47">
        <f t="shared" si="1161"/>
        <v>0.5614457059254141</v>
      </c>
      <c r="AJ248" s="47">
        <f t="shared" si="1148"/>
        <v>0.30000000000000004</v>
      </c>
      <c r="AK248" s="47">
        <f t="shared" si="1149"/>
        <v>0.29999999999999982</v>
      </c>
      <c r="AL248" s="47">
        <f t="shared" si="1150"/>
        <v>0.30000000000000004</v>
      </c>
      <c r="AM248" s="47">
        <f t="shared" si="1151"/>
        <v>0.30000000000000004</v>
      </c>
      <c r="AP248" s="47" t="str">
        <f t="shared" si="1152"/>
        <v>n/a</v>
      </c>
      <c r="AQ248" s="47" t="str">
        <f t="shared" si="1152"/>
        <v>n/a</v>
      </c>
      <c r="AR248" s="47" t="str">
        <f t="shared" ref="AR248:AV248" si="1162">+IFERROR(AR240/AQ240-1,"n/a")</f>
        <v>n/a</v>
      </c>
      <c r="AS248" s="47" t="str">
        <f t="shared" si="1162"/>
        <v>n/a</v>
      </c>
      <c r="AT248" s="47" t="str">
        <f t="shared" si="1162"/>
        <v>n/a</v>
      </c>
      <c r="AU248" s="47" t="str">
        <f t="shared" si="1162"/>
        <v>n/a</v>
      </c>
      <c r="AV248" s="47">
        <f t="shared" si="1162"/>
        <v>59.703229722025632</v>
      </c>
      <c r="AW248" s="47">
        <f t="shared" ref="AW248:AX248" si="1163">+IFERROR(AW240/AV240-1,"n/a")</f>
        <v>1.5217224136305538</v>
      </c>
      <c r="AX248" s="47">
        <f t="shared" si="1163"/>
        <v>0.29999999999999982</v>
      </c>
    </row>
    <row r="249" spans="2:50" ht="10.15" x14ac:dyDescent="0.2">
      <c r="B249" s="30" t="s">
        <v>396</v>
      </c>
      <c r="H249" s="46">
        <f t="shared" si="1144"/>
        <v>6.603951297955434</v>
      </c>
      <c r="I249" s="46">
        <f t="shared" si="1144"/>
        <v>3.3172940991674968</v>
      </c>
      <c r="J249" s="46">
        <f t="shared" si="1144"/>
        <v>2.3234252963982684</v>
      </c>
      <c r="K249" s="46">
        <f t="shared" si="1144"/>
        <v>1.6287732819524736</v>
      </c>
      <c r="L249" s="46">
        <f t="shared" si="1144"/>
        <v>1.2958912386706949</v>
      </c>
      <c r="M249" s="46">
        <f t="shared" si="1144"/>
        <v>1.8399146211312694</v>
      </c>
      <c r="N249" s="46">
        <f t="shared" si="1144"/>
        <v>1.1082557018952781</v>
      </c>
      <c r="O249" s="46">
        <f t="shared" si="1144"/>
        <v>0.81309552895186865</v>
      </c>
      <c r="P249" s="46">
        <f t="shared" si="1144"/>
        <v>0.56425319292124509</v>
      </c>
      <c r="Q249" s="46">
        <f t="shared" si="1144"/>
        <v>0.75305031308413506</v>
      </c>
      <c r="R249" s="46">
        <f t="shared" si="1145"/>
        <v>0.75743602492441675</v>
      </c>
      <c r="S249" s="46">
        <f t="shared" si="1145"/>
        <v>0.58425414364640882</v>
      </c>
      <c r="T249" s="46">
        <f t="shared" si="1145"/>
        <v>1.178385004633637</v>
      </c>
      <c r="U249" s="46">
        <f t="shared" si="1145"/>
        <v>0.45053481844964405</v>
      </c>
      <c r="V249" s="46">
        <f t="shared" si="1145"/>
        <v>0.43893159151377925</v>
      </c>
      <c r="W249" s="46">
        <f t="shared" si="1145"/>
        <v>0.26423960237030353</v>
      </c>
      <c r="X249" s="46">
        <f t="shared" si="1145"/>
        <v>0.23403239680094967</v>
      </c>
      <c r="Y249" s="46">
        <f t="shared" si="1145"/>
        <v>0.18794517006737688</v>
      </c>
      <c r="Z249" s="46">
        <f t="shared" si="1145"/>
        <v>0.25957532434997344</v>
      </c>
      <c r="AA249" s="46">
        <f t="shared" si="1145"/>
        <v>0.19504100466075625</v>
      </c>
      <c r="AB249" s="46">
        <f t="shared" si="1146"/>
        <v>0.26418987497368551</v>
      </c>
      <c r="AC249" s="46">
        <f t="shared" si="1146"/>
        <v>0.33272464281402958</v>
      </c>
      <c r="AD249" s="46">
        <f t="shared" si="1146"/>
        <v>0.28381597367151268</v>
      </c>
      <c r="AE249" s="46">
        <f t="shared" si="1146"/>
        <v>0.33519616196223323</v>
      </c>
      <c r="AF249" s="46">
        <f t="shared" ref="AF249:AI249" si="1164">+IFERROR(AF241/AB241-1,"n/a")</f>
        <v>0.30510766677774415</v>
      </c>
      <c r="AG249" s="46">
        <f t="shared" si="1146"/>
        <v>0.27214004612618248</v>
      </c>
      <c r="AH249" s="46">
        <f t="shared" si="1164"/>
        <v>0.22231658094573947</v>
      </c>
      <c r="AI249" s="46">
        <f t="shared" si="1164"/>
        <v>0.20237231508687969</v>
      </c>
      <c r="AJ249" s="46">
        <f t="shared" si="1148"/>
        <v>0.16020091260406599</v>
      </c>
      <c r="AK249" s="46">
        <f t="shared" si="1149"/>
        <v>0.16123227506395854</v>
      </c>
      <c r="AL249" s="46">
        <f t="shared" si="1150"/>
        <v>0.16130041975445497</v>
      </c>
      <c r="AM249" s="46">
        <f t="shared" si="1151"/>
        <v>0.16114762919362047</v>
      </c>
      <c r="AP249" s="46" t="str">
        <f t="shared" si="1152"/>
        <v>n/a</v>
      </c>
      <c r="AQ249" s="46">
        <f t="shared" si="1152"/>
        <v>2.338784699360704</v>
      </c>
      <c r="AR249" s="46">
        <f t="shared" ref="AR249:AV249" si="1165">+IFERROR(AR241/AQ241-1,"n/a")</f>
        <v>1.1344359626802372</v>
      </c>
      <c r="AS249" s="46">
        <f t="shared" si="1165"/>
        <v>0.66340900059606556</v>
      </c>
      <c r="AT249" s="46">
        <f t="shared" si="1165"/>
        <v>0.48544177951989154</v>
      </c>
      <c r="AU249" s="46">
        <f t="shared" si="1165"/>
        <v>0.21782513419617078</v>
      </c>
      <c r="AV249" s="46">
        <f t="shared" si="1165"/>
        <v>0.30616169575732943</v>
      </c>
      <c r="AW249" s="46">
        <f t="shared" ref="AW249:AX249" si="1166">+IFERROR(AW241/AV241-1,"n/a")</f>
        <v>0.24511842831679331</v>
      </c>
      <c r="AX249" s="46">
        <f t="shared" si="1166"/>
        <v>0.16100424823942094</v>
      </c>
    </row>
    <row r="250" spans="2:50" ht="10.15" x14ac:dyDescent="0.2">
      <c r="H250" s="46"/>
      <c r="I250" s="46"/>
      <c r="J250" s="46"/>
      <c r="K250" s="46"/>
      <c r="L250" s="46"/>
      <c r="M250" s="46"/>
      <c r="N250" s="46"/>
      <c r="O250" s="46"/>
      <c r="P250" s="46"/>
      <c r="Q250" s="46"/>
      <c r="R250" s="46"/>
      <c r="S250" s="46"/>
      <c r="T250" s="46"/>
      <c r="U250" s="46"/>
      <c r="V250" s="46"/>
      <c r="W250" s="46"/>
      <c r="X250" s="46"/>
      <c r="Y250" s="46"/>
      <c r="Z250" s="46"/>
      <c r="AA250" s="46"/>
      <c r="AB250" s="46"/>
      <c r="AC250" s="46"/>
      <c r="AD250" s="46"/>
      <c r="AE250" s="46"/>
      <c r="AF250" s="46"/>
      <c r="AG250" s="46"/>
      <c r="AH250" s="46"/>
      <c r="AI250" s="46"/>
      <c r="AJ250" s="46"/>
      <c r="AK250" s="46"/>
      <c r="AL250" s="46"/>
      <c r="AM250" s="46"/>
    </row>
    <row r="251" spans="2:50" ht="10.15" x14ac:dyDescent="0.2">
      <c r="B251" s="19" t="s">
        <v>262</v>
      </c>
      <c r="H251" s="46"/>
      <c r="I251" s="46"/>
      <c r="J251" s="46"/>
      <c r="K251" s="46"/>
      <c r="L251" s="46"/>
      <c r="M251" s="46"/>
      <c r="N251" s="46"/>
      <c r="O251" s="46"/>
      <c r="P251" s="46"/>
      <c r="Q251" s="46"/>
      <c r="R251" s="46"/>
      <c r="S251" s="46"/>
      <c r="T251" s="46"/>
      <c r="U251" s="46"/>
      <c r="V251" s="46"/>
      <c r="W251" s="46"/>
      <c r="X251" s="46"/>
      <c r="Y251" s="46"/>
      <c r="Z251" s="46"/>
      <c r="AA251" s="46"/>
      <c r="AB251" s="46"/>
      <c r="AC251" s="46"/>
      <c r="AD251" s="46"/>
      <c r="AE251" s="46"/>
      <c r="AF251" s="46"/>
      <c r="AG251" s="46"/>
      <c r="AH251" s="46"/>
      <c r="AI251" s="46"/>
      <c r="AJ251" s="46"/>
      <c r="AK251" s="46"/>
      <c r="AL251" s="46"/>
      <c r="AM251" s="46"/>
    </row>
    <row r="252" spans="2:50" ht="10.15" x14ac:dyDescent="0.2">
      <c r="B252" s="20" t="s">
        <v>370</v>
      </c>
      <c r="E252" s="46">
        <f>IFERROR(E237/D237-1,"n/a")</f>
        <v>1.1937744084539403</v>
      </c>
      <c r="F252" s="46">
        <f t="shared" ref="F252:AG252" si="1167">IFERROR(F237/E237-1,"n/a")</f>
        <v>0.86365778313000674</v>
      </c>
      <c r="G252" s="46">
        <f t="shared" si="1167"/>
        <v>1.1871663763555653</v>
      </c>
      <c r="H252" s="46">
        <f t="shared" si="1167"/>
        <v>-0.14964675658317272</v>
      </c>
      <c r="I252" s="46">
        <f t="shared" si="1167"/>
        <v>0.24555891238670724</v>
      </c>
      <c r="J252" s="46">
        <f t="shared" si="1167"/>
        <v>0.43463180362860121</v>
      </c>
      <c r="K252" s="46">
        <f t="shared" si="1167"/>
        <v>0.7300116658494944</v>
      </c>
      <c r="L252" s="46">
        <f t="shared" si="1167"/>
        <v>-0.25732714390422684</v>
      </c>
      <c r="M252" s="46">
        <f t="shared" si="1167"/>
        <v>0.54070058162486512</v>
      </c>
      <c r="N252" s="46">
        <f t="shared" si="1167"/>
        <v>6.5021693826654348E-2</v>
      </c>
      <c r="O252" s="46">
        <f t="shared" si="1167"/>
        <v>0.48780644281738961</v>
      </c>
      <c r="P252" s="46">
        <f t="shared" si="1167"/>
        <v>-0.35925693495293298</v>
      </c>
      <c r="Q252" s="46">
        <f t="shared" si="1167"/>
        <v>0.72665502567547646</v>
      </c>
      <c r="R252" s="46">
        <f t="shared" si="1167"/>
        <v>6.7686122917999025E-2</v>
      </c>
      <c r="S252" s="46">
        <f t="shared" si="1167"/>
        <v>0.32570831451035165</v>
      </c>
      <c r="T252" s="46">
        <f t="shared" si="1167"/>
        <v>-0.140744858445917</v>
      </c>
      <c r="U252" s="46">
        <f t="shared" si="1167"/>
        <v>0.14237180588787401</v>
      </c>
      <c r="V252" s="46">
        <f t="shared" si="1167"/>
        <v>4.3095412041429526E-2</v>
      </c>
      <c r="W252" s="46">
        <f t="shared" si="1167"/>
        <v>0.17933114499432801</v>
      </c>
      <c r="X252" s="46">
        <f t="shared" si="1167"/>
        <v>-0.1524976634054237</v>
      </c>
      <c r="Y252" s="46">
        <f t="shared" si="1167"/>
        <v>0.10022843806595239</v>
      </c>
      <c r="Z252" s="46">
        <f t="shared" si="1167"/>
        <v>0.12761838153982752</v>
      </c>
      <c r="AA252" s="46">
        <f t="shared" si="1167"/>
        <v>0.12226673475266714</v>
      </c>
      <c r="AB252" s="46">
        <f t="shared" si="1167"/>
        <v>-0.10222210106506746</v>
      </c>
      <c r="AC252" s="46">
        <f t="shared" si="1167"/>
        <v>0.14423757558859052</v>
      </c>
      <c r="AD252" s="46">
        <f t="shared" si="1167"/>
        <v>4.9552493587070146E-2</v>
      </c>
      <c r="AE252" s="46">
        <f t="shared" si="1167"/>
        <v>0.15936646152135014</v>
      </c>
      <c r="AF252" s="46">
        <f t="shared" ref="AF252:AI252" si="1168">IFERROR(AF237/AE237-1,"n/a")</f>
        <v>-0.13095069209099308</v>
      </c>
      <c r="AG252" s="46">
        <f t="shared" si="1167"/>
        <v>0.13478071365352728</v>
      </c>
      <c r="AH252" s="46">
        <f t="shared" si="1168"/>
        <v>3.2060357244338977E-2</v>
      </c>
      <c r="AI252" s="46">
        <f t="shared" si="1168"/>
        <v>0.15936619181838974</v>
      </c>
      <c r="AJ252" s="46">
        <f t="shared" ref="AJ252:AJ256" si="1169">IFERROR(AJ237/AI237-1,"n/a")</f>
        <v>-0.15304533210277849</v>
      </c>
      <c r="AK252" s="46">
        <f t="shared" ref="AK252:AK256" si="1170">IFERROR(AK237/AJ237-1,"n/a")</f>
        <v>0.13478071365352728</v>
      </c>
      <c r="AL252" s="46">
        <f t="shared" ref="AL252:AL256" si="1171">IFERROR(AL237/AK237-1,"n/a")</f>
        <v>3.2060357244338755E-2</v>
      </c>
      <c r="AM252" s="46">
        <f t="shared" ref="AM252:AM256" si="1172">IFERROR(AM237/AL237-1,"n/a")</f>
        <v>0.15936619181838996</v>
      </c>
    </row>
    <row r="253" spans="2:50" ht="12" x14ac:dyDescent="0.35">
      <c r="B253" s="20" t="s">
        <v>371</v>
      </c>
      <c r="E253" s="47" t="str">
        <f>IFERROR(E238/D238-1,"n/a")</f>
        <v>n/a</v>
      </c>
      <c r="F253" s="47" t="str">
        <f t="shared" ref="F253:S253" si="1173">IFERROR(F238/E238-1,"n/a")</f>
        <v>n/a</v>
      </c>
      <c r="G253" s="47" t="str">
        <f t="shared" si="1173"/>
        <v>n/a</v>
      </c>
      <c r="H253" s="47" t="str">
        <f t="shared" si="1173"/>
        <v>n/a</v>
      </c>
      <c r="I253" s="47" t="str">
        <f t="shared" si="1173"/>
        <v>n/a</v>
      </c>
      <c r="J253" s="47" t="str">
        <f t="shared" si="1173"/>
        <v>n/a</v>
      </c>
      <c r="K253" s="47" t="str">
        <f t="shared" si="1173"/>
        <v>n/a</v>
      </c>
      <c r="L253" s="47" t="str">
        <f t="shared" si="1173"/>
        <v>n/a</v>
      </c>
      <c r="M253" s="47" t="str">
        <f t="shared" si="1173"/>
        <v>n/a</v>
      </c>
      <c r="N253" s="47" t="str">
        <f t="shared" si="1173"/>
        <v>n/a</v>
      </c>
      <c r="O253" s="47" t="str">
        <f t="shared" si="1173"/>
        <v>n/a</v>
      </c>
      <c r="P253" s="47" t="str">
        <f t="shared" si="1173"/>
        <v>n/a</v>
      </c>
      <c r="Q253" s="47" t="str">
        <f t="shared" si="1173"/>
        <v>n/a</v>
      </c>
      <c r="R253" s="47" t="str">
        <f t="shared" si="1173"/>
        <v>n/a</v>
      </c>
      <c r="S253" s="47" t="str">
        <f t="shared" si="1173"/>
        <v>n/a</v>
      </c>
      <c r="T253" s="47">
        <f t="shared" ref="T253:AG253" si="1174">IFERROR(T238/S238-1,"n/a")</f>
        <v>1.7456140973734517</v>
      </c>
      <c r="U253" s="47">
        <f t="shared" si="1174"/>
        <v>0.34710002662288364</v>
      </c>
      <c r="V253" s="47">
        <f t="shared" si="1174"/>
        <v>0.42378923406455038</v>
      </c>
      <c r="W253" s="47">
        <f t="shared" si="1174"/>
        <v>0.16233998516913117</v>
      </c>
      <c r="X253" s="47">
        <f t="shared" si="1174"/>
        <v>7.0790445233614996E-2</v>
      </c>
      <c r="Y253" s="47">
        <f t="shared" si="1174"/>
        <v>0.19462945144508237</v>
      </c>
      <c r="Z253" s="47">
        <f t="shared" si="1174"/>
        <v>6.555599362224207E-2</v>
      </c>
      <c r="AA253" s="47">
        <f t="shared" si="1174"/>
        <v>1.1392409208788701E-2</v>
      </c>
      <c r="AB253" s="47">
        <f t="shared" si="1174"/>
        <v>-1.4491917402011834E-2</v>
      </c>
      <c r="AC253" s="47">
        <f t="shared" si="1174"/>
        <v>0.12635207308838403</v>
      </c>
      <c r="AD253" s="47">
        <f t="shared" si="1174"/>
        <v>6.543313741382395E-2</v>
      </c>
      <c r="AE253" s="47">
        <f t="shared" si="1174"/>
        <v>-7.0127697097499553E-3</v>
      </c>
      <c r="AF253" s="47">
        <f t="shared" ref="AF253:AI253" si="1175">IFERROR(AF238/AE238-1,"n/a")</f>
        <v>-7.0134498520180832E-2</v>
      </c>
      <c r="AG253" s="47">
        <f t="shared" si="1174"/>
        <v>6.5915191267291728E-2</v>
      </c>
      <c r="AH253" s="47">
        <f t="shared" si="1175"/>
        <v>0.11765106015444138</v>
      </c>
      <c r="AI253" s="47">
        <f t="shared" si="1175"/>
        <v>-7.0127697097499553E-3</v>
      </c>
      <c r="AJ253" s="47">
        <f t="shared" si="1169"/>
        <v>-7.0134498520180832E-2</v>
      </c>
      <c r="AK253" s="47">
        <f t="shared" si="1170"/>
        <v>6.591519126729195E-2</v>
      </c>
      <c r="AL253" s="47">
        <f t="shared" si="1171"/>
        <v>0.11765106015444138</v>
      </c>
      <c r="AM253" s="47">
        <f t="shared" si="1172"/>
        <v>-7.0127697097499553E-3</v>
      </c>
    </row>
    <row r="254" spans="2:50" ht="10.15" x14ac:dyDescent="0.2">
      <c r="B254" s="30" t="s">
        <v>358</v>
      </c>
      <c r="E254" s="46">
        <f>IFERROR(E239/D239-1,"n/a")</f>
        <v>1.1937744084539403</v>
      </c>
      <c r="F254" s="46">
        <f t="shared" ref="F254:S254" si="1176">IFERROR(F239/E239-1,"n/a")</f>
        <v>0.86365778313000674</v>
      </c>
      <c r="G254" s="46">
        <f t="shared" si="1176"/>
        <v>1.1871663763555653</v>
      </c>
      <c r="H254" s="46">
        <f t="shared" si="1176"/>
        <v>-0.14964675658317272</v>
      </c>
      <c r="I254" s="46">
        <f t="shared" si="1176"/>
        <v>0.24555891238670724</v>
      </c>
      <c r="J254" s="46">
        <f t="shared" si="1176"/>
        <v>0.43463180362860121</v>
      </c>
      <c r="K254" s="46">
        <f t="shared" si="1176"/>
        <v>0.7300116658494944</v>
      </c>
      <c r="L254" s="46">
        <f t="shared" si="1176"/>
        <v>-0.25732714390422684</v>
      </c>
      <c r="M254" s="46">
        <f t="shared" si="1176"/>
        <v>0.54070058162486512</v>
      </c>
      <c r="N254" s="46">
        <f t="shared" si="1176"/>
        <v>6.5021693826654348E-2</v>
      </c>
      <c r="O254" s="46">
        <f t="shared" si="1176"/>
        <v>0.48780644281738961</v>
      </c>
      <c r="P254" s="46">
        <f t="shared" si="1176"/>
        <v>-0.35925693495293298</v>
      </c>
      <c r="Q254" s="46">
        <f t="shared" si="1176"/>
        <v>0.72665502567547646</v>
      </c>
      <c r="R254" s="46">
        <f t="shared" si="1176"/>
        <v>6.7686122917999025E-2</v>
      </c>
      <c r="S254" s="46">
        <f t="shared" si="1176"/>
        <v>0.34119449501932508</v>
      </c>
      <c r="T254" s="46">
        <f t="shared" ref="T254:AG254" si="1177">IFERROR(T239/S239-1,"n/a")</f>
        <v>-0.11896390467446827</v>
      </c>
      <c r="U254" s="46">
        <f t="shared" si="1177"/>
        <v>0.14973855809045289</v>
      </c>
      <c r="V254" s="46">
        <f t="shared" si="1177"/>
        <v>5.9145407987948317E-2</v>
      </c>
      <c r="W254" s="46">
        <f t="shared" si="1177"/>
        <v>0.17836817614149547</v>
      </c>
      <c r="X254" s="46">
        <f t="shared" si="1177"/>
        <v>-0.14001500795870447</v>
      </c>
      <c r="Y254" s="46">
        <f t="shared" si="1177"/>
        <v>0.10679944097455696</v>
      </c>
      <c r="Z254" s="46">
        <f t="shared" si="1177"/>
        <v>0.12295557098662502</v>
      </c>
      <c r="AA254" s="46">
        <f t="shared" si="1177"/>
        <v>0.11436242442669209</v>
      </c>
      <c r="AB254" s="46">
        <f t="shared" si="1177"/>
        <v>-9.6545671409506206E-2</v>
      </c>
      <c r="AC254" s="46">
        <f t="shared" si="1177"/>
        <v>0.1429752210217683</v>
      </c>
      <c r="AD254" s="46">
        <f t="shared" si="1177"/>
        <v>5.0657044304542209E-2</v>
      </c>
      <c r="AE254" s="46">
        <f t="shared" si="1177"/>
        <v>0.14763149395877107</v>
      </c>
      <c r="AF254" s="46">
        <f t="shared" ref="AF254:AI254" si="1178">IFERROR(AF239/AE239-1,"n/a")</f>
        <v>-0.12723924545606458</v>
      </c>
      <c r="AG254" s="46">
        <f t="shared" si="1177"/>
        <v>0.13030305731351555</v>
      </c>
      <c r="AH254" s="46">
        <f t="shared" si="1178"/>
        <v>3.7308471176964453E-2</v>
      </c>
      <c r="AI254" s="46">
        <f t="shared" si="1178"/>
        <v>0.14837427632688693</v>
      </c>
      <c r="AJ254" s="46">
        <f t="shared" si="1169"/>
        <v>-0.14830895295008162</v>
      </c>
      <c r="AK254" s="46">
        <f t="shared" si="1170"/>
        <v>0.13048559585825137</v>
      </c>
      <c r="AL254" s="46">
        <f t="shared" si="1171"/>
        <v>3.709371088137936E-2</v>
      </c>
      <c r="AM254" s="46">
        <f t="shared" si="1172"/>
        <v>0.14882189811219915</v>
      </c>
    </row>
    <row r="255" spans="2:50" ht="12" x14ac:dyDescent="0.35">
      <c r="B255" s="20" t="s">
        <v>372</v>
      </c>
      <c r="E255" s="47" t="str">
        <f>IFERROR(E240/D240-1,"n/a")</f>
        <v>n/a</v>
      </c>
      <c r="F255" s="47" t="str">
        <f t="shared" ref="F255:S255" si="1179">IFERROR(F240/E240-1,"n/a")</f>
        <v>n/a</v>
      </c>
      <c r="G255" s="47" t="str">
        <f t="shared" si="1179"/>
        <v>n/a</v>
      </c>
      <c r="H255" s="47" t="str">
        <f t="shared" si="1179"/>
        <v>n/a</v>
      </c>
      <c r="I255" s="47" t="str">
        <f t="shared" si="1179"/>
        <v>n/a</v>
      </c>
      <c r="J255" s="47" t="str">
        <f t="shared" si="1179"/>
        <v>n/a</v>
      </c>
      <c r="K255" s="47" t="str">
        <f t="shared" si="1179"/>
        <v>n/a</v>
      </c>
      <c r="L255" s="47" t="str">
        <f t="shared" si="1179"/>
        <v>n/a</v>
      </c>
      <c r="M255" s="47" t="str">
        <f t="shared" si="1179"/>
        <v>n/a</v>
      </c>
      <c r="N255" s="47" t="str">
        <f t="shared" si="1179"/>
        <v>n/a</v>
      </c>
      <c r="O255" s="47" t="str">
        <f t="shared" si="1179"/>
        <v>n/a</v>
      </c>
      <c r="P255" s="47" t="str">
        <f t="shared" si="1179"/>
        <v>n/a</v>
      </c>
      <c r="Q255" s="47" t="str">
        <f t="shared" si="1179"/>
        <v>n/a</v>
      </c>
      <c r="R255" s="47" t="str">
        <f t="shared" si="1179"/>
        <v>n/a</v>
      </c>
      <c r="S255" s="47" t="str">
        <f t="shared" si="1179"/>
        <v>n/a</v>
      </c>
      <c r="T255" s="47" t="str">
        <f t="shared" ref="T255:AG255" si="1180">IFERROR(T240/S240-1,"n/a")</f>
        <v>n/a</v>
      </c>
      <c r="U255" s="47" t="str">
        <f t="shared" si="1180"/>
        <v>n/a</v>
      </c>
      <c r="V255" s="47" t="str">
        <f t="shared" si="1180"/>
        <v>n/a</v>
      </c>
      <c r="W255" s="47" t="str">
        <f t="shared" si="1180"/>
        <v>n/a</v>
      </c>
      <c r="X255" s="47" t="str">
        <f t="shared" si="1180"/>
        <v>n/a</v>
      </c>
      <c r="Y255" s="47" t="str">
        <f t="shared" si="1180"/>
        <v>n/a</v>
      </c>
      <c r="Z255" s="47" t="str">
        <f t="shared" si="1180"/>
        <v>n/a</v>
      </c>
      <c r="AA255" s="47">
        <f t="shared" si="1180"/>
        <v>76.092916709152448</v>
      </c>
      <c r="AB255" s="47">
        <f t="shared" si="1180"/>
        <v>1.81224588026314</v>
      </c>
      <c r="AC255" s="47">
        <f t="shared" si="1180"/>
        <v>2.4812084091550459</v>
      </c>
      <c r="AD255" s="47">
        <f t="shared" si="1180"/>
        <v>1.0749163378884554</v>
      </c>
      <c r="AE255" s="47">
        <f t="shared" si="1180"/>
        <v>0.4066984783699259</v>
      </c>
      <c r="AF255" s="47">
        <f t="shared" ref="AF255:AI255" si="1181">IFERROR(AF240/AE240-1,"n/a")</f>
        <v>0.10642986899635098</v>
      </c>
      <c r="AG255" s="47">
        <f t="shared" si="1180"/>
        <v>0.21033180518815198</v>
      </c>
      <c r="AH255" s="47">
        <f t="shared" si="1181"/>
        <v>5.9999999999999831E-2</v>
      </c>
      <c r="AI255" s="47">
        <f t="shared" si="1181"/>
        <v>0.10000000000000031</v>
      </c>
      <c r="AJ255" s="47">
        <f t="shared" si="1169"/>
        <v>-7.8828790372322488E-2</v>
      </c>
      <c r="AK255" s="47">
        <f t="shared" si="1170"/>
        <v>0.21033180518815175</v>
      </c>
      <c r="AL255" s="47">
        <f t="shared" si="1171"/>
        <v>6.0000000000000053E-2</v>
      </c>
      <c r="AM255" s="47">
        <f t="shared" si="1172"/>
        <v>0.10000000000000009</v>
      </c>
    </row>
    <row r="256" spans="2:50" ht="10.15" x14ac:dyDescent="0.2">
      <c r="B256" s="30" t="s">
        <v>396</v>
      </c>
      <c r="E256" s="46">
        <f>IFERROR(E241/D241-1,"n/a")</f>
        <v>1.1937744084539403</v>
      </c>
      <c r="F256" s="46">
        <f t="shared" ref="F256:S256" si="1182">IFERROR(F241/E241-1,"n/a")</f>
        <v>0.86365778313000674</v>
      </c>
      <c r="G256" s="46">
        <f t="shared" si="1182"/>
        <v>1.1871663763555653</v>
      </c>
      <c r="H256" s="46">
        <f t="shared" si="1182"/>
        <v>-0.14964675658317272</v>
      </c>
      <c r="I256" s="46">
        <f t="shared" si="1182"/>
        <v>0.24555891238670724</v>
      </c>
      <c r="J256" s="46">
        <f t="shared" si="1182"/>
        <v>0.43463180362860121</v>
      </c>
      <c r="K256" s="46">
        <f t="shared" si="1182"/>
        <v>0.7300116658494944</v>
      </c>
      <c r="L256" s="46">
        <f t="shared" si="1182"/>
        <v>-0.25732714390422684</v>
      </c>
      <c r="M256" s="46">
        <f t="shared" si="1182"/>
        <v>0.54070058162486512</v>
      </c>
      <c r="N256" s="46">
        <f t="shared" si="1182"/>
        <v>6.5021693826654348E-2</v>
      </c>
      <c r="O256" s="46">
        <f t="shared" si="1182"/>
        <v>0.48780644281738961</v>
      </c>
      <c r="P256" s="46">
        <f t="shared" si="1182"/>
        <v>-0.35925693495293298</v>
      </c>
      <c r="Q256" s="46">
        <f t="shared" si="1182"/>
        <v>0.72665502567547646</v>
      </c>
      <c r="R256" s="46">
        <f t="shared" si="1182"/>
        <v>6.7686122917999025E-2</v>
      </c>
      <c r="S256" s="46">
        <f t="shared" si="1182"/>
        <v>0.34119449501932508</v>
      </c>
      <c r="T256" s="46">
        <f t="shared" ref="T256:AG256" si="1183">IFERROR(T241/S241-1,"n/a")</f>
        <v>-0.11896390467446827</v>
      </c>
      <c r="U256" s="46">
        <f t="shared" si="1183"/>
        <v>0.14973855809045289</v>
      </c>
      <c r="V256" s="46">
        <f t="shared" si="1183"/>
        <v>5.9145407987948317E-2</v>
      </c>
      <c r="W256" s="46">
        <f t="shared" si="1183"/>
        <v>0.17836817614149547</v>
      </c>
      <c r="X256" s="46">
        <f t="shared" si="1183"/>
        <v>-0.14001500795870447</v>
      </c>
      <c r="Y256" s="46">
        <f t="shared" si="1183"/>
        <v>0.10679944097455696</v>
      </c>
      <c r="Z256" s="46">
        <f t="shared" si="1183"/>
        <v>0.12300925532155671</v>
      </c>
      <c r="AA256" s="46">
        <f t="shared" si="1183"/>
        <v>0.11799450326888694</v>
      </c>
      <c r="AB256" s="46">
        <f t="shared" si="1183"/>
        <v>-9.0253543327948771E-2</v>
      </c>
      <c r="AC256" s="46">
        <f t="shared" si="1183"/>
        <v>0.16680169556830826</v>
      </c>
      <c r="AD256" s="46">
        <f t="shared" si="1183"/>
        <v>8.1796775002641597E-2</v>
      </c>
      <c r="AE256" s="46">
        <f t="shared" si="1183"/>
        <v>0.16273827438872179</v>
      </c>
      <c r="AF256" s="46">
        <f t="shared" ref="AF256:AI256" si="1184">IFERROR(AF241/AE241-1,"n/a")</f>
        <v>-0.11075457730370186</v>
      </c>
      <c r="AG256" s="46">
        <f t="shared" si="1183"/>
        <v>0.13732774743798459</v>
      </c>
      <c r="AH256" s="46">
        <f t="shared" si="1184"/>
        <v>3.9428119039182086E-2</v>
      </c>
      <c r="AI256" s="46">
        <f t="shared" si="1184"/>
        <v>0.14376613441272834</v>
      </c>
      <c r="AJ256" s="46">
        <f t="shared" si="1169"/>
        <v>-0.14194352448418956</v>
      </c>
      <c r="AK256" s="46">
        <f t="shared" si="1170"/>
        <v>0.13833877676105999</v>
      </c>
      <c r="AL256" s="46">
        <f t="shared" si="1171"/>
        <v>3.9489115886226722E-2</v>
      </c>
      <c r="AM256" s="46">
        <f t="shared" si="1172"/>
        <v>0.14361565081161376</v>
      </c>
    </row>
    <row r="258" spans="2:50" ht="10.15" x14ac:dyDescent="0.2">
      <c r="B258" s="19" t="s">
        <v>368</v>
      </c>
    </row>
    <row r="259" spans="2:50" ht="10.15" x14ac:dyDescent="0.2">
      <c r="B259" s="20" t="s">
        <v>370</v>
      </c>
      <c r="D259" s="168">
        <v>0.6</v>
      </c>
      <c r="E259" s="168">
        <v>0.6</v>
      </c>
      <c r="F259" s="168">
        <v>0.6</v>
      </c>
      <c r="G259" s="168">
        <v>0.6</v>
      </c>
      <c r="H259" s="168">
        <v>0.6</v>
      </c>
      <c r="I259" s="168">
        <v>0.6</v>
      </c>
      <c r="J259" s="168">
        <v>0.6</v>
      </c>
      <c r="K259" s="168">
        <v>0.6</v>
      </c>
      <c r="L259" s="173">
        <f>+IFERROR(L237/L215,"n/a")</f>
        <v>0.59995263157894763</v>
      </c>
      <c r="M259" s="173">
        <f t="shared" ref="M259:AG260" si="1185">+IFERROR(M237/M215,"n/a")</f>
        <v>0.60003074873161466</v>
      </c>
      <c r="N259" s="173">
        <f t="shared" si="1185"/>
        <v>0.59999999999999987</v>
      </c>
      <c r="O259" s="173">
        <f t="shared" si="1185"/>
        <v>0.59999999999999987</v>
      </c>
      <c r="P259" s="173">
        <f t="shared" si="1185"/>
        <v>0.47140987631007458</v>
      </c>
      <c r="Q259" s="173">
        <f t="shared" si="1185"/>
        <v>0.71257253288984246</v>
      </c>
      <c r="R259" s="173">
        <f t="shared" si="1185"/>
        <v>0.60000000000000009</v>
      </c>
      <c r="S259" s="173">
        <f t="shared" si="1185"/>
        <v>0.6049885672287777</v>
      </c>
      <c r="T259" s="173">
        <f t="shared" si="1185"/>
        <v>0.60245827009289121</v>
      </c>
      <c r="U259" s="173">
        <f t="shared" si="1185"/>
        <v>0.60245824001565063</v>
      </c>
      <c r="V259" s="173">
        <f t="shared" si="1185"/>
        <v>0.60245778882781709</v>
      </c>
      <c r="W259" s="173">
        <f t="shared" si="1185"/>
        <v>0.60265612966716176</v>
      </c>
      <c r="X259" s="173">
        <f t="shared" si="1185"/>
        <v>0.59999990842392059</v>
      </c>
      <c r="Y259" s="173">
        <f t="shared" si="1185"/>
        <v>0.60000030756550371</v>
      </c>
      <c r="Z259" s="173">
        <f t="shared" si="1185"/>
        <v>0.60000031410828747</v>
      </c>
      <c r="AA259" s="173">
        <f t="shared" si="1185"/>
        <v>0.60000031717242541</v>
      </c>
      <c r="AB259" s="173">
        <f t="shared" si="1185"/>
        <v>0.60000031203917592</v>
      </c>
      <c r="AC259" s="173">
        <f t="shared" si="1185"/>
        <v>0.59999974318600813</v>
      </c>
      <c r="AD259" s="173">
        <f t="shared" si="1185"/>
        <v>0.59999974276647861</v>
      </c>
      <c r="AE259" s="173">
        <f t="shared" si="1185"/>
        <v>0.59999988234421342</v>
      </c>
      <c r="AF259" s="173">
        <f t="shared" si="1185"/>
        <v>0.6</v>
      </c>
      <c r="AG259" s="173">
        <f t="shared" si="1185"/>
        <v>0.6</v>
      </c>
      <c r="AH259" s="168">
        <v>0.6</v>
      </c>
      <c r="AI259" s="168">
        <v>0.6</v>
      </c>
      <c r="AJ259" s="168">
        <v>0.6</v>
      </c>
      <c r="AK259" s="168">
        <v>0.6</v>
      </c>
      <c r="AL259" s="168">
        <v>0.6</v>
      </c>
      <c r="AM259" s="168">
        <v>0.6</v>
      </c>
      <c r="AO259" s="168">
        <v>0.6</v>
      </c>
      <c r="AP259" s="173">
        <f>+IFERROR(AP237/AP215,"n/a")</f>
        <v>0.6</v>
      </c>
      <c r="AQ259" s="173">
        <f t="shared" ref="AQ259:AW263" si="1186">+IFERROR(AQ237/AQ215,"n/a")</f>
        <v>0.60000000000000009</v>
      </c>
      <c r="AR259" s="173">
        <f t="shared" si="1186"/>
        <v>0.6</v>
      </c>
      <c r="AS259" s="173">
        <f t="shared" si="1186"/>
        <v>0.6017288252513906</v>
      </c>
      <c r="AT259" s="173">
        <f t="shared" si="1186"/>
        <v>0.60251679784380152</v>
      </c>
      <c r="AU259" s="173">
        <f t="shared" si="1186"/>
        <v>0.60000022777821893</v>
      </c>
      <c r="AV259" s="173">
        <f t="shared" si="1186"/>
        <v>0.59999990405194548</v>
      </c>
      <c r="AW259" s="173">
        <f t="shared" si="1186"/>
        <v>0.6</v>
      </c>
      <c r="AX259" s="173">
        <f t="shared" ref="AX259" si="1187">+IFERROR(AX237/AX215,"n/a")</f>
        <v>0.6</v>
      </c>
    </row>
    <row r="260" spans="2:50" ht="12" x14ac:dyDescent="0.35">
      <c r="B260" s="20" t="s">
        <v>371</v>
      </c>
      <c r="D260" s="180" t="str">
        <f t="shared" ref="D260:Q260" si="1188">+IFERROR(D238/D216,"n/a")</f>
        <v>n/a</v>
      </c>
      <c r="E260" s="180" t="str">
        <f t="shared" si="1188"/>
        <v>n/a</v>
      </c>
      <c r="F260" s="180" t="str">
        <f t="shared" si="1188"/>
        <v>n/a</v>
      </c>
      <c r="G260" s="180" t="str">
        <f t="shared" si="1188"/>
        <v>n/a</v>
      </c>
      <c r="H260" s="180" t="str">
        <f t="shared" si="1188"/>
        <v>n/a</v>
      </c>
      <c r="I260" s="180" t="str">
        <f t="shared" si="1188"/>
        <v>n/a</v>
      </c>
      <c r="J260" s="180" t="str">
        <f t="shared" si="1188"/>
        <v>n/a</v>
      </c>
      <c r="K260" s="180" t="str">
        <f t="shared" si="1188"/>
        <v>n/a</v>
      </c>
      <c r="L260" s="180" t="str">
        <f t="shared" si="1188"/>
        <v>n/a</v>
      </c>
      <c r="M260" s="180" t="str">
        <f t="shared" si="1188"/>
        <v>n/a</v>
      </c>
      <c r="N260" s="180" t="str">
        <f t="shared" si="1188"/>
        <v>n/a</v>
      </c>
      <c r="O260" s="180" t="str">
        <f t="shared" si="1188"/>
        <v>n/a</v>
      </c>
      <c r="P260" s="180" t="str">
        <f t="shared" si="1188"/>
        <v>n/a</v>
      </c>
      <c r="Q260" s="180" t="str">
        <f t="shared" si="1188"/>
        <v>n/a</v>
      </c>
      <c r="R260" s="180" t="str">
        <f t="shared" si="1185"/>
        <v>n/a</v>
      </c>
      <c r="S260" s="169">
        <v>0.85</v>
      </c>
      <c r="T260" s="169">
        <v>0.85</v>
      </c>
      <c r="U260" s="169">
        <v>0.85</v>
      </c>
      <c r="V260" s="169">
        <v>0.85</v>
      </c>
      <c r="W260" s="169">
        <v>0.85</v>
      </c>
      <c r="X260" s="169">
        <v>0.85</v>
      </c>
      <c r="Y260" s="169">
        <v>0.85</v>
      </c>
      <c r="Z260" s="169">
        <v>0.85</v>
      </c>
      <c r="AA260" s="169">
        <v>0.85</v>
      </c>
      <c r="AB260" s="169">
        <v>0.85</v>
      </c>
      <c r="AC260" s="169">
        <v>0.85</v>
      </c>
      <c r="AD260" s="169">
        <v>0.85</v>
      </c>
      <c r="AE260" s="169">
        <v>0.85</v>
      </c>
      <c r="AF260" s="169">
        <v>0.85</v>
      </c>
      <c r="AG260" s="169">
        <v>0.85</v>
      </c>
      <c r="AH260" s="169">
        <v>0.85</v>
      </c>
      <c r="AI260" s="169">
        <v>0.85</v>
      </c>
      <c r="AJ260" s="169">
        <v>0.85</v>
      </c>
      <c r="AK260" s="169">
        <v>0.85</v>
      </c>
      <c r="AL260" s="169">
        <v>0.85</v>
      </c>
      <c r="AM260" s="169">
        <v>0.85</v>
      </c>
      <c r="AO260" s="180" t="str">
        <f>+IFERROR(AO238/AO216,"n/a")</f>
        <v>n/a</v>
      </c>
      <c r="AP260" s="180" t="str">
        <f>+IFERROR(AP238/AP216,"n/a")</f>
        <v>n/a</v>
      </c>
      <c r="AQ260" s="180" t="str">
        <f t="shared" si="1186"/>
        <v>n/a</v>
      </c>
      <c r="AR260" s="180" t="str">
        <f t="shared" si="1186"/>
        <v>n/a</v>
      </c>
      <c r="AS260" s="180">
        <f t="shared" si="1186"/>
        <v>0.85</v>
      </c>
      <c r="AT260" s="180">
        <f t="shared" si="1186"/>
        <v>0.85</v>
      </c>
      <c r="AU260" s="180">
        <f t="shared" si="1186"/>
        <v>0.85</v>
      </c>
      <c r="AV260" s="180">
        <f t="shared" si="1186"/>
        <v>0.85000000000000009</v>
      </c>
      <c r="AW260" s="180">
        <f t="shared" si="1186"/>
        <v>0.84999999999999987</v>
      </c>
      <c r="AX260" s="180">
        <f t="shared" ref="AX260" si="1189">+IFERROR(AX238/AX216,"n/a")</f>
        <v>0.85000000000000009</v>
      </c>
    </row>
    <row r="261" spans="2:50" ht="10.15" x14ac:dyDescent="0.2">
      <c r="B261" s="30" t="s">
        <v>358</v>
      </c>
      <c r="D261" s="173">
        <f>+IFERROR(D239/D217,"n/a")</f>
        <v>0.6</v>
      </c>
      <c r="E261" s="173">
        <f t="shared" ref="E261:S261" si="1190">+IFERROR(E239/E217,"n/a")</f>
        <v>0.6</v>
      </c>
      <c r="F261" s="173">
        <f t="shared" si="1190"/>
        <v>0.6</v>
      </c>
      <c r="G261" s="173">
        <f t="shared" si="1190"/>
        <v>0.6</v>
      </c>
      <c r="H261" s="173">
        <f t="shared" si="1190"/>
        <v>0.6</v>
      </c>
      <c r="I261" s="173">
        <f t="shared" si="1190"/>
        <v>0.6</v>
      </c>
      <c r="J261" s="173">
        <f t="shared" si="1190"/>
        <v>0.6</v>
      </c>
      <c r="K261" s="173">
        <f t="shared" si="1190"/>
        <v>0.6</v>
      </c>
      <c r="L261" s="173">
        <f t="shared" si="1190"/>
        <v>0.59995263157894763</v>
      </c>
      <c r="M261" s="173">
        <f t="shared" si="1190"/>
        <v>0.60003074873161466</v>
      </c>
      <c r="N261" s="173">
        <f t="shared" si="1190"/>
        <v>0.59999999999999987</v>
      </c>
      <c r="O261" s="173">
        <f t="shared" si="1190"/>
        <v>0.59999999999999987</v>
      </c>
      <c r="P261" s="173">
        <f t="shared" si="1190"/>
        <v>0.47140987631007458</v>
      </c>
      <c r="Q261" s="173">
        <f t="shared" si="1190"/>
        <v>0.71257253288984246</v>
      </c>
      <c r="R261" s="173">
        <f t="shared" si="1190"/>
        <v>0.60000000000000009</v>
      </c>
      <c r="S261" s="173">
        <f t="shared" si="1190"/>
        <v>0.6070088632647791</v>
      </c>
      <c r="T261" s="173">
        <f t="shared" ref="T261:AE261" si="1191">+IFERROR(T239/T217,"n/a")</f>
        <v>0.60883840534289257</v>
      </c>
      <c r="U261" s="173">
        <f t="shared" si="1191"/>
        <v>0.60994718915202484</v>
      </c>
      <c r="V261" s="173">
        <f t="shared" si="1191"/>
        <v>0.61256832273628381</v>
      </c>
      <c r="W261" s="173">
        <f t="shared" si="1191"/>
        <v>0.61262202265094201</v>
      </c>
      <c r="X261" s="173">
        <f t="shared" si="1191"/>
        <v>0.61254029452682079</v>
      </c>
      <c r="Y261" s="173">
        <f t="shared" si="1191"/>
        <v>0.61355830913344067</v>
      </c>
      <c r="Z261" s="173">
        <f t="shared" si="1191"/>
        <v>0.61285045960085227</v>
      </c>
      <c r="AA261" s="173">
        <f t="shared" si="1191"/>
        <v>0.61164004062831889</v>
      </c>
      <c r="AB261" s="173">
        <f t="shared" si="1191"/>
        <v>0.61271959172619017</v>
      </c>
      <c r="AC261" s="173">
        <f t="shared" si="1191"/>
        <v>0.61253019079756033</v>
      </c>
      <c r="AD261" s="173">
        <f t="shared" si="1191"/>
        <v>0.61271014759472109</v>
      </c>
      <c r="AE261" s="173">
        <f t="shared" si="1191"/>
        <v>0.61096624207228456</v>
      </c>
      <c r="AF261" s="173">
        <f t="shared" ref="AF261:AI261" si="1192">+IFERROR(AF239/AF217,"n/a")</f>
        <v>0.61169787474327963</v>
      </c>
      <c r="AG261" s="173">
        <f t="shared" si="1192"/>
        <v>0.61101926553289443</v>
      </c>
      <c r="AH261" s="173">
        <f t="shared" si="1192"/>
        <v>0.61188965255121985</v>
      </c>
      <c r="AI261" s="173">
        <f t="shared" si="1192"/>
        <v>0.61025336565899924</v>
      </c>
      <c r="AJ261" s="173">
        <f t="shared" ref="AJ261:AM261" si="1193">+IFERROR(AJ239/AJ217,"n/a")</f>
        <v>0.61121208149791528</v>
      </c>
      <c r="AK261" s="173">
        <f t="shared" si="1193"/>
        <v>0.61056040492816654</v>
      </c>
      <c r="AL261" s="173">
        <f t="shared" si="1193"/>
        <v>0.61139627596405222</v>
      </c>
      <c r="AM261" s="173">
        <f t="shared" si="1193"/>
        <v>0.60982508718888262</v>
      </c>
      <c r="AO261" s="173" t="str">
        <f>+IFERROR(AO239/AO217,"n/a")</f>
        <v>n/a</v>
      </c>
      <c r="AP261" s="173">
        <f>+IFERROR(AP239/AP217,"n/a")</f>
        <v>0.6</v>
      </c>
      <c r="AQ261" s="173">
        <f t="shared" si="1186"/>
        <v>0.60000000000000009</v>
      </c>
      <c r="AR261" s="173">
        <f t="shared" si="1186"/>
        <v>0.6</v>
      </c>
      <c r="AS261" s="173">
        <f t="shared" si="1186"/>
        <v>0.60244213240585265</v>
      </c>
      <c r="AT261" s="173">
        <f t="shared" si="1186"/>
        <v>0.61117589046284737</v>
      </c>
      <c r="AU261" s="173">
        <f t="shared" si="1186"/>
        <v>0.61259552208642876</v>
      </c>
      <c r="AV261" s="173">
        <f t="shared" si="1186"/>
        <v>0.6121586452569433</v>
      </c>
      <c r="AW261" s="173">
        <f t="shared" si="1186"/>
        <v>0.61116220037195101</v>
      </c>
      <c r="AX261" s="173">
        <f t="shared" ref="AX261" si="1194">+IFERROR(AX239/AX217,"n/a")</f>
        <v>0.61069765415738198</v>
      </c>
    </row>
    <row r="262" spans="2:50" ht="12" x14ac:dyDescent="0.35">
      <c r="B262" s="20" t="s">
        <v>372</v>
      </c>
      <c r="D262" s="180" t="str">
        <f t="shared" ref="D262:Y262" si="1195">+IFERROR(D240/D218,"n/a")</f>
        <v>n/a</v>
      </c>
      <c r="E262" s="180" t="str">
        <f t="shared" si="1195"/>
        <v>n/a</v>
      </c>
      <c r="F262" s="180" t="str">
        <f t="shared" si="1195"/>
        <v>n/a</v>
      </c>
      <c r="G262" s="180" t="str">
        <f t="shared" si="1195"/>
        <v>n/a</v>
      </c>
      <c r="H262" s="180" t="str">
        <f t="shared" si="1195"/>
        <v>n/a</v>
      </c>
      <c r="I262" s="180" t="str">
        <f t="shared" si="1195"/>
        <v>n/a</v>
      </c>
      <c r="J262" s="180" t="str">
        <f t="shared" si="1195"/>
        <v>n/a</v>
      </c>
      <c r="K262" s="180" t="str">
        <f t="shared" si="1195"/>
        <v>n/a</v>
      </c>
      <c r="L262" s="180" t="str">
        <f t="shared" si="1195"/>
        <v>n/a</v>
      </c>
      <c r="M262" s="180" t="str">
        <f t="shared" si="1195"/>
        <v>n/a</v>
      </c>
      <c r="N262" s="180" t="str">
        <f t="shared" si="1195"/>
        <v>n/a</v>
      </c>
      <c r="O262" s="180" t="str">
        <f t="shared" si="1195"/>
        <v>n/a</v>
      </c>
      <c r="P262" s="180" t="str">
        <f t="shared" si="1195"/>
        <v>n/a</v>
      </c>
      <c r="Q262" s="180" t="str">
        <f t="shared" si="1195"/>
        <v>n/a</v>
      </c>
      <c r="R262" s="180" t="str">
        <f t="shared" si="1195"/>
        <v>n/a</v>
      </c>
      <c r="S262" s="180" t="str">
        <f t="shared" si="1195"/>
        <v>n/a</v>
      </c>
      <c r="T262" s="180" t="str">
        <f t="shared" si="1195"/>
        <v>n/a</v>
      </c>
      <c r="U262" s="180" t="str">
        <f t="shared" si="1195"/>
        <v>n/a</v>
      </c>
      <c r="V262" s="180" t="str">
        <f t="shared" si="1195"/>
        <v>n/a</v>
      </c>
      <c r="W262" s="180" t="str">
        <f t="shared" si="1195"/>
        <v>n/a</v>
      </c>
      <c r="X262" s="180" t="str">
        <f t="shared" si="1195"/>
        <v>n/a</v>
      </c>
      <c r="Y262" s="180" t="str">
        <f t="shared" si="1195"/>
        <v>n/a</v>
      </c>
      <c r="Z262" s="180">
        <f>+IFERROR(Z240/Z218,"n/a")</f>
        <v>0.83143845538135153</v>
      </c>
      <c r="AA262" s="180">
        <f t="shared" ref="AA262:AG262" si="1196">+IFERROR(AA240/AA218,"n/a")</f>
        <v>0.80712529034317981</v>
      </c>
      <c r="AB262" s="180">
        <f t="shared" si="1196"/>
        <v>0.85259205447663566</v>
      </c>
      <c r="AC262" s="180">
        <f t="shared" si="1196"/>
        <v>0.84474428521629608</v>
      </c>
      <c r="AD262" s="180">
        <f t="shared" si="1196"/>
        <v>0.82745244714588295</v>
      </c>
      <c r="AE262" s="180">
        <f t="shared" si="1196"/>
        <v>0.84999999999999987</v>
      </c>
      <c r="AF262" s="180">
        <f t="shared" si="1196"/>
        <v>0.85</v>
      </c>
      <c r="AG262" s="180">
        <f t="shared" si="1196"/>
        <v>0.85</v>
      </c>
      <c r="AH262" s="169">
        <v>0.85</v>
      </c>
      <c r="AI262" s="169">
        <v>0.85</v>
      </c>
      <c r="AJ262" s="169">
        <v>0.85</v>
      </c>
      <c r="AK262" s="169">
        <v>0.85</v>
      </c>
      <c r="AL262" s="169">
        <v>0.85</v>
      </c>
      <c r="AM262" s="169">
        <v>0.85</v>
      </c>
      <c r="AO262" s="180" t="str">
        <f>+IFERROR(AO240/AO218,"n/a")</f>
        <v>n/a</v>
      </c>
      <c r="AP262" s="180" t="str">
        <f>+IFERROR(AP240/AP218,"n/a")</f>
        <v>n/a</v>
      </c>
      <c r="AQ262" s="180" t="str">
        <f t="shared" si="1186"/>
        <v>n/a</v>
      </c>
      <c r="AR262" s="180" t="str">
        <f t="shared" si="1186"/>
        <v>n/a</v>
      </c>
      <c r="AS262" s="180" t="str">
        <f t="shared" si="1186"/>
        <v>n/a</v>
      </c>
      <c r="AT262" s="180" t="str">
        <f t="shared" si="1186"/>
        <v>n/a</v>
      </c>
      <c r="AU262" s="180">
        <f t="shared" si="1186"/>
        <v>0.80742763573715903</v>
      </c>
      <c r="AV262" s="180">
        <f t="shared" si="1186"/>
        <v>0.84170636568076174</v>
      </c>
      <c r="AW262" s="180">
        <f t="shared" si="1186"/>
        <v>0.8500000000000002</v>
      </c>
      <c r="AX262" s="180">
        <f t="shared" ref="AX262" si="1197">+IFERROR(AX240/AX218,"n/a")</f>
        <v>0.85</v>
      </c>
    </row>
    <row r="263" spans="2:50" ht="10.15" x14ac:dyDescent="0.2">
      <c r="B263" s="30" t="s">
        <v>396</v>
      </c>
      <c r="D263" s="173">
        <f>+IFERROR(D241/D219,"n/a")</f>
        <v>0.6</v>
      </c>
      <c r="E263" s="173">
        <f t="shared" ref="E263:S263" si="1198">+IFERROR(E241/E219,"n/a")</f>
        <v>0.6</v>
      </c>
      <c r="F263" s="173">
        <f t="shared" si="1198"/>
        <v>0.6</v>
      </c>
      <c r="G263" s="173">
        <f t="shared" si="1198"/>
        <v>0.6</v>
      </c>
      <c r="H263" s="173">
        <f t="shared" si="1198"/>
        <v>0.6</v>
      </c>
      <c r="I263" s="173">
        <f t="shared" si="1198"/>
        <v>0.6</v>
      </c>
      <c r="J263" s="173">
        <f t="shared" si="1198"/>
        <v>0.6</v>
      </c>
      <c r="K263" s="173">
        <f t="shared" si="1198"/>
        <v>0.6</v>
      </c>
      <c r="L263" s="173">
        <f t="shared" si="1198"/>
        <v>0.59995263157894763</v>
      </c>
      <c r="M263" s="173">
        <f t="shared" si="1198"/>
        <v>0.60003074873161466</v>
      </c>
      <c r="N263" s="173">
        <f t="shared" si="1198"/>
        <v>0.59999999999999987</v>
      </c>
      <c r="O263" s="173">
        <f t="shared" si="1198"/>
        <v>0.59999999999999987</v>
      </c>
      <c r="P263" s="173">
        <f t="shared" si="1198"/>
        <v>0.47140987631007458</v>
      </c>
      <c r="Q263" s="173">
        <f t="shared" si="1198"/>
        <v>0.71257253288984246</v>
      </c>
      <c r="R263" s="173">
        <f t="shared" si="1198"/>
        <v>0.60000000000000009</v>
      </c>
      <c r="S263" s="173">
        <f t="shared" si="1198"/>
        <v>0.6070088632647791</v>
      </c>
      <c r="T263" s="173">
        <f t="shared" ref="T263:AE263" si="1199">+IFERROR(T241/T219,"n/a")</f>
        <v>0.60883840534289257</v>
      </c>
      <c r="U263" s="173">
        <f t="shared" si="1199"/>
        <v>0.60994718915202484</v>
      </c>
      <c r="V263" s="173">
        <f t="shared" si="1199"/>
        <v>0.61256832273628381</v>
      </c>
      <c r="W263" s="173">
        <f t="shared" si="1199"/>
        <v>0.61262202265094201</v>
      </c>
      <c r="X263" s="173">
        <f t="shared" si="1199"/>
        <v>0.61254029452682079</v>
      </c>
      <c r="Y263" s="173">
        <f t="shared" si="1199"/>
        <v>0.61355830913344067</v>
      </c>
      <c r="Z263" s="173">
        <f t="shared" si="1199"/>
        <v>0.61285816190061249</v>
      </c>
      <c r="AA263" s="173">
        <f t="shared" si="1199"/>
        <v>0.61212875472820683</v>
      </c>
      <c r="AB263" s="173">
        <f t="shared" si="1199"/>
        <v>0.61448124205720378</v>
      </c>
      <c r="AC263" s="173">
        <f t="shared" si="1199"/>
        <v>0.61769245885490243</v>
      </c>
      <c r="AD263" s="173">
        <f t="shared" si="1199"/>
        <v>0.62212496785246252</v>
      </c>
      <c r="AE263" s="173">
        <f t="shared" si="1199"/>
        <v>0.62333251976722848</v>
      </c>
      <c r="AF263" s="173">
        <f t="shared" ref="AF263:AI263" si="1200">+IFERROR(AF241/AF219,"n/a")</f>
        <v>0.62713080061350401</v>
      </c>
      <c r="AG263" s="173">
        <f t="shared" si="1200"/>
        <v>0.62749926321856331</v>
      </c>
      <c r="AH263" s="173">
        <f t="shared" si="1200"/>
        <v>0.62866573283572869</v>
      </c>
      <c r="AI263" s="173">
        <f t="shared" si="1200"/>
        <v>0.62644089278389736</v>
      </c>
      <c r="AJ263" s="173">
        <f t="shared" ref="AJ263:AM263" si="1201">+IFERROR(AJ241/AJ219,"n/a")</f>
        <v>0.62857989755267873</v>
      </c>
      <c r="AK263" s="173">
        <f t="shared" si="1201"/>
        <v>0.62909211513291874</v>
      </c>
      <c r="AL263" s="173">
        <f t="shared" si="1201"/>
        <v>0.6302627196969206</v>
      </c>
      <c r="AM263" s="173">
        <f t="shared" si="1201"/>
        <v>0.62802668621153013</v>
      </c>
      <c r="AO263" s="173" t="str">
        <f>+IFERROR(AO241/AO219,"n/a")</f>
        <v>n/a</v>
      </c>
      <c r="AP263" s="173">
        <f>+IFERROR(AP241/AP219,"n/a")</f>
        <v>0.6</v>
      </c>
      <c r="AQ263" s="173">
        <f t="shared" si="1186"/>
        <v>0.60000000000000009</v>
      </c>
      <c r="AR263" s="173">
        <f t="shared" si="1186"/>
        <v>0.6</v>
      </c>
      <c r="AS263" s="173">
        <f t="shared" si="1186"/>
        <v>0.60244213240585265</v>
      </c>
      <c r="AT263" s="173">
        <f t="shared" si="1186"/>
        <v>0.61117589046284737</v>
      </c>
      <c r="AU263" s="173">
        <f t="shared" si="1186"/>
        <v>0.6127402800698315</v>
      </c>
      <c r="AV263" s="173">
        <f t="shared" si="1186"/>
        <v>0.61985036138359217</v>
      </c>
      <c r="AW263" s="173">
        <f t="shared" si="1186"/>
        <v>0.62740814321078153</v>
      </c>
      <c r="AX263" s="173">
        <f t="shared" ref="AX263" si="1202">+IFERROR(AX241/AX219,"n/a")</f>
        <v>0.62896929943237034</v>
      </c>
    </row>
    <row r="264" spans="2:50" ht="10.15" x14ac:dyDescent="0.2">
      <c r="B264" s="30"/>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c r="AA264" s="173"/>
      <c r="AB264" s="173"/>
      <c r="AC264" s="173"/>
      <c r="AD264" s="173"/>
      <c r="AE264" s="173"/>
      <c r="AO264" s="173"/>
      <c r="AP264" s="173"/>
      <c r="AQ264" s="173"/>
      <c r="AR264" s="173"/>
      <c r="AS264" s="173"/>
      <c r="AT264" s="173"/>
      <c r="AU264" s="173"/>
      <c r="AV264" s="173"/>
      <c r="AW264" s="173"/>
      <c r="AX264" s="173"/>
    </row>
    <row r="265" spans="2:50" ht="10.15" x14ac:dyDescent="0.2">
      <c r="B265" s="6" t="s">
        <v>385</v>
      </c>
      <c r="C265" s="5"/>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c r="AA265" s="173"/>
      <c r="AB265" s="173"/>
      <c r="AC265" s="173"/>
      <c r="AD265" s="173"/>
      <c r="AE265" s="173"/>
      <c r="AO265" s="173"/>
      <c r="AP265" s="173"/>
      <c r="AQ265" s="173"/>
      <c r="AR265" s="173"/>
      <c r="AS265" s="173"/>
      <c r="AT265" s="173"/>
      <c r="AU265" s="173"/>
      <c r="AV265" s="173"/>
      <c r="AW265" s="173"/>
      <c r="AX265" s="173"/>
    </row>
    <row r="267" spans="2:50" ht="10.15" x14ac:dyDescent="0.2">
      <c r="B267" s="24" t="s">
        <v>370</v>
      </c>
      <c r="AH267" s="227"/>
      <c r="AI267" s="227"/>
      <c r="AJ267" s="227"/>
      <c r="AK267" s="227"/>
      <c r="AL267" s="227"/>
      <c r="AM267" s="227"/>
    </row>
    <row r="268" spans="2:50" ht="10.15" x14ac:dyDescent="0.2">
      <c r="B268" s="184" t="s">
        <v>226</v>
      </c>
      <c r="H268" s="186">
        <f t="shared" ref="H268:AE268" si="1203">+IFERROR(H141/((H$215*1000-H$195)),"n/a")</f>
        <v>1.6738670694864045E-2</v>
      </c>
      <c r="I268" s="186">
        <f t="shared" si="1203"/>
        <v>2.8754147666634325E-2</v>
      </c>
      <c r="J268" s="186">
        <f t="shared" si="1203"/>
        <v>2.5141976769743186E-2</v>
      </c>
      <c r="K268" s="186">
        <f t="shared" si="1203"/>
        <v>2.4736760322501827E-2</v>
      </c>
      <c r="L268" s="186">
        <f t="shared" si="1203"/>
        <v>2.5976407894736854E-2</v>
      </c>
      <c r="M268" s="186">
        <f t="shared" si="1203"/>
        <v>2.7618651668118683E-2</v>
      </c>
      <c r="N268" s="186">
        <f t="shared" si="1203"/>
        <v>2.6911052390995772E-2</v>
      </c>
      <c r="O268" s="186">
        <f t="shared" si="1203"/>
        <v>2.6106182455194714E-2</v>
      </c>
      <c r="P268" s="186">
        <f t="shared" si="1203"/>
        <v>1.8150264375413096E-2</v>
      </c>
      <c r="Q268" s="186">
        <f t="shared" si="1203"/>
        <v>3.1981791144953357E-2</v>
      </c>
      <c r="R268" s="186">
        <f t="shared" si="1203"/>
        <v>2.8510624376534566E-2</v>
      </c>
      <c r="S268" s="186">
        <f t="shared" si="1203"/>
        <v>3.3144057978876623E-2</v>
      </c>
      <c r="T268" s="186">
        <f t="shared" si="1203"/>
        <v>2.8675538501868381E-2</v>
      </c>
      <c r="U268" s="186">
        <f t="shared" si="1203"/>
        <v>3.1940433484475748E-2</v>
      </c>
      <c r="V268" s="186">
        <f t="shared" si="1203"/>
        <v>3.0293403961665629E-2</v>
      </c>
      <c r="W268" s="186">
        <f t="shared" si="1203"/>
        <v>3.2106920689770155E-2</v>
      </c>
      <c r="X268" s="186">
        <f t="shared" si="1203"/>
        <v>3.0539808862036406E-2</v>
      </c>
      <c r="Y268" s="186">
        <f t="shared" si="1203"/>
        <v>3.8480096000250943E-2</v>
      </c>
      <c r="Z268" s="186">
        <f t="shared" si="1203"/>
        <v>3.8534960847395702E-2</v>
      </c>
      <c r="AA268" s="186">
        <f t="shared" si="1203"/>
        <v>3.7404147306734893E-2</v>
      </c>
      <c r="AB268" s="186">
        <f t="shared" si="1203"/>
        <v>3.6654225448752964E-2</v>
      </c>
      <c r="AC268" s="186">
        <f t="shared" si="1203"/>
        <v>4.4601043866373813E-2</v>
      </c>
      <c r="AD268" s="186">
        <f t="shared" si="1203"/>
        <v>4.4461211512867506E-2</v>
      </c>
      <c r="AE268" s="186">
        <f t="shared" si="1203"/>
        <v>4.7034490555536233E-2</v>
      </c>
      <c r="AF268" s="186">
        <f t="shared" ref="AF268:AG268" si="1204">+IFERROR(AF141/((AF$215*1000-AF$195)),"n/a")</f>
        <v>4.7206543010011433E-2</v>
      </c>
      <c r="AG268" s="186">
        <f t="shared" si="1204"/>
        <v>4.812497280984529E-2</v>
      </c>
      <c r="AH268" s="186">
        <f t="shared" ref="AH268:AI268" si="1205">+AG268*(1+AH282)</f>
        <v>4.571872416935302E-2</v>
      </c>
      <c r="AI268" s="186">
        <f t="shared" si="1205"/>
        <v>4.7090285894433613E-2</v>
      </c>
      <c r="AJ268" s="186">
        <f t="shared" ref="AJ268:AJ269" si="1206">+AI268*(1+AJ282)</f>
        <v>4.6148480176544937E-2</v>
      </c>
      <c r="AK268" s="186">
        <f t="shared" ref="AK268:AK269" si="1207">+AJ268*(1+AK282)</f>
        <v>4.7532934581841289E-2</v>
      </c>
      <c r="AL268" s="186">
        <f t="shared" ref="AL268:AL269" si="1208">+AK268*(1+AL282)</f>
        <v>4.5631617198567634E-2</v>
      </c>
      <c r="AM268" s="186">
        <f t="shared" ref="AM268:AM269" si="1209">+AL268*(1+AM282)</f>
        <v>4.8369514230481692E-2</v>
      </c>
      <c r="AO268" s="186" t="str">
        <f t="shared" ref="AO268:AW268" si="1210">+IFERROR(AO141/((AO$215*1000-AO$195)),"n/a")</f>
        <v>n/a</v>
      </c>
      <c r="AP268" s="186">
        <f t="shared" si="1210"/>
        <v>8.5615047235271698E-3</v>
      </c>
      <c r="AQ268" s="186">
        <f t="shared" si="1210"/>
        <v>2.4418097964376592E-2</v>
      </c>
      <c r="AR268" s="186">
        <f t="shared" si="1210"/>
        <v>2.663783131333201E-2</v>
      </c>
      <c r="AS268" s="186">
        <f t="shared" si="1210"/>
        <v>2.8939104476690264E-2</v>
      </c>
      <c r="AT268" s="186">
        <f t="shared" si="1210"/>
        <v>3.0890586534752129E-2</v>
      </c>
      <c r="AU268" s="186">
        <f t="shared" si="1210"/>
        <v>3.6500395037420925E-2</v>
      </c>
      <c r="AV268" s="186">
        <f t="shared" si="1210"/>
        <v>4.3603347000626486E-2</v>
      </c>
      <c r="AW268" s="186">
        <f t="shared" si="1210"/>
        <v>4.7022546104608445E-2</v>
      </c>
      <c r="AX268" s="186">
        <f t="shared" ref="AX268" si="1211">+IFERROR(AX141/((AX$215*1000-AX$195)),"n/a")</f>
        <v>4.7002182856498764E-2</v>
      </c>
    </row>
    <row r="269" spans="2:50" ht="12" x14ac:dyDescent="0.35">
      <c r="B269" s="184" t="s">
        <v>227</v>
      </c>
      <c r="H269" s="187">
        <f t="shared" ref="H269:AE269" si="1212">+IFERROR(H142/((H$215*1000-H$195)),"n/a")</f>
        <v>4.1767975830815712E-3</v>
      </c>
      <c r="I269" s="187">
        <f t="shared" si="1212"/>
        <v>4.1002959153973017E-3</v>
      </c>
      <c r="J269" s="187">
        <f t="shared" si="1212"/>
        <v>3.3668064314335477E-3</v>
      </c>
      <c r="K269" s="187">
        <f t="shared" si="1212"/>
        <v>2.8905155142926946E-3</v>
      </c>
      <c r="L269" s="187">
        <f t="shared" si="1212"/>
        <v>3.9262500000000009E-3</v>
      </c>
      <c r="M269" s="187">
        <f t="shared" si="1212"/>
        <v>3.5144732571448082E-3</v>
      </c>
      <c r="N269" s="187">
        <f t="shared" si="1212"/>
        <v>3.2177718790347806E-3</v>
      </c>
      <c r="O269" s="187">
        <f t="shared" si="1212"/>
        <v>2.9808031262633064E-3</v>
      </c>
      <c r="P269" s="187">
        <f t="shared" si="1212"/>
        <v>3.4659253139458042E-3</v>
      </c>
      <c r="Q269" s="187">
        <f t="shared" si="1212"/>
        <v>3.2940756127479336E-3</v>
      </c>
      <c r="R269" s="187">
        <f t="shared" si="1212"/>
        <v>3.0420653492738499E-3</v>
      </c>
      <c r="S269" s="187">
        <f t="shared" si="1212"/>
        <v>2.9653896193203885E-3</v>
      </c>
      <c r="T269" s="187">
        <f t="shared" si="1212"/>
        <v>2.7492056424391672E-3</v>
      </c>
      <c r="U269" s="187">
        <f t="shared" si="1212"/>
        <v>1.5566199797954635E-3</v>
      </c>
      <c r="V269" s="187">
        <f t="shared" si="1212"/>
        <v>7.5871105841135E-4</v>
      </c>
      <c r="W269" s="187">
        <f t="shared" si="1212"/>
        <v>1.7252658227096974E-3</v>
      </c>
      <c r="X269" s="187">
        <f t="shared" si="1212"/>
        <v>3.3302615740929842E-3</v>
      </c>
      <c r="Y269" s="187">
        <f t="shared" si="1212"/>
        <v>3.4236796348686579E-3</v>
      </c>
      <c r="Z269" s="187">
        <f t="shared" si="1212"/>
        <v>3.5045630742639457E-3</v>
      </c>
      <c r="AA269" s="187">
        <f t="shared" si="1212"/>
        <v>4.2885602069074697E-3</v>
      </c>
      <c r="AB269" s="187">
        <f t="shared" si="1212"/>
        <v>4.7431131519545576E-3</v>
      </c>
      <c r="AC269" s="187">
        <f t="shared" si="1212"/>
        <v>4.8501553422872238E-3</v>
      </c>
      <c r="AD269" s="187">
        <f t="shared" si="1212"/>
        <v>4.3326678299962593E-3</v>
      </c>
      <c r="AE269" s="187">
        <f t="shared" si="1212"/>
        <v>6.9794159528284482E-3</v>
      </c>
      <c r="AF269" s="187">
        <f t="shared" ref="AF269:AG269" si="1213">+IFERROR(AF142/((AF$215*1000-AF$195)),"n/a")</f>
        <v>6.3688335623406627E-3</v>
      </c>
      <c r="AG269" s="187">
        <f t="shared" si="1213"/>
        <v>5.8845878229720257E-3</v>
      </c>
      <c r="AH269" s="187">
        <f>+AG269*(1+AH283)</f>
        <v>4.4134408672290189E-3</v>
      </c>
      <c r="AI269" s="187">
        <f>+AH269*(1+AI283)</f>
        <v>3.5307526937832152E-3</v>
      </c>
      <c r="AJ269" s="187">
        <f t="shared" si="1206"/>
        <v>3.5307526937832152E-3</v>
      </c>
      <c r="AK269" s="187">
        <f t="shared" si="1207"/>
        <v>3.5307526937832152E-3</v>
      </c>
      <c r="AL269" s="187">
        <f t="shared" si="1208"/>
        <v>3.5307526937832152E-3</v>
      </c>
      <c r="AM269" s="187">
        <f t="shared" si="1209"/>
        <v>3.5307526937832152E-3</v>
      </c>
      <c r="AO269" s="187" t="str">
        <f t="shared" ref="AO269:AW269" si="1214">+IFERROR(AO142/((AO$215*1000-AO$195)),"n/a")</f>
        <v>n/a</v>
      </c>
      <c r="AP269" s="187">
        <f t="shared" si="1214"/>
        <v>3.7623539675904283E-3</v>
      </c>
      <c r="AQ269" s="187">
        <f t="shared" si="1214"/>
        <v>3.4020674300254453E-3</v>
      </c>
      <c r="AR269" s="187">
        <f t="shared" si="1214"/>
        <v>3.3064226107689249E-3</v>
      </c>
      <c r="AS269" s="187">
        <f t="shared" si="1214"/>
        <v>3.1456191296442104E-3</v>
      </c>
      <c r="AT269" s="187">
        <f t="shared" si="1214"/>
        <v>1.6553719845750863E-3</v>
      </c>
      <c r="AU269" s="187">
        <f t="shared" si="1214"/>
        <v>3.679559663632656E-3</v>
      </c>
      <c r="AV269" s="187">
        <f t="shared" si="1214"/>
        <v>5.3221581001955285E-3</v>
      </c>
      <c r="AW269" s="187">
        <f t="shared" si="1214"/>
        <v>4.9336881736763028E-3</v>
      </c>
      <c r="AX269" s="187">
        <f t="shared" ref="AX269" si="1215">+IFERROR(AX142/((AX$215*1000-AX$195)),"n/a")</f>
        <v>3.5307526937832152E-3</v>
      </c>
    </row>
    <row r="270" spans="2:50" ht="10.15" x14ac:dyDescent="0.2">
      <c r="B270" s="4" t="s">
        <v>224</v>
      </c>
      <c r="H270" s="186">
        <f t="shared" ref="H270:AE270" si="1216">+IFERROR(H143/((H$215*1000-H$195)),"n/a")</f>
        <v>2.0915468277945617E-2</v>
      </c>
      <c r="I270" s="186">
        <f t="shared" si="1216"/>
        <v>3.2854443582031628E-2</v>
      </c>
      <c r="J270" s="186">
        <f t="shared" si="1216"/>
        <v>2.8508783201176734E-2</v>
      </c>
      <c r="K270" s="186">
        <f t="shared" si="1216"/>
        <v>2.7627275836794522E-2</v>
      </c>
      <c r="L270" s="186">
        <f t="shared" si="1216"/>
        <v>2.9902657894736853E-2</v>
      </c>
      <c r="M270" s="186">
        <f t="shared" si="1216"/>
        <v>3.1133124925263492E-2</v>
      </c>
      <c r="N270" s="186">
        <f t="shared" si="1216"/>
        <v>3.0128824270030555E-2</v>
      </c>
      <c r="O270" s="186">
        <f t="shared" si="1216"/>
        <v>2.908698558145802E-2</v>
      </c>
      <c r="P270" s="186">
        <f t="shared" si="1216"/>
        <v>2.1616189689358897E-2</v>
      </c>
      <c r="Q270" s="186">
        <f t="shared" si="1216"/>
        <v>3.5275866757701294E-2</v>
      </c>
      <c r="R270" s="186">
        <f t="shared" si="1216"/>
        <v>3.1552689725808415E-2</v>
      </c>
      <c r="S270" s="186">
        <f t="shared" si="1216"/>
        <v>3.6109447598197016E-2</v>
      </c>
      <c r="T270" s="186">
        <f t="shared" si="1216"/>
        <v>3.1424744144307543E-2</v>
      </c>
      <c r="U270" s="186">
        <f t="shared" si="1216"/>
        <v>3.3497053464271211E-2</v>
      </c>
      <c r="V270" s="186">
        <f t="shared" si="1216"/>
        <v>3.105211502007698E-2</v>
      </c>
      <c r="W270" s="186">
        <f t="shared" si="1216"/>
        <v>3.3832186512479857E-2</v>
      </c>
      <c r="X270" s="186">
        <f t="shared" si="1216"/>
        <v>3.3870070436129392E-2</v>
      </c>
      <c r="Y270" s="186">
        <f t="shared" si="1216"/>
        <v>4.19037756351196E-2</v>
      </c>
      <c r="Z270" s="186">
        <f t="shared" si="1216"/>
        <v>4.2039523921659647E-2</v>
      </c>
      <c r="AA270" s="186">
        <f t="shared" si="1216"/>
        <v>4.169270751364236E-2</v>
      </c>
      <c r="AB270" s="186">
        <f t="shared" si="1216"/>
        <v>4.1397338600707517E-2</v>
      </c>
      <c r="AC270" s="186">
        <f t="shared" si="1216"/>
        <v>4.9451199208661041E-2</v>
      </c>
      <c r="AD270" s="186">
        <f t="shared" si="1216"/>
        <v>4.8793879342863763E-2</v>
      </c>
      <c r="AE270" s="186">
        <f t="shared" si="1216"/>
        <v>5.4013906508364677E-2</v>
      </c>
      <c r="AF270" s="186">
        <f t="shared" ref="AF270:AM270" si="1217">+IFERROR(AF143/((AF$215*1000-AF$195)),"n/a")</f>
        <v>5.3575376572352097E-2</v>
      </c>
      <c r="AG270" s="186">
        <f t="shared" si="1217"/>
        <v>5.4009560632817311E-2</v>
      </c>
      <c r="AH270" s="186">
        <f t="shared" si="1217"/>
        <v>5.0132165036582042E-2</v>
      </c>
      <c r="AI270" s="186">
        <f t="shared" si="1217"/>
        <v>5.062103858821683E-2</v>
      </c>
      <c r="AJ270" s="186">
        <f t="shared" si="1217"/>
        <v>4.9679232870328154E-2</v>
      </c>
      <c r="AK270" s="186">
        <f t="shared" si="1217"/>
        <v>5.1063687275624499E-2</v>
      </c>
      <c r="AL270" s="186">
        <f t="shared" si="1217"/>
        <v>4.916236989235085E-2</v>
      </c>
      <c r="AM270" s="186">
        <f t="shared" si="1217"/>
        <v>5.1900266924264901E-2</v>
      </c>
      <c r="AO270" s="186" t="str">
        <f t="shared" ref="AO270:AW270" si="1218">+IFERROR(AO143/((AO$215*1000-AO$195)),"n/a")</f>
        <v>n/a</v>
      </c>
      <c r="AP270" s="186">
        <f t="shared" si="1218"/>
        <v>1.2323858691117599E-2</v>
      </c>
      <c r="AQ270" s="186">
        <f t="shared" si="1218"/>
        <v>2.7820165394402036E-2</v>
      </c>
      <c r="AR270" s="186">
        <f t="shared" si="1218"/>
        <v>2.9944253924100932E-2</v>
      </c>
      <c r="AS270" s="186">
        <f t="shared" si="1218"/>
        <v>3.2084723606334471E-2</v>
      </c>
      <c r="AT270" s="186">
        <f t="shared" si="1218"/>
        <v>3.254595851932722E-2</v>
      </c>
      <c r="AU270" s="186">
        <f t="shared" si="1218"/>
        <v>4.017995470105358E-2</v>
      </c>
      <c r="AV270" s="186">
        <f t="shared" si="1218"/>
        <v>4.8925505100821998E-2</v>
      </c>
      <c r="AW270" s="186">
        <f t="shared" si="1218"/>
        <v>5.1956234278284753E-2</v>
      </c>
      <c r="AX270" s="186">
        <f t="shared" ref="AX270" si="1219">+IFERROR(AX143/((AX$215*1000-AX$195)),"n/a")</f>
        <v>5.0532935550281981E-2</v>
      </c>
    </row>
    <row r="271" spans="2:50" ht="12" x14ac:dyDescent="0.35">
      <c r="B271" s="184" t="s">
        <v>223</v>
      </c>
      <c r="H271" s="187" t="str">
        <f t="shared" ref="H271:AE271" si="1220">+IFERROR(H144/((H$144)),"n/a")</f>
        <v>n/a</v>
      </c>
      <c r="I271" s="187" t="str">
        <f t="shared" si="1220"/>
        <v>n/a</v>
      </c>
      <c r="J271" s="187" t="str">
        <f t="shared" si="1220"/>
        <v>n/a</v>
      </c>
      <c r="K271" s="187" t="str">
        <f t="shared" si="1220"/>
        <v>n/a</v>
      </c>
      <c r="L271" s="187" t="str">
        <f t="shared" si="1220"/>
        <v>n/a</v>
      </c>
      <c r="M271" s="187" t="str">
        <f t="shared" si="1220"/>
        <v>n/a</v>
      </c>
      <c r="N271" s="187" t="str">
        <f t="shared" si="1220"/>
        <v>n/a</v>
      </c>
      <c r="O271" s="187" t="str">
        <f t="shared" si="1220"/>
        <v>n/a</v>
      </c>
      <c r="P271" s="187" t="str">
        <f t="shared" si="1220"/>
        <v>n/a</v>
      </c>
      <c r="Q271" s="187" t="str">
        <f t="shared" si="1220"/>
        <v>n/a</v>
      </c>
      <c r="R271" s="187">
        <f t="shared" si="1220"/>
        <v>1</v>
      </c>
      <c r="S271" s="187">
        <f t="shared" si="1220"/>
        <v>1</v>
      </c>
      <c r="T271" s="187">
        <f t="shared" si="1220"/>
        <v>1</v>
      </c>
      <c r="U271" s="187">
        <f t="shared" si="1220"/>
        <v>1</v>
      </c>
      <c r="V271" s="187">
        <f t="shared" si="1220"/>
        <v>1</v>
      </c>
      <c r="W271" s="187">
        <f t="shared" si="1220"/>
        <v>1</v>
      </c>
      <c r="X271" s="187">
        <f t="shared" si="1220"/>
        <v>1</v>
      </c>
      <c r="Y271" s="187">
        <f t="shared" si="1220"/>
        <v>1</v>
      </c>
      <c r="Z271" s="187">
        <f t="shared" si="1220"/>
        <v>1</v>
      </c>
      <c r="AA271" s="187">
        <f t="shared" si="1220"/>
        <v>1</v>
      </c>
      <c r="AB271" s="187" t="str">
        <f t="shared" si="1220"/>
        <v>n/a</v>
      </c>
      <c r="AC271" s="187" t="str">
        <f t="shared" si="1220"/>
        <v>n/a</v>
      </c>
      <c r="AD271" s="187" t="str">
        <f t="shared" si="1220"/>
        <v>n/a</v>
      </c>
      <c r="AE271" s="187" t="str">
        <f t="shared" si="1220"/>
        <v>n/a</v>
      </c>
      <c r="AF271" s="187" t="str">
        <f t="shared" ref="AF271:AG271" si="1221">+IFERROR(AF144/((AF$144)),"n/a")</f>
        <v>n/a</v>
      </c>
      <c r="AG271" s="187" t="str">
        <f t="shared" si="1221"/>
        <v>n/a</v>
      </c>
      <c r="AH271" s="187" t="str">
        <f t="shared" ref="AH271:AI271" si="1222">+IFERROR(AH144/((AH$144)),"n/a")</f>
        <v>n/a</v>
      </c>
      <c r="AI271" s="187" t="str">
        <f t="shared" si="1222"/>
        <v>n/a</v>
      </c>
      <c r="AJ271" s="187" t="str">
        <f t="shared" ref="AJ271:AM271" si="1223">+IFERROR(AJ144/((AJ$144)),"n/a")</f>
        <v>n/a</v>
      </c>
      <c r="AK271" s="187" t="str">
        <f t="shared" si="1223"/>
        <v>n/a</v>
      </c>
      <c r="AL271" s="187" t="str">
        <f t="shared" si="1223"/>
        <v>n/a</v>
      </c>
      <c r="AM271" s="187" t="str">
        <f t="shared" si="1223"/>
        <v>n/a</v>
      </c>
      <c r="AO271" s="187">
        <f t="shared" ref="AO271:AW271" si="1224">+IFERROR(AO144/((AO$144)),"n/a")</f>
        <v>1</v>
      </c>
      <c r="AP271" s="187">
        <f t="shared" si="1224"/>
        <v>1</v>
      </c>
      <c r="AQ271" s="187" t="str">
        <f t="shared" si="1224"/>
        <v>n/a</v>
      </c>
      <c r="AR271" s="187" t="str">
        <f t="shared" si="1224"/>
        <v>n/a</v>
      </c>
      <c r="AS271" s="187">
        <f t="shared" si="1224"/>
        <v>1</v>
      </c>
      <c r="AT271" s="187">
        <f t="shared" si="1224"/>
        <v>1</v>
      </c>
      <c r="AU271" s="187">
        <f t="shared" si="1224"/>
        <v>1</v>
      </c>
      <c r="AV271" s="187" t="str">
        <f t="shared" si="1224"/>
        <v>n/a</v>
      </c>
      <c r="AW271" s="187" t="str">
        <f t="shared" si="1224"/>
        <v>n/a</v>
      </c>
      <c r="AX271" s="187" t="str">
        <f t="shared" ref="AX271" si="1225">+IFERROR(AX144/((AX$144)),"n/a")</f>
        <v>n/a</v>
      </c>
    </row>
    <row r="272" spans="2:50" ht="10.15" x14ac:dyDescent="0.2">
      <c r="B272" s="38" t="s">
        <v>383</v>
      </c>
      <c r="H272" s="185">
        <f t="shared" ref="H272:AE272" si="1226">+IFERROR(H145/((H$215*1000)),"n/a")</f>
        <v>2.0915468277945617E-2</v>
      </c>
      <c r="I272" s="185">
        <f t="shared" si="1226"/>
        <v>3.2854443582031628E-2</v>
      </c>
      <c r="J272" s="185">
        <f t="shared" si="1226"/>
        <v>2.8508783201176734E-2</v>
      </c>
      <c r="K272" s="185">
        <f t="shared" si="1226"/>
        <v>2.7627275836794522E-2</v>
      </c>
      <c r="L272" s="185">
        <f t="shared" si="1226"/>
        <v>2.9902657894736853E-2</v>
      </c>
      <c r="M272" s="185">
        <f t="shared" si="1226"/>
        <v>3.1133124925263492E-2</v>
      </c>
      <c r="N272" s="185">
        <f t="shared" si="1226"/>
        <v>3.0128824270030555E-2</v>
      </c>
      <c r="O272" s="185">
        <f t="shared" si="1226"/>
        <v>2.908698558145802E-2</v>
      </c>
      <c r="P272" s="185">
        <f t="shared" si="1226"/>
        <v>2.1616189689358897E-2</v>
      </c>
      <c r="Q272" s="185">
        <f t="shared" si="1226"/>
        <v>3.5275866757701294E-2</v>
      </c>
      <c r="R272" s="185">
        <f t="shared" si="1226"/>
        <v>3.2420662842749394E-2</v>
      </c>
      <c r="S272" s="185">
        <f t="shared" si="1226"/>
        <v>4.5071358151974168E-2</v>
      </c>
      <c r="T272" s="185">
        <f t="shared" si="1226"/>
        <v>4.1406208548298247E-2</v>
      </c>
      <c r="U272" s="185">
        <f t="shared" si="1226"/>
        <v>3.6828897009496701E-2</v>
      </c>
      <c r="V272" s="185">
        <f t="shared" si="1226"/>
        <v>3.1186401142372082E-2</v>
      </c>
      <c r="W272" s="185">
        <f t="shared" si="1226"/>
        <v>3.3945150797995247E-2</v>
      </c>
      <c r="X272" s="185">
        <f t="shared" si="1226"/>
        <v>3.3941327932977633E-2</v>
      </c>
      <c r="Y272" s="185">
        <f t="shared" si="1226"/>
        <v>4.1978039281114772E-2</v>
      </c>
      <c r="Z272" s="185">
        <f t="shared" si="1226"/>
        <v>4.2112771282190681E-2</v>
      </c>
      <c r="AA272" s="185">
        <f t="shared" si="1226"/>
        <v>4.1760070400202701E-2</v>
      </c>
      <c r="AB272" s="185">
        <f t="shared" si="1226"/>
        <v>4.1397338600707517E-2</v>
      </c>
      <c r="AC272" s="185">
        <f t="shared" si="1226"/>
        <v>4.9451199208661041E-2</v>
      </c>
      <c r="AD272" s="185">
        <f t="shared" si="1226"/>
        <v>4.8793879342863763E-2</v>
      </c>
      <c r="AE272" s="185">
        <f t="shared" si="1226"/>
        <v>5.4013906508364677E-2</v>
      </c>
      <c r="AF272" s="185">
        <f t="shared" ref="AF272:AG272" si="1227">+IFERROR(AF145/((AF$215*1000)),"n/a")</f>
        <v>5.3575376572352097E-2</v>
      </c>
      <c r="AG272" s="185">
        <f t="shared" si="1227"/>
        <v>5.4009560632817311E-2</v>
      </c>
      <c r="AH272" s="185">
        <f t="shared" ref="AH272:AI272" si="1228">+IFERROR(AH145/((AH$215*1000)),"n/a")</f>
        <v>5.0132165036582042E-2</v>
      </c>
      <c r="AI272" s="185">
        <f t="shared" si="1228"/>
        <v>5.062103858821683E-2</v>
      </c>
      <c r="AJ272" s="185">
        <f t="shared" ref="AJ272:AM272" si="1229">+IFERROR(AJ145/((AJ$215*1000)),"n/a")</f>
        <v>4.9679232870328154E-2</v>
      </c>
      <c r="AK272" s="185">
        <f t="shared" si="1229"/>
        <v>5.1063687275624499E-2</v>
      </c>
      <c r="AL272" s="185">
        <f t="shared" si="1229"/>
        <v>4.916236989235085E-2</v>
      </c>
      <c r="AM272" s="185">
        <f t="shared" si="1229"/>
        <v>5.1900266924264901E-2</v>
      </c>
      <c r="AO272" s="185" t="str">
        <f t="shared" ref="AO272:AW272" si="1230">+IFERROR(AO145/((AO$215*1000)),"n/a")</f>
        <v>n/a</v>
      </c>
      <c r="AP272" s="185">
        <f t="shared" si="1230"/>
        <v>1.2347528124092916E-2</v>
      </c>
      <c r="AQ272" s="185">
        <f t="shared" si="1230"/>
        <v>2.7820165394402036E-2</v>
      </c>
      <c r="AR272" s="185">
        <f t="shared" si="1230"/>
        <v>2.9944253924100932E-2</v>
      </c>
      <c r="AS272" s="185">
        <f t="shared" si="1230"/>
        <v>3.5432169344924866E-2</v>
      </c>
      <c r="AT272" s="185">
        <f t="shared" si="1230"/>
        <v>3.552108108799705E-2</v>
      </c>
      <c r="AU272" s="185">
        <f t="shared" si="1230"/>
        <v>4.0251288184099183E-2</v>
      </c>
      <c r="AV272" s="185">
        <f t="shared" si="1230"/>
        <v>4.8925505100821998E-2</v>
      </c>
      <c r="AW272" s="185">
        <f t="shared" si="1230"/>
        <v>5.1956234278284753E-2</v>
      </c>
      <c r="AX272" s="185">
        <f t="shared" ref="AX272" si="1231">+IFERROR(AX145/((AX$215*1000)),"n/a")</f>
        <v>5.0532935550281981E-2</v>
      </c>
    </row>
    <row r="273" spans="2:50" s="1" customFormat="1" ht="10.15" x14ac:dyDescent="0.2">
      <c r="B273" s="38"/>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c r="AQ273" s="179"/>
      <c r="AR273" s="179"/>
      <c r="AS273" s="179"/>
      <c r="AT273" s="179"/>
      <c r="AU273" s="179"/>
      <c r="AV273" s="179"/>
      <c r="AW273" s="179"/>
      <c r="AX273" s="179"/>
    </row>
    <row r="274" spans="2:50" s="1" customFormat="1" ht="10.15" x14ac:dyDescent="0.2">
      <c r="B274" s="19" t="s">
        <v>86</v>
      </c>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220"/>
    </row>
    <row r="275" spans="2:50" s="1" customFormat="1" ht="10.15" x14ac:dyDescent="0.2">
      <c r="B275" s="20" t="s">
        <v>226</v>
      </c>
      <c r="H275" s="42"/>
      <c r="I275" s="42"/>
      <c r="J275" s="42"/>
      <c r="K275" s="42"/>
      <c r="L275" s="173">
        <f t="shared" ref="L275:U279" si="1232">+IFERROR(L268/H268-1,"n/a")</f>
        <v>0.55187997710638026</v>
      </c>
      <c r="M275" s="173">
        <f t="shared" si="1232"/>
        <v>-3.9489815927781668E-2</v>
      </c>
      <c r="N275" s="173">
        <f t="shared" si="1232"/>
        <v>7.0363425972995053E-2</v>
      </c>
      <c r="O275" s="173">
        <f t="shared" si="1232"/>
        <v>5.5359801155820287E-2</v>
      </c>
      <c r="P275" s="173">
        <f t="shared" si="1232"/>
        <v>-0.30127889702984811</v>
      </c>
      <c r="Q275" s="173">
        <f t="shared" si="1232"/>
        <v>0.15797800447554877</v>
      </c>
      <c r="R275" s="173">
        <f t="shared" si="1232"/>
        <v>5.9439220818952476E-2</v>
      </c>
      <c r="S275" s="173">
        <f t="shared" si="1232"/>
        <v>0.26958654471065668</v>
      </c>
      <c r="T275" s="173">
        <f t="shared" si="1232"/>
        <v>0.57989646369631642</v>
      </c>
      <c r="U275" s="173">
        <f t="shared" si="1232"/>
        <v>-1.2931627340745377E-3</v>
      </c>
      <c r="V275" s="173">
        <f t="shared" ref="V275:AG279" si="1233">+IFERROR(V268/R268-1,"n/a")</f>
        <v>6.2530359264890922E-2</v>
      </c>
      <c r="W275" s="173">
        <f t="shared" si="1233"/>
        <v>-3.1291801678824505E-2</v>
      </c>
      <c r="X275" s="173">
        <f t="shared" si="1233"/>
        <v>6.5012566722907561E-2</v>
      </c>
      <c r="Y275" s="173">
        <f t="shared" si="1233"/>
        <v>0.20474557801332649</v>
      </c>
      <c r="Z275" s="173">
        <f t="shared" si="1233"/>
        <v>0.27205780163098336</v>
      </c>
      <c r="AA275" s="173">
        <f t="shared" si="1233"/>
        <v>0.16498706519222606</v>
      </c>
      <c r="AB275" s="173">
        <f t="shared" si="1233"/>
        <v>0.20021135739055995</v>
      </c>
      <c r="AC275" s="173">
        <f t="shared" si="1233"/>
        <v>0.15906789489514139</v>
      </c>
      <c r="AD275" s="173">
        <f t="shared" si="1233"/>
        <v>0.15378893698479823</v>
      </c>
      <c r="AE275" s="173">
        <f t="shared" si="1233"/>
        <v>0.25746725810448634</v>
      </c>
      <c r="AF275" s="173">
        <f t="shared" si="1233"/>
        <v>0.28788816110742488</v>
      </c>
      <c r="AG275" s="173">
        <f t="shared" si="1233"/>
        <v>7.9010010483819171E-2</v>
      </c>
      <c r="AH275" s="173">
        <f t="shared" ref="AH275:AI275" si="1234">+IFERROR(AH268/AD268-1,"n/a")</f>
        <v>2.8283364615954598E-2</v>
      </c>
      <c r="AI275" s="173">
        <f t="shared" si="1234"/>
        <v>1.1862643400273321E-3</v>
      </c>
      <c r="AJ275" s="173">
        <f t="shared" ref="AJ275:AJ279" si="1235">+IFERROR(AJ268/AF268-1,"n/a")</f>
        <v>-2.2413478429083589E-2</v>
      </c>
      <c r="AK275" s="173">
        <f t="shared" ref="AK275:AK279" si="1236">+IFERROR(AK268/AG268-1,"n/a")</f>
        <v>-1.2302100000000094E-2</v>
      </c>
      <c r="AL275" s="173">
        <f t="shared" ref="AL275:AL279" si="1237">+IFERROR(AL268/AH268-1,"n/a")</f>
        <v>-1.9052800000000092E-3</v>
      </c>
      <c r="AM275" s="173">
        <f t="shared" ref="AM275:AM279" si="1238">+IFERROR(AM268/AI268-1,"n/a")</f>
        <v>2.7165439999999874E-2</v>
      </c>
      <c r="AQ275" s="173">
        <f>+IFERROR(AQ268/AP268-1,"n/a")</f>
        <v>1.8520801836708936</v>
      </c>
      <c r="AR275" s="173">
        <f t="shared" ref="AR275:AV275" si="1239">+IFERROR(AR268/AQ268-1,"n/a")</f>
        <v>9.0905252005859527E-2</v>
      </c>
      <c r="AS275" s="173">
        <f t="shared" si="1239"/>
        <v>8.6391160612481421E-2</v>
      </c>
      <c r="AT275" s="173">
        <f t="shared" si="1239"/>
        <v>6.7434085931502574E-2</v>
      </c>
      <c r="AU275" s="173">
        <f t="shared" si="1239"/>
        <v>0.18160252465124671</v>
      </c>
      <c r="AV275" s="173">
        <f t="shared" si="1239"/>
        <v>0.19459931751213855</v>
      </c>
      <c r="AW275" s="173">
        <f t="shared" ref="AW275:AX275" si="1240">+IFERROR(AW268/AV268-1,"n/a")</f>
        <v>7.8415978111332496E-2</v>
      </c>
      <c r="AX275" s="173">
        <f t="shared" si="1240"/>
        <v>-4.3305286073580529E-4</v>
      </c>
    </row>
    <row r="276" spans="2:50" s="1" customFormat="1" ht="12" x14ac:dyDescent="0.35">
      <c r="B276" s="20" t="s">
        <v>227</v>
      </c>
      <c r="H276" s="42"/>
      <c r="I276" s="42"/>
      <c r="J276" s="42"/>
      <c r="K276" s="42"/>
      <c r="L276" s="180">
        <f t="shared" si="1232"/>
        <v>-5.9985569829007712E-2</v>
      </c>
      <c r="M276" s="180">
        <f t="shared" si="1232"/>
        <v>-0.14287326337902362</v>
      </c>
      <c r="N276" s="180">
        <f t="shared" si="1232"/>
        <v>-4.4265851166058856E-2</v>
      </c>
      <c r="O276" s="180">
        <f t="shared" si="1232"/>
        <v>3.1235816422422902E-2</v>
      </c>
      <c r="P276" s="180">
        <f t="shared" si="1232"/>
        <v>-0.11724283630797749</v>
      </c>
      <c r="Q276" s="180">
        <f t="shared" si="1232"/>
        <v>-6.27114302118571E-2</v>
      </c>
      <c r="R276" s="180">
        <f t="shared" si="1232"/>
        <v>-5.4605029929479243E-2</v>
      </c>
      <c r="S276" s="180">
        <f t="shared" si="1232"/>
        <v>-5.170924173794722E-3</v>
      </c>
      <c r="T276" s="180">
        <f t="shared" si="1232"/>
        <v>-0.20679028155130186</v>
      </c>
      <c r="U276" s="180">
        <f t="shared" si="1232"/>
        <v>-0.52744861903855211</v>
      </c>
      <c r="V276" s="180">
        <f t="shared" si="1233"/>
        <v>-0.75059343856881422</v>
      </c>
      <c r="W276" s="180">
        <f t="shared" si="1233"/>
        <v>-0.41819927760282105</v>
      </c>
      <c r="X276" s="180">
        <f t="shared" si="1233"/>
        <v>0.21135411723449282</v>
      </c>
      <c r="Y276" s="180">
        <f t="shared" si="1233"/>
        <v>1.199431896870887</v>
      </c>
      <c r="Z276" s="180">
        <f t="shared" si="1233"/>
        <v>3.6191010865217654</v>
      </c>
      <c r="AA276" s="180">
        <f t="shared" si="1233"/>
        <v>1.4857388064245485</v>
      </c>
      <c r="AB276" s="180">
        <f t="shared" si="1233"/>
        <v>0.42424642822429703</v>
      </c>
      <c r="AC276" s="180">
        <f t="shared" si="1233"/>
        <v>0.41664987953035793</v>
      </c>
      <c r="AD276" s="180">
        <f t="shared" si="1233"/>
        <v>0.23629329482284711</v>
      </c>
      <c r="AE276" s="180">
        <f t="shared" si="1233"/>
        <v>0.62744968383255739</v>
      </c>
      <c r="AF276" s="180">
        <f t="shared" si="1233"/>
        <v>0.34275387457627327</v>
      </c>
      <c r="AG276" s="180">
        <f t="shared" si="1233"/>
        <v>0.21327821640388667</v>
      </c>
      <c r="AH276" s="180">
        <f t="shared" ref="AH276:AI276" si="1241">+IFERROR(AH269/AD269-1,"n/a")</f>
        <v>1.8642794786515982E-2</v>
      </c>
      <c r="AI276" s="180">
        <f t="shared" si="1241"/>
        <v>-0.49411917592440413</v>
      </c>
      <c r="AJ276" s="180">
        <f t="shared" si="1235"/>
        <v>-0.44562019729000435</v>
      </c>
      <c r="AK276" s="180">
        <f t="shared" si="1236"/>
        <v>-0.4</v>
      </c>
      <c r="AL276" s="180">
        <f t="shared" si="1237"/>
        <v>-0.19999999999999996</v>
      </c>
      <c r="AM276" s="180">
        <f t="shared" si="1238"/>
        <v>0</v>
      </c>
      <c r="AQ276" s="180">
        <f t="shared" ref="AQ276:AV276" si="1242">+IFERROR(AQ269/AP269-1,"n/a")</f>
        <v>-9.5760936017332265E-2</v>
      </c>
      <c r="AR276" s="180">
        <f t="shared" si="1242"/>
        <v>-2.811373414071483E-2</v>
      </c>
      <c r="AS276" s="180">
        <f t="shared" si="1242"/>
        <v>-4.8633674534217741E-2</v>
      </c>
      <c r="AT276" s="180">
        <f t="shared" si="1242"/>
        <v>-0.47375320521962894</v>
      </c>
      <c r="AU276" s="180">
        <f t="shared" si="1242"/>
        <v>1.2227992849457059</v>
      </c>
      <c r="AV276" s="180">
        <f t="shared" si="1242"/>
        <v>0.44641168691941058</v>
      </c>
      <c r="AW276" s="180">
        <f t="shared" ref="AW276:AX276" si="1243">+IFERROR(AW269/AV269-1,"n/a")</f>
        <v>-7.2991053479781853E-2</v>
      </c>
      <c r="AX276" s="180">
        <f t="shared" si="1243"/>
        <v>-0.28435836042059792</v>
      </c>
    </row>
    <row r="277" spans="2:50" s="1" customFormat="1" ht="10.15" x14ac:dyDescent="0.2">
      <c r="B277" s="30" t="s">
        <v>224</v>
      </c>
      <c r="H277" s="42"/>
      <c r="I277" s="42"/>
      <c r="J277" s="42"/>
      <c r="K277" s="42"/>
      <c r="L277" s="173">
        <f t="shared" si="1232"/>
        <v>0.42969105436036581</v>
      </c>
      <c r="M277" s="173">
        <f t="shared" si="1232"/>
        <v>-5.2392263240444548E-2</v>
      </c>
      <c r="N277" s="173">
        <f t="shared" si="1232"/>
        <v>5.6826033486653715E-2</v>
      </c>
      <c r="O277" s="173">
        <f t="shared" si="1232"/>
        <v>5.283581896697287E-2</v>
      </c>
      <c r="P277" s="173">
        <f t="shared" si="1232"/>
        <v>-0.27711477135403573</v>
      </c>
      <c r="Q277" s="173">
        <f t="shared" si="1232"/>
        <v>0.13306540356557983</v>
      </c>
      <c r="R277" s="173">
        <f t="shared" si="1232"/>
        <v>4.7259243939173246E-2</v>
      </c>
      <c r="S277" s="173">
        <f t="shared" si="1232"/>
        <v>0.24142969360206168</v>
      </c>
      <c r="T277" s="173">
        <f t="shared" si="1232"/>
        <v>0.45375964015421033</v>
      </c>
      <c r="U277" s="173">
        <f t="shared" si="1232"/>
        <v>-5.0425785584467309E-2</v>
      </c>
      <c r="V277" s="173">
        <f t="shared" si="1233"/>
        <v>-1.5864723739288489E-2</v>
      </c>
      <c r="W277" s="173">
        <f t="shared" si="1233"/>
        <v>-6.3065519889893396E-2</v>
      </c>
      <c r="X277" s="173">
        <f t="shared" si="1233"/>
        <v>7.781531269093267E-2</v>
      </c>
      <c r="Y277" s="173">
        <f t="shared" si="1233"/>
        <v>0.25096900477575468</v>
      </c>
      <c r="Z277" s="173">
        <f t="shared" si="1233"/>
        <v>0.35383769815610555</v>
      </c>
      <c r="AA277" s="173">
        <f t="shared" si="1233"/>
        <v>0.23233854537491827</v>
      </c>
      <c r="AB277" s="173">
        <f t="shared" si="1233"/>
        <v>0.22223951906957784</v>
      </c>
      <c r="AC277" s="173">
        <f t="shared" si="1233"/>
        <v>0.18011321078227471</v>
      </c>
      <c r="AD277" s="173">
        <f t="shared" si="1233"/>
        <v>0.16066679141730544</v>
      </c>
      <c r="AE277" s="173">
        <f t="shared" si="1233"/>
        <v>0.2955240791375966</v>
      </c>
      <c r="AF277" s="173">
        <f t="shared" si="1233"/>
        <v>0.29417441756597484</v>
      </c>
      <c r="AG277" s="173">
        <f t="shared" si="1233"/>
        <v>9.2178986497821969E-2</v>
      </c>
      <c r="AH277" s="173">
        <f t="shared" ref="AH277:AI277" si="1244">+IFERROR(AH270/AD270-1,"n/a")</f>
        <v>2.74273271922989E-2</v>
      </c>
      <c r="AI277" s="173">
        <f t="shared" si="1244"/>
        <v>-6.2814710867513779E-2</v>
      </c>
      <c r="AJ277" s="173">
        <f t="shared" si="1235"/>
        <v>-7.2722656400973862E-2</v>
      </c>
      <c r="AK277" s="173">
        <f t="shared" si="1236"/>
        <v>-5.4543553450105975E-2</v>
      </c>
      <c r="AL277" s="173">
        <f t="shared" si="1237"/>
        <v>-1.9344768842987747E-2</v>
      </c>
      <c r="AM277" s="173">
        <f t="shared" si="1238"/>
        <v>2.527068530644172E-2</v>
      </c>
      <c r="AQ277" s="173">
        <f t="shared" ref="AQ277:AV277" si="1245">+IFERROR(AQ270/AP270-1,"n/a")</f>
        <v>1.2574232707206692</v>
      </c>
      <c r="AR277" s="173">
        <f t="shared" si="1245"/>
        <v>7.6350679429328716E-2</v>
      </c>
      <c r="AS277" s="173">
        <f t="shared" si="1245"/>
        <v>7.1481817101168854E-2</v>
      </c>
      <c r="AT277" s="173">
        <f t="shared" si="1245"/>
        <v>1.4375530194739916E-2</v>
      </c>
      <c r="AU277" s="173">
        <f t="shared" si="1245"/>
        <v>0.23456049626539532</v>
      </c>
      <c r="AV277" s="173">
        <f t="shared" si="1245"/>
        <v>0.21765953856436515</v>
      </c>
      <c r="AW277" s="173">
        <f t="shared" ref="AW277:AX277" si="1246">+IFERROR(AW270/AV270-1,"n/a")</f>
        <v>6.1945792306431047E-2</v>
      </c>
      <c r="AX277" s="173">
        <f t="shared" si="1246"/>
        <v>-2.7394185659788017E-2</v>
      </c>
    </row>
    <row r="278" spans="2:50" s="1" customFormat="1" ht="12" x14ac:dyDescent="0.35">
      <c r="B278" s="20" t="s">
        <v>223</v>
      </c>
      <c r="H278" s="42"/>
      <c r="I278" s="42"/>
      <c r="J278" s="42"/>
      <c r="K278" s="42"/>
      <c r="L278" s="180" t="str">
        <f t="shared" si="1232"/>
        <v>n/a</v>
      </c>
      <c r="M278" s="180" t="str">
        <f t="shared" si="1232"/>
        <v>n/a</v>
      </c>
      <c r="N278" s="180" t="str">
        <f t="shared" si="1232"/>
        <v>n/a</v>
      </c>
      <c r="O278" s="180" t="str">
        <f t="shared" si="1232"/>
        <v>n/a</v>
      </c>
      <c r="P278" s="180" t="str">
        <f t="shared" si="1232"/>
        <v>n/a</v>
      </c>
      <c r="Q278" s="180" t="str">
        <f t="shared" si="1232"/>
        <v>n/a</v>
      </c>
      <c r="R278" s="180" t="str">
        <f t="shared" si="1232"/>
        <v>n/a</v>
      </c>
      <c r="S278" s="180" t="str">
        <f t="shared" si="1232"/>
        <v>n/a</v>
      </c>
      <c r="T278" s="180" t="str">
        <f t="shared" si="1232"/>
        <v>n/a</v>
      </c>
      <c r="U278" s="180" t="str">
        <f t="shared" si="1232"/>
        <v>n/a</v>
      </c>
      <c r="V278" s="180">
        <f t="shared" si="1233"/>
        <v>0</v>
      </c>
      <c r="W278" s="180">
        <f t="shared" si="1233"/>
        <v>0</v>
      </c>
      <c r="X278" s="180">
        <f t="shared" si="1233"/>
        <v>0</v>
      </c>
      <c r="Y278" s="180">
        <f t="shared" si="1233"/>
        <v>0</v>
      </c>
      <c r="Z278" s="180">
        <f t="shared" si="1233"/>
        <v>0</v>
      </c>
      <c r="AA278" s="180">
        <f t="shared" si="1233"/>
        <v>0</v>
      </c>
      <c r="AB278" s="180" t="str">
        <f t="shared" si="1233"/>
        <v>n/a</v>
      </c>
      <c r="AC278" s="180" t="str">
        <f t="shared" si="1233"/>
        <v>n/a</v>
      </c>
      <c r="AD278" s="180" t="str">
        <f t="shared" si="1233"/>
        <v>n/a</v>
      </c>
      <c r="AE278" s="180" t="str">
        <f t="shared" si="1233"/>
        <v>n/a</v>
      </c>
      <c r="AF278" s="180" t="str">
        <f t="shared" si="1233"/>
        <v>n/a</v>
      </c>
      <c r="AG278" s="180" t="str">
        <f t="shared" si="1233"/>
        <v>n/a</v>
      </c>
      <c r="AH278" s="180" t="str">
        <f t="shared" ref="AH278:AI278" si="1247">+IFERROR(AH271/AD271-1,"n/a")</f>
        <v>n/a</v>
      </c>
      <c r="AI278" s="180" t="str">
        <f t="shared" si="1247"/>
        <v>n/a</v>
      </c>
      <c r="AJ278" s="180" t="str">
        <f t="shared" si="1235"/>
        <v>n/a</v>
      </c>
      <c r="AK278" s="180" t="str">
        <f t="shared" si="1236"/>
        <v>n/a</v>
      </c>
      <c r="AL278" s="180" t="str">
        <f t="shared" si="1237"/>
        <v>n/a</v>
      </c>
      <c r="AM278" s="180" t="str">
        <f t="shared" si="1238"/>
        <v>n/a</v>
      </c>
      <c r="AQ278" s="180" t="str">
        <f t="shared" ref="AQ278:AV278" si="1248">+IFERROR(AQ271/AP271-1,"n/a")</f>
        <v>n/a</v>
      </c>
      <c r="AR278" s="180" t="str">
        <f t="shared" si="1248"/>
        <v>n/a</v>
      </c>
      <c r="AS278" s="180" t="str">
        <f t="shared" si="1248"/>
        <v>n/a</v>
      </c>
      <c r="AT278" s="180">
        <f t="shared" si="1248"/>
        <v>0</v>
      </c>
      <c r="AU278" s="180">
        <f t="shared" si="1248"/>
        <v>0</v>
      </c>
      <c r="AV278" s="180" t="str">
        <f t="shared" si="1248"/>
        <v>n/a</v>
      </c>
      <c r="AW278" s="180" t="str">
        <f t="shared" ref="AW278:AX278" si="1249">+IFERROR(AW271/AV271-1,"n/a")</f>
        <v>n/a</v>
      </c>
      <c r="AX278" s="180" t="str">
        <f t="shared" si="1249"/>
        <v>n/a</v>
      </c>
    </row>
    <row r="279" spans="2:50" s="1" customFormat="1" ht="10.15" x14ac:dyDescent="0.2">
      <c r="B279" s="30" t="s">
        <v>383</v>
      </c>
      <c r="H279" s="42"/>
      <c r="I279" s="42"/>
      <c r="J279" s="42"/>
      <c r="K279" s="42"/>
      <c r="L279" s="173">
        <f t="shared" si="1232"/>
        <v>0.42969105436036581</v>
      </c>
      <c r="M279" s="173">
        <f t="shared" si="1232"/>
        <v>-5.2392263240444548E-2</v>
      </c>
      <c r="N279" s="173">
        <f t="shared" si="1232"/>
        <v>5.6826033486653715E-2</v>
      </c>
      <c r="O279" s="173">
        <f t="shared" si="1232"/>
        <v>5.283581896697287E-2</v>
      </c>
      <c r="P279" s="173">
        <f t="shared" si="1232"/>
        <v>-0.27711477135403573</v>
      </c>
      <c r="Q279" s="173">
        <f t="shared" si="1232"/>
        <v>0.13306540356557983</v>
      </c>
      <c r="R279" s="173">
        <f t="shared" si="1232"/>
        <v>7.6067972390099214E-2</v>
      </c>
      <c r="S279" s="173">
        <f t="shared" si="1232"/>
        <v>0.54953692350663008</v>
      </c>
      <c r="T279" s="173">
        <f t="shared" si="1232"/>
        <v>0.91551837503912514</v>
      </c>
      <c r="U279" s="173">
        <f t="shared" si="1232"/>
        <v>4.4025289653764732E-2</v>
      </c>
      <c r="V279" s="173">
        <f t="shared" si="1233"/>
        <v>-3.807021794600185E-2</v>
      </c>
      <c r="W279" s="173">
        <f t="shared" si="1233"/>
        <v>-0.2468576011502237</v>
      </c>
      <c r="X279" s="173">
        <f t="shared" si="1233"/>
        <v>-0.18028408968218401</v>
      </c>
      <c r="Y279" s="173">
        <f t="shared" si="1233"/>
        <v>0.13981255725063702</v>
      </c>
      <c r="Z279" s="173">
        <f t="shared" si="1233"/>
        <v>0.3503568779846562</v>
      </c>
      <c r="AA279" s="173">
        <f t="shared" si="1233"/>
        <v>0.23022197334498196</v>
      </c>
      <c r="AB279" s="173">
        <f t="shared" si="1233"/>
        <v>0.2196735107846377</v>
      </c>
      <c r="AC279" s="173">
        <f t="shared" si="1233"/>
        <v>0.17802546415997855</v>
      </c>
      <c r="AD279" s="173">
        <f t="shared" si="1233"/>
        <v>0.15864802664978006</v>
      </c>
      <c r="AE279" s="173">
        <f t="shared" si="1233"/>
        <v>0.29343427802512756</v>
      </c>
      <c r="AF279" s="173">
        <f t="shared" si="1233"/>
        <v>0.29417441756597484</v>
      </c>
      <c r="AG279" s="173">
        <f t="shared" si="1233"/>
        <v>9.2178986497821969E-2</v>
      </c>
      <c r="AH279" s="173">
        <f t="shared" ref="AH279:AI279" si="1250">+IFERROR(AH272/AD272-1,"n/a")</f>
        <v>2.74273271922989E-2</v>
      </c>
      <c r="AI279" s="173">
        <f t="shared" si="1250"/>
        <v>-6.2814710867513779E-2</v>
      </c>
      <c r="AJ279" s="173">
        <f t="shared" si="1235"/>
        <v>-7.2722656400973862E-2</v>
      </c>
      <c r="AK279" s="173">
        <f t="shared" si="1236"/>
        <v>-5.4543553450105975E-2</v>
      </c>
      <c r="AL279" s="173">
        <f t="shared" si="1237"/>
        <v>-1.9344768842987747E-2</v>
      </c>
      <c r="AM279" s="173">
        <f t="shared" si="1238"/>
        <v>2.527068530644172E-2</v>
      </c>
      <c r="AQ279" s="173">
        <f t="shared" ref="AQ279:AV279" si="1251">+IFERROR(AQ272/AP272-1,"n/a")</f>
        <v>1.2530959326278741</v>
      </c>
      <c r="AR279" s="173">
        <f t="shared" si="1251"/>
        <v>7.6350679429328716E-2</v>
      </c>
      <c r="AS279" s="173">
        <f t="shared" si="1251"/>
        <v>0.18327106879116228</v>
      </c>
      <c r="AT279" s="173">
        <f t="shared" si="1251"/>
        <v>2.5093508163906986E-3</v>
      </c>
      <c r="AU279" s="173">
        <f t="shared" si="1251"/>
        <v>0.13316619177169464</v>
      </c>
      <c r="AV279" s="173">
        <f t="shared" si="1251"/>
        <v>0.21550159778860101</v>
      </c>
      <c r="AW279" s="173">
        <f t="shared" ref="AW279:AX279" si="1252">+IFERROR(AW272/AV272-1,"n/a")</f>
        <v>6.1945792306431047E-2</v>
      </c>
      <c r="AX279" s="173">
        <f t="shared" si="1252"/>
        <v>-2.7394185659788017E-2</v>
      </c>
    </row>
    <row r="280" spans="2:50" s="1" customFormat="1" ht="10.15" x14ac:dyDescent="0.2">
      <c r="B280" s="30"/>
      <c r="H280" s="42"/>
      <c r="I280" s="42"/>
      <c r="J280" s="42"/>
      <c r="K280" s="42"/>
      <c r="L280" s="173"/>
      <c r="M280" s="173"/>
      <c r="N280" s="173"/>
      <c r="O280" s="173"/>
      <c r="P280" s="173"/>
      <c r="Q280" s="173"/>
      <c r="R280" s="173"/>
      <c r="S280" s="173"/>
      <c r="T280" s="173"/>
      <c r="U280" s="173"/>
      <c r="V280" s="173"/>
      <c r="W280" s="173"/>
      <c r="X280" s="173"/>
      <c r="Y280" s="173"/>
      <c r="Z280" s="173"/>
      <c r="AA280" s="173"/>
      <c r="AB280" s="173"/>
      <c r="AC280" s="173"/>
      <c r="AD280" s="173"/>
      <c r="AE280" s="173"/>
      <c r="AF280" s="173"/>
      <c r="AG280" s="173"/>
      <c r="AQ280" s="173"/>
      <c r="AR280" s="173"/>
      <c r="AS280" s="173"/>
      <c r="AT280" s="173"/>
      <c r="AU280" s="173"/>
      <c r="AV280" s="173"/>
      <c r="AW280" s="173"/>
      <c r="AX280" s="173"/>
    </row>
    <row r="281" spans="2:50" s="1" customFormat="1" ht="10.15" x14ac:dyDescent="0.2">
      <c r="B281" s="19" t="s">
        <v>262</v>
      </c>
      <c r="H281" s="42"/>
      <c r="I281" s="42"/>
      <c r="J281" s="42"/>
      <c r="K281" s="42"/>
      <c r="L281" s="173"/>
      <c r="M281" s="173"/>
      <c r="N281" s="173"/>
      <c r="O281" s="173"/>
      <c r="P281" s="173"/>
      <c r="Q281" s="173"/>
      <c r="R281" s="173"/>
      <c r="S281" s="173"/>
      <c r="T281" s="173"/>
      <c r="U281" s="173"/>
      <c r="V281" s="173"/>
      <c r="W281" s="173"/>
      <c r="X281" s="173"/>
      <c r="Y281" s="173"/>
      <c r="Z281" s="173"/>
      <c r="AA281" s="173"/>
      <c r="AB281" s="173"/>
      <c r="AC281" s="173"/>
      <c r="AD281" s="173"/>
      <c r="AE281" s="173"/>
      <c r="AF281" s="173"/>
      <c r="AG281" s="173"/>
      <c r="AH281" s="226"/>
      <c r="AQ281" s="173"/>
      <c r="AR281" s="173"/>
      <c r="AS281" s="173"/>
      <c r="AT281" s="173"/>
      <c r="AU281" s="173"/>
      <c r="AV281" s="173"/>
      <c r="AW281" s="173"/>
      <c r="AX281" s="173"/>
    </row>
    <row r="282" spans="2:50" s="1" customFormat="1" ht="10.15" x14ac:dyDescent="0.2">
      <c r="B282" s="20" t="s">
        <v>226</v>
      </c>
      <c r="H282"/>
      <c r="I282" s="46">
        <f>+IFERROR(I268/H268-1,"n/a")</f>
        <v>0.71782743031422491</v>
      </c>
      <c r="J282" s="46">
        <f t="shared" ref="J282:J286" si="1253">+IFERROR(J268/I268-1,"n/a")</f>
        <v>-0.12562260369423583</v>
      </c>
      <c r="K282" s="46">
        <f t="shared" ref="K282:K286" si="1254">+IFERROR(K268/J268-1,"n/a")</f>
        <v>-1.6117127581193658E-2</v>
      </c>
      <c r="L282" s="46">
        <f t="shared" ref="L282:L286" si="1255">+IFERROR(L268/K268-1,"n/a")</f>
        <v>5.0113578175690954E-2</v>
      </c>
      <c r="M282" s="46">
        <f t="shared" ref="M282:M286" si="1256">+IFERROR(M268/L268-1,"n/a")</f>
        <v>6.3220587697753627E-2</v>
      </c>
      <c r="N282" s="46">
        <f t="shared" ref="N282:N286" si="1257">+IFERROR(N268/M268-1,"n/a")</f>
        <v>-2.5620341124028223E-2</v>
      </c>
      <c r="O282" s="46">
        <f t="shared" ref="O282:O286" si="1258">+IFERROR(O268/N268-1,"n/a")</f>
        <v>-2.9908526954165571E-2</v>
      </c>
      <c r="P282" s="46">
        <f t="shared" ref="P282:P286" si="1259">+IFERROR(P268/O268-1,"n/a")</f>
        <v>-0.30475225910322701</v>
      </c>
      <c r="Q282" s="46">
        <f t="shared" ref="Q282:Q286" si="1260">+IFERROR(Q268/P268-1,"n/a")</f>
        <v>0.76205649038792367</v>
      </c>
      <c r="R282" s="46">
        <f t="shared" ref="R282:R286" si="1261">+IFERROR(R268/Q268-1,"n/a")</f>
        <v>-0.10853572123856903</v>
      </c>
      <c r="S282" s="46">
        <f t="shared" ref="S282:S286" si="1262">+IFERROR(S268/R268-1,"n/a")</f>
        <v>0.16251603406327253</v>
      </c>
      <c r="T282" s="46">
        <f t="shared" ref="T282:T286" si="1263">+IFERROR(T268/S268-1,"n/a")</f>
        <v>-0.13482113384716254</v>
      </c>
      <c r="U282" s="46">
        <f t="shared" ref="U282:U286" si="1264">+IFERROR(U268/T268-1,"n/a")</f>
        <v>0.11385644884732127</v>
      </c>
      <c r="V282" s="46">
        <f t="shared" ref="V282:V286" si="1265">+IFERROR(V268/U268-1,"n/a")</f>
        <v>-5.1565659671169994E-2</v>
      </c>
      <c r="W282" s="46">
        <f t="shared" ref="W282:W286" si="1266">+IFERROR(W268/V268-1,"n/a")</f>
        <v>5.9865069320021558E-2</v>
      </c>
      <c r="X282" s="46">
        <f t="shared" ref="X282:X286" si="1267">+IFERROR(X268/W268-1,"n/a")</f>
        <v>-4.8809159958870141E-2</v>
      </c>
      <c r="Y282" s="46">
        <f t="shared" ref="Y282:Y286" si="1268">+IFERROR(Y268/X268-1,"n/a")</f>
        <v>0.25999793168597707</v>
      </c>
      <c r="Z282" s="46">
        <f t="shared" ref="Z282:Z286" si="1269">+IFERROR(Z268/Y268-1,"n/a")</f>
        <v>1.4257980838821016E-3</v>
      </c>
      <c r="AA282" s="46">
        <f t="shared" ref="AA282:AA286" si="1270">+IFERROR(AA268/Z268-1,"n/a")</f>
        <v>-2.9345132726071865E-2</v>
      </c>
      <c r="AB282" s="46">
        <f t="shared" ref="AB282:AB286" si="1271">+IFERROR(AB268/AA268-1,"n/a")</f>
        <v>-2.0049163314221574E-2</v>
      </c>
      <c r="AC282" s="46">
        <f t="shared" ref="AC282:AC286" si="1272">+IFERROR(AC268/AB268-1,"n/a")</f>
        <v>0.2168049746060372</v>
      </c>
      <c r="AD282" s="46">
        <f t="shared" ref="AD282:AD286" si="1273">+IFERROR(AD268/AC268-1,"n/a")</f>
        <v>-3.1351811837688759E-3</v>
      </c>
      <c r="AE282" s="46">
        <f t="shared" ref="AE282:AG286" si="1274">+IFERROR(AE268/AD268-1,"n/a")</f>
        <v>5.7876943859795471E-2</v>
      </c>
      <c r="AF282" s="46">
        <f t="shared" si="1274"/>
        <v>3.6580061236561878E-3</v>
      </c>
      <c r="AG282" s="46">
        <f t="shared" si="1274"/>
        <v>1.9455561480938854E-2</v>
      </c>
      <c r="AH282" s="168">
        <v>-0.05</v>
      </c>
      <c r="AI282" s="168">
        <v>0.03</v>
      </c>
      <c r="AJ282" s="168">
        <v>-0.02</v>
      </c>
      <c r="AK282" s="168">
        <v>0.03</v>
      </c>
      <c r="AL282" s="168">
        <v>-0.04</v>
      </c>
      <c r="AM282" s="168">
        <v>0.06</v>
      </c>
      <c r="AQ282" s="173"/>
      <c r="AR282" s="173"/>
      <c r="AS282" s="173"/>
      <c r="AT282" s="173"/>
      <c r="AU282" s="173"/>
      <c r="AV282" s="173"/>
      <c r="AW282" s="173"/>
      <c r="AX282" s="173"/>
    </row>
    <row r="283" spans="2:50" s="1" customFormat="1" ht="12" x14ac:dyDescent="0.35">
      <c r="B283" s="20" t="s">
        <v>227</v>
      </c>
      <c r="H283"/>
      <c r="I283" s="47">
        <f t="shared" ref="I283:I286" si="1275">+IFERROR(I269/H269-1,"n/a")</f>
        <v>-1.8315866680766457E-2</v>
      </c>
      <c r="J283" s="47">
        <f t="shared" si="1253"/>
        <v>-0.1788869630626847</v>
      </c>
      <c r="K283" s="47">
        <f t="shared" si="1254"/>
        <v>-0.14146667675755087</v>
      </c>
      <c r="L283" s="47">
        <f t="shared" si="1255"/>
        <v>0.35832171824919246</v>
      </c>
      <c r="M283" s="47">
        <f t="shared" si="1256"/>
        <v>-0.10487787146900795</v>
      </c>
      <c r="N283" s="47">
        <f t="shared" si="1257"/>
        <v>-8.4422716123061514E-2</v>
      </c>
      <c r="O283" s="47">
        <f t="shared" si="1258"/>
        <v>-7.3643739108863349E-2</v>
      </c>
      <c r="P283" s="47">
        <f t="shared" si="1259"/>
        <v>0.16274881873551994</v>
      </c>
      <c r="Q283" s="47">
        <f t="shared" si="1260"/>
        <v>-4.9582632524249992E-2</v>
      </c>
      <c r="R283" s="47">
        <f t="shared" si="1261"/>
        <v>-7.6504091921513417E-2</v>
      </c>
      <c r="S283" s="47">
        <f t="shared" si="1262"/>
        <v>-2.5205155428946968E-2</v>
      </c>
      <c r="T283" s="47">
        <f t="shared" si="1263"/>
        <v>-7.2902385397425995E-2</v>
      </c>
      <c r="U283" s="47">
        <f t="shared" si="1264"/>
        <v>-0.4337928179085252</v>
      </c>
      <c r="V283" s="47">
        <f t="shared" si="1265"/>
        <v>-0.51259069762740483</v>
      </c>
      <c r="W283" s="47">
        <f t="shared" si="1266"/>
        <v>1.2739431613428662</v>
      </c>
      <c r="X283" s="47">
        <f t="shared" si="1267"/>
        <v>0.9302889620003516</v>
      </c>
      <c r="Y283" s="47">
        <f t="shared" si="1268"/>
        <v>2.805126825544213E-2</v>
      </c>
      <c r="Z283" s="47">
        <f t="shared" si="1269"/>
        <v>2.3624710259548154E-2</v>
      </c>
      <c r="AA283" s="47">
        <f t="shared" si="1270"/>
        <v>0.22370752531203486</v>
      </c>
      <c r="AB283" s="47">
        <f t="shared" si="1271"/>
        <v>0.10599197005907746</v>
      </c>
      <c r="AC283" s="47">
        <f t="shared" si="1272"/>
        <v>2.2567918348849858E-2</v>
      </c>
      <c r="AD283" s="47">
        <f t="shared" si="1273"/>
        <v>-0.10669503877105291</v>
      </c>
      <c r="AE283" s="47">
        <f t="shared" si="1274"/>
        <v>0.61088184617062469</v>
      </c>
      <c r="AF283" s="47">
        <f t="shared" si="1274"/>
        <v>-8.7483307287387513E-2</v>
      </c>
      <c r="AG283" s="47">
        <f t="shared" si="1274"/>
        <v>-7.6033662150007175E-2</v>
      </c>
      <c r="AH283" s="169">
        <v>-0.25</v>
      </c>
      <c r="AI283" s="169">
        <v>-0.2</v>
      </c>
      <c r="AJ283" s="169">
        <v>0</v>
      </c>
      <c r="AK283" s="169">
        <v>0</v>
      </c>
      <c r="AL283" s="169">
        <v>0</v>
      </c>
      <c r="AM283" s="169">
        <v>0</v>
      </c>
      <c r="AQ283" s="173"/>
      <c r="AR283" s="173"/>
      <c r="AS283" s="173"/>
      <c r="AT283" s="173"/>
      <c r="AU283" s="173"/>
      <c r="AV283" s="173"/>
      <c r="AW283" s="173"/>
      <c r="AX283" s="173"/>
    </row>
    <row r="284" spans="2:50" s="1" customFormat="1" ht="10.15" x14ac:dyDescent="0.2">
      <c r="B284" s="30" t="s">
        <v>224</v>
      </c>
      <c r="H284"/>
      <c r="I284" s="46">
        <f t="shared" si="1275"/>
        <v>0.57082036822838433</v>
      </c>
      <c r="J284" s="46">
        <f t="shared" si="1253"/>
        <v>-0.13227009521572208</v>
      </c>
      <c r="K284" s="46">
        <f t="shared" si="1254"/>
        <v>-3.0920553787291305E-2</v>
      </c>
      <c r="L284" s="46">
        <f t="shared" si="1255"/>
        <v>8.2359986246343331E-2</v>
      </c>
      <c r="M284" s="46">
        <f t="shared" si="1256"/>
        <v>4.1149085638411131E-2</v>
      </c>
      <c r="N284" s="46">
        <f t="shared" si="1257"/>
        <v>-3.2258266963043569E-2</v>
      </c>
      <c r="O284" s="46">
        <f t="shared" si="1258"/>
        <v>-3.4579467132040187E-2</v>
      </c>
      <c r="P284" s="46">
        <f t="shared" si="1259"/>
        <v>-0.25684324940366132</v>
      </c>
      <c r="Q284" s="46">
        <f t="shared" si="1260"/>
        <v>0.63191881939612649</v>
      </c>
      <c r="R284" s="46">
        <f t="shared" si="1261"/>
        <v>-0.10554459391362936</v>
      </c>
      <c r="S284" s="46">
        <f t="shared" si="1262"/>
        <v>0.14441741455282076</v>
      </c>
      <c r="T284" s="46">
        <f t="shared" si="1263"/>
        <v>-0.1297362259876661</v>
      </c>
      <c r="U284" s="46">
        <f t="shared" si="1264"/>
        <v>6.5945145343022871E-2</v>
      </c>
      <c r="V284" s="46">
        <f t="shared" si="1265"/>
        <v>-7.2989657039597922E-2</v>
      </c>
      <c r="W284" s="46">
        <f t="shared" si="1266"/>
        <v>8.9529215340256263E-2</v>
      </c>
      <c r="X284" s="46">
        <f t="shared" si="1267"/>
        <v>1.1197598368513084E-3</v>
      </c>
      <c r="Y284" s="46">
        <f t="shared" si="1268"/>
        <v>0.23719186572522188</v>
      </c>
      <c r="Z284" s="46">
        <f t="shared" si="1269"/>
        <v>3.2395239923506125E-3</v>
      </c>
      <c r="AA284" s="46">
        <f t="shared" si="1270"/>
        <v>-8.2497701130863632E-3</v>
      </c>
      <c r="AB284" s="46">
        <f t="shared" si="1271"/>
        <v>-7.0844262833781313E-3</v>
      </c>
      <c r="AC284" s="46">
        <f t="shared" si="1272"/>
        <v>0.19455020250543043</v>
      </c>
      <c r="AD284" s="46">
        <f t="shared" si="1273"/>
        <v>-1.3292293742436789E-2</v>
      </c>
      <c r="AE284" s="46">
        <f t="shared" si="1274"/>
        <v>0.10698118771866727</v>
      </c>
      <c r="AF284" s="46">
        <f t="shared" si="1274"/>
        <v>-8.1188339144599997E-3</v>
      </c>
      <c r="AG284" s="46">
        <f t="shared" si="1274"/>
        <v>8.1041718834931054E-3</v>
      </c>
      <c r="AH284" s="46">
        <f t="shared" ref="AH284" si="1276">+IFERROR(AH270/AG270-1,"n/a")</f>
        <v>-7.1790911660912227E-2</v>
      </c>
      <c r="AI284" s="46">
        <f t="shared" ref="AI284" si="1277">+IFERROR(AI270/AH270-1,"n/a")</f>
        <v>9.7516943718278792E-3</v>
      </c>
      <c r="AJ284" s="46">
        <f t="shared" ref="AJ284" si="1278">+IFERROR(AJ270/AI270-1,"n/a")</f>
        <v>-1.8605025581357792E-2</v>
      </c>
      <c r="AK284" s="46">
        <f t="shared" ref="AK284" si="1279">+IFERROR(AK270/AJ270-1,"n/a")</f>
        <v>2.7867870039580245E-2</v>
      </c>
      <c r="AL284" s="46">
        <f t="shared" ref="AL284" si="1280">+IFERROR(AL270/AK270-1,"n/a")</f>
        <v>-3.7234236004364152E-2</v>
      </c>
      <c r="AM284" s="46">
        <f t="shared" ref="AM284" si="1281">+IFERROR(AM270/AL270-1,"n/a")</f>
        <v>5.569090826803369E-2</v>
      </c>
      <c r="AQ284" s="173"/>
      <c r="AR284" s="173"/>
      <c r="AS284" s="173"/>
      <c r="AT284" s="173"/>
      <c r="AU284" s="173"/>
      <c r="AV284" s="173"/>
      <c r="AW284" s="173"/>
      <c r="AX284" s="173"/>
    </row>
    <row r="285" spans="2:50" s="1" customFormat="1" ht="12" x14ac:dyDescent="0.35">
      <c r="B285" s="20" t="s">
        <v>223</v>
      </c>
      <c r="H285"/>
      <c r="I285" s="47" t="str">
        <f t="shared" si="1275"/>
        <v>n/a</v>
      </c>
      <c r="J285" s="47" t="str">
        <f t="shared" si="1253"/>
        <v>n/a</v>
      </c>
      <c r="K285" s="47" t="str">
        <f t="shared" si="1254"/>
        <v>n/a</v>
      </c>
      <c r="L285" s="47" t="str">
        <f t="shared" si="1255"/>
        <v>n/a</v>
      </c>
      <c r="M285" s="47" t="str">
        <f t="shared" si="1256"/>
        <v>n/a</v>
      </c>
      <c r="N285" s="47" t="str">
        <f t="shared" si="1257"/>
        <v>n/a</v>
      </c>
      <c r="O285" s="47" t="str">
        <f t="shared" si="1258"/>
        <v>n/a</v>
      </c>
      <c r="P285" s="47" t="str">
        <f t="shared" si="1259"/>
        <v>n/a</v>
      </c>
      <c r="Q285" s="47" t="str">
        <f t="shared" si="1260"/>
        <v>n/a</v>
      </c>
      <c r="R285" s="47" t="str">
        <f t="shared" si="1261"/>
        <v>n/a</v>
      </c>
      <c r="S285" s="47">
        <f t="shared" si="1262"/>
        <v>0</v>
      </c>
      <c r="T285" s="47">
        <f t="shared" si="1263"/>
        <v>0</v>
      </c>
      <c r="U285" s="47">
        <f t="shared" si="1264"/>
        <v>0</v>
      </c>
      <c r="V285" s="47">
        <f t="shared" si="1265"/>
        <v>0</v>
      </c>
      <c r="W285" s="47">
        <f t="shared" si="1266"/>
        <v>0</v>
      </c>
      <c r="X285" s="47">
        <f t="shared" si="1267"/>
        <v>0</v>
      </c>
      <c r="Y285" s="47">
        <f t="shared" si="1268"/>
        <v>0</v>
      </c>
      <c r="Z285" s="47">
        <f t="shared" si="1269"/>
        <v>0</v>
      </c>
      <c r="AA285" s="47">
        <f t="shared" si="1270"/>
        <v>0</v>
      </c>
      <c r="AB285" s="47" t="str">
        <f t="shared" si="1271"/>
        <v>n/a</v>
      </c>
      <c r="AC285" s="47" t="str">
        <f t="shared" si="1272"/>
        <v>n/a</v>
      </c>
      <c r="AD285" s="47" t="str">
        <f t="shared" si="1273"/>
        <v>n/a</v>
      </c>
      <c r="AE285" s="47" t="str">
        <f t="shared" si="1274"/>
        <v>n/a</v>
      </c>
      <c r="AF285" s="47" t="str">
        <f t="shared" si="1274"/>
        <v>n/a</v>
      </c>
      <c r="AG285" s="47" t="str">
        <f t="shared" si="1274"/>
        <v>n/a</v>
      </c>
      <c r="AH285" s="47" t="str">
        <f t="shared" ref="AH285:AH286" si="1282">+IFERROR(AH271/AG271-1,"n/a")</f>
        <v>n/a</v>
      </c>
      <c r="AI285" s="47" t="str">
        <f t="shared" ref="AI285:AI286" si="1283">+IFERROR(AI271/AH271-1,"n/a")</f>
        <v>n/a</v>
      </c>
      <c r="AJ285" s="47" t="str">
        <f t="shared" ref="AJ285:AJ286" si="1284">+IFERROR(AJ271/AI271-1,"n/a")</f>
        <v>n/a</v>
      </c>
      <c r="AK285" s="47" t="str">
        <f t="shared" ref="AK285:AK286" si="1285">+IFERROR(AK271/AJ271-1,"n/a")</f>
        <v>n/a</v>
      </c>
      <c r="AL285" s="47" t="str">
        <f t="shared" ref="AL285:AL286" si="1286">+IFERROR(AL271/AK271-1,"n/a")</f>
        <v>n/a</v>
      </c>
      <c r="AM285" s="47" t="str">
        <f t="shared" ref="AM285:AM286" si="1287">+IFERROR(AM271/AL271-1,"n/a")</f>
        <v>n/a</v>
      </c>
      <c r="AQ285" s="173"/>
      <c r="AR285" s="173"/>
      <c r="AS285" s="173"/>
      <c r="AT285" s="173"/>
      <c r="AU285" s="173"/>
      <c r="AV285" s="173"/>
      <c r="AW285" s="173"/>
      <c r="AX285" s="173"/>
    </row>
    <row r="286" spans="2:50" s="1" customFormat="1" ht="10.15" x14ac:dyDescent="0.2">
      <c r="B286" s="30" t="s">
        <v>383</v>
      </c>
      <c r="H286"/>
      <c r="I286" s="46">
        <f t="shared" si="1275"/>
        <v>0.57082036822838433</v>
      </c>
      <c r="J286" s="46">
        <f t="shared" si="1253"/>
        <v>-0.13227009521572208</v>
      </c>
      <c r="K286" s="46">
        <f t="shared" si="1254"/>
        <v>-3.0920553787291305E-2</v>
      </c>
      <c r="L286" s="46">
        <f t="shared" si="1255"/>
        <v>8.2359986246343331E-2</v>
      </c>
      <c r="M286" s="46">
        <f t="shared" si="1256"/>
        <v>4.1149085638411131E-2</v>
      </c>
      <c r="N286" s="46">
        <f t="shared" si="1257"/>
        <v>-3.2258266963043569E-2</v>
      </c>
      <c r="O286" s="46">
        <f t="shared" si="1258"/>
        <v>-3.4579467132040187E-2</v>
      </c>
      <c r="P286" s="46">
        <f t="shared" si="1259"/>
        <v>-0.25684324940366132</v>
      </c>
      <c r="Q286" s="46">
        <f t="shared" si="1260"/>
        <v>0.63191881939612649</v>
      </c>
      <c r="R286" s="46">
        <f t="shared" si="1261"/>
        <v>-8.0939298658864622E-2</v>
      </c>
      <c r="S286" s="46">
        <f t="shared" si="1262"/>
        <v>0.39020470897170423</v>
      </c>
      <c r="T286" s="46">
        <f t="shared" si="1263"/>
        <v>-8.1318818734451348E-2</v>
      </c>
      <c r="U286" s="46">
        <f t="shared" si="1264"/>
        <v>-0.11054650254833986</v>
      </c>
      <c r="V286" s="46">
        <f t="shared" si="1265"/>
        <v>-0.15320838594947994</v>
      </c>
      <c r="W286" s="46">
        <f t="shared" si="1266"/>
        <v>8.8460019578050275E-2</v>
      </c>
      <c r="X286" s="46">
        <f t="shared" si="1267"/>
        <v>-1.1261888451652435E-4</v>
      </c>
      <c r="Y286" s="46">
        <f t="shared" si="1268"/>
        <v>0.23678246661435454</v>
      </c>
      <c r="Z286" s="46">
        <f t="shared" si="1269"/>
        <v>3.2095829958529443E-3</v>
      </c>
      <c r="AA286" s="46">
        <f t="shared" si="1270"/>
        <v>-8.3751525071714683E-3</v>
      </c>
      <c r="AB286" s="46">
        <f t="shared" si="1271"/>
        <v>-8.6860916664887045E-3</v>
      </c>
      <c r="AC286" s="46">
        <f t="shared" si="1272"/>
        <v>0.19455020250543043</v>
      </c>
      <c r="AD286" s="46">
        <f t="shared" si="1273"/>
        <v>-1.3292293742436789E-2</v>
      </c>
      <c r="AE286" s="46">
        <f t="shared" si="1274"/>
        <v>0.10698118771866727</v>
      </c>
      <c r="AF286" s="46">
        <f t="shared" si="1274"/>
        <v>-8.1188339144599997E-3</v>
      </c>
      <c r="AG286" s="46">
        <f t="shared" si="1274"/>
        <v>8.1041718834931054E-3</v>
      </c>
      <c r="AH286" s="46">
        <f t="shared" si="1282"/>
        <v>-7.1790911660912227E-2</v>
      </c>
      <c r="AI286" s="46">
        <f t="shared" si="1283"/>
        <v>9.7516943718278792E-3</v>
      </c>
      <c r="AJ286" s="46">
        <f t="shared" si="1284"/>
        <v>-1.8605025581357792E-2</v>
      </c>
      <c r="AK286" s="46">
        <f t="shared" si="1285"/>
        <v>2.7867870039580245E-2</v>
      </c>
      <c r="AL286" s="46">
        <f t="shared" si="1286"/>
        <v>-3.7234236004364152E-2</v>
      </c>
      <c r="AM286" s="46">
        <f t="shared" si="1287"/>
        <v>5.569090826803369E-2</v>
      </c>
      <c r="AQ286" s="173"/>
      <c r="AR286" s="173"/>
      <c r="AS286" s="173"/>
      <c r="AT286" s="173"/>
      <c r="AU286" s="173"/>
      <c r="AV286" s="173"/>
      <c r="AW286" s="173"/>
      <c r="AX286" s="173"/>
    </row>
    <row r="287" spans="2:50" ht="10.15" x14ac:dyDescent="0.2">
      <c r="B287" s="181"/>
    </row>
    <row r="288" spans="2:50" ht="10.15" x14ac:dyDescent="0.2">
      <c r="B288" s="24" t="s">
        <v>371</v>
      </c>
    </row>
    <row r="289" spans="2:50" ht="10.15" x14ac:dyDescent="0.2">
      <c r="B289" s="184" t="s">
        <v>226</v>
      </c>
      <c r="H289" s="182">
        <v>0</v>
      </c>
      <c r="I289" s="182">
        <v>0</v>
      </c>
      <c r="J289" s="182">
        <v>0</v>
      </c>
      <c r="K289" s="182">
        <v>0</v>
      </c>
      <c r="L289" s="182">
        <v>0</v>
      </c>
      <c r="M289" s="182">
        <v>0</v>
      </c>
      <c r="N289" s="182">
        <v>0</v>
      </c>
      <c r="O289" s="182">
        <v>0</v>
      </c>
      <c r="P289" s="182">
        <v>0</v>
      </c>
      <c r="Q289" s="182">
        <v>0</v>
      </c>
      <c r="R289" s="182">
        <v>0</v>
      </c>
      <c r="S289" s="182">
        <v>0</v>
      </c>
      <c r="T289" s="182">
        <v>0</v>
      </c>
      <c r="U289" s="182">
        <v>0</v>
      </c>
      <c r="V289" s="182">
        <v>0</v>
      </c>
      <c r="W289" s="182">
        <v>0</v>
      </c>
      <c r="X289" s="182">
        <v>0</v>
      </c>
      <c r="Y289" s="182">
        <v>0</v>
      </c>
      <c r="Z289" s="182">
        <v>0</v>
      </c>
      <c r="AA289" s="182">
        <v>0</v>
      </c>
      <c r="AB289" s="182">
        <v>0</v>
      </c>
      <c r="AC289" s="182">
        <v>0</v>
      </c>
      <c r="AD289" s="182">
        <v>0</v>
      </c>
      <c r="AE289" s="182">
        <v>0</v>
      </c>
      <c r="AF289" s="182">
        <v>0</v>
      </c>
      <c r="AG289" s="182">
        <v>0</v>
      </c>
      <c r="AH289" s="182">
        <v>0</v>
      </c>
      <c r="AI289" s="182">
        <v>0</v>
      </c>
      <c r="AJ289" s="182">
        <v>0</v>
      </c>
      <c r="AK289" s="182">
        <v>0</v>
      </c>
      <c r="AL289" s="182">
        <v>0</v>
      </c>
      <c r="AM289" s="182">
        <v>0</v>
      </c>
      <c r="AO289" s="182">
        <v>0</v>
      </c>
      <c r="AP289" s="182">
        <v>0</v>
      </c>
      <c r="AQ289" s="186" t="str">
        <f t="shared" ref="AQ289:AW291" si="1288">+IFERROR(AQ162/(AQ$216*1000),"n/a")</f>
        <v>n/a</v>
      </c>
      <c r="AR289" s="186" t="str">
        <f t="shared" si="1288"/>
        <v>n/a</v>
      </c>
      <c r="AS289" s="186">
        <f t="shared" si="1288"/>
        <v>0</v>
      </c>
      <c r="AT289" s="186">
        <f t="shared" si="1288"/>
        <v>0</v>
      </c>
      <c r="AU289" s="186">
        <f t="shared" si="1288"/>
        <v>0</v>
      </c>
      <c r="AV289" s="186">
        <f t="shared" si="1288"/>
        <v>0</v>
      </c>
      <c r="AW289" s="186">
        <f t="shared" si="1288"/>
        <v>0</v>
      </c>
      <c r="AX289" s="186">
        <f t="shared" ref="AX289" si="1289">+IFERROR(AX162/(AX$216*1000),"n/a")</f>
        <v>0</v>
      </c>
    </row>
    <row r="290" spans="2:50" ht="12" x14ac:dyDescent="0.35">
      <c r="B290" s="184" t="s">
        <v>227</v>
      </c>
      <c r="H290" s="183">
        <v>0</v>
      </c>
      <c r="I290" s="183">
        <v>0</v>
      </c>
      <c r="J290" s="183">
        <v>0</v>
      </c>
      <c r="K290" s="183">
        <v>0</v>
      </c>
      <c r="L290" s="183">
        <v>0</v>
      </c>
      <c r="M290" s="183">
        <v>0</v>
      </c>
      <c r="N290" s="183">
        <v>0</v>
      </c>
      <c r="O290" s="183">
        <v>0</v>
      </c>
      <c r="P290" s="183">
        <v>0</v>
      </c>
      <c r="Q290" s="183">
        <v>0</v>
      </c>
      <c r="R290" s="183">
        <v>0</v>
      </c>
      <c r="S290" s="183">
        <v>0.12</v>
      </c>
      <c r="T290" s="183">
        <v>0.12</v>
      </c>
      <c r="U290" s="183">
        <v>0.12</v>
      </c>
      <c r="V290" s="183">
        <v>0.12</v>
      </c>
      <c r="W290" s="183">
        <v>0.12</v>
      </c>
      <c r="X290" s="183">
        <v>0.115</v>
      </c>
      <c r="Y290" s="183">
        <v>0.106</v>
      </c>
      <c r="Z290" s="183">
        <v>0.111</v>
      </c>
      <c r="AA290" s="183">
        <v>0.11899999999999999</v>
      </c>
      <c r="AB290" s="183">
        <v>0.13600000000000001</v>
      </c>
      <c r="AC290" s="183">
        <v>0.128</v>
      </c>
      <c r="AD290" s="183">
        <v>0.13200000000000001</v>
      </c>
      <c r="AE290" s="183">
        <v>0.13500000000000001</v>
      </c>
      <c r="AF290" s="183">
        <v>0.13500000000000001</v>
      </c>
      <c r="AG290" s="183">
        <v>0.13500000000000001</v>
      </c>
      <c r="AH290" s="188">
        <f t="shared" ref="AH290:AI290" si="1290">+AG290*(1+AH300)</f>
        <v>0.13500000000000001</v>
      </c>
      <c r="AI290" s="188">
        <f t="shared" si="1290"/>
        <v>0.13500000000000001</v>
      </c>
      <c r="AJ290" s="188">
        <f t="shared" ref="AJ290" si="1291">+AI290*(1+AJ300)</f>
        <v>0.13500000000000001</v>
      </c>
      <c r="AK290" s="188">
        <f t="shared" ref="AK290" si="1292">+AJ290*(1+AK300)</f>
        <v>0.13500000000000001</v>
      </c>
      <c r="AL290" s="188">
        <f t="shared" ref="AL290" si="1293">+AK290*(1+AL300)</f>
        <v>0.13500000000000001</v>
      </c>
      <c r="AM290" s="188">
        <f t="shared" ref="AM290" si="1294">+AL290*(1+AM300)</f>
        <v>0.13500000000000001</v>
      </c>
      <c r="AO290" s="183">
        <v>0</v>
      </c>
      <c r="AP290" s="183">
        <v>0</v>
      </c>
      <c r="AQ290" s="187" t="str">
        <f t="shared" si="1288"/>
        <v>n/a</v>
      </c>
      <c r="AR290" s="187" t="str">
        <f t="shared" si="1288"/>
        <v>n/a</v>
      </c>
      <c r="AS290" s="187">
        <f t="shared" si="1288"/>
        <v>0.12</v>
      </c>
      <c r="AT290" s="187">
        <f t="shared" si="1288"/>
        <v>0.12</v>
      </c>
      <c r="AU290" s="187">
        <f t="shared" si="1288"/>
        <v>0.11275108068652052</v>
      </c>
      <c r="AV290" s="187">
        <f t="shared" si="1288"/>
        <v>0.13267938790243691</v>
      </c>
      <c r="AW290" s="187">
        <f t="shared" si="1288"/>
        <v>0.13500000000000001</v>
      </c>
      <c r="AX290" s="187">
        <f t="shared" ref="AX290" si="1295">+IFERROR(AX163/(AX$216*1000),"n/a")</f>
        <v>0.13500000000000004</v>
      </c>
    </row>
    <row r="291" spans="2:50" s="1" customFormat="1" ht="10.15" x14ac:dyDescent="0.2">
      <c r="B291" s="38" t="s">
        <v>384</v>
      </c>
      <c r="H291" s="185" t="str">
        <f t="shared" ref="H291:AE291" si="1296">+IFERROR(H164/(H216*1000),"n/a")</f>
        <v>n/a</v>
      </c>
      <c r="I291" s="185" t="str">
        <f t="shared" si="1296"/>
        <v>n/a</v>
      </c>
      <c r="J291" s="185" t="str">
        <f t="shared" si="1296"/>
        <v>n/a</v>
      </c>
      <c r="K291" s="185" t="str">
        <f t="shared" si="1296"/>
        <v>n/a</v>
      </c>
      <c r="L291" s="185" t="str">
        <f t="shared" si="1296"/>
        <v>n/a</v>
      </c>
      <c r="M291" s="185" t="str">
        <f t="shared" si="1296"/>
        <v>n/a</v>
      </c>
      <c r="N291" s="185" t="str">
        <f t="shared" si="1296"/>
        <v>n/a</v>
      </c>
      <c r="O291" s="185" t="str">
        <f t="shared" si="1296"/>
        <v>n/a</v>
      </c>
      <c r="P291" s="185" t="str">
        <f t="shared" si="1296"/>
        <v>n/a</v>
      </c>
      <c r="Q291" s="185" t="str">
        <f t="shared" si="1296"/>
        <v>n/a</v>
      </c>
      <c r="R291" s="185" t="str">
        <f t="shared" si="1296"/>
        <v>n/a</v>
      </c>
      <c r="S291" s="185">
        <f t="shared" si="1296"/>
        <v>0.12</v>
      </c>
      <c r="T291" s="185">
        <f t="shared" si="1296"/>
        <v>0.12</v>
      </c>
      <c r="U291" s="185">
        <f t="shared" si="1296"/>
        <v>0.12</v>
      </c>
      <c r="V291" s="185">
        <f t="shared" si="1296"/>
        <v>0.11999999999999998</v>
      </c>
      <c r="W291" s="185">
        <f t="shared" si="1296"/>
        <v>0.12</v>
      </c>
      <c r="X291" s="185">
        <f t="shared" si="1296"/>
        <v>0.115</v>
      </c>
      <c r="Y291" s="185">
        <f t="shared" si="1296"/>
        <v>0.106</v>
      </c>
      <c r="Z291" s="185">
        <f t="shared" si="1296"/>
        <v>0.11100000000000002</v>
      </c>
      <c r="AA291" s="185">
        <f t="shared" si="1296"/>
        <v>0.11899999999999999</v>
      </c>
      <c r="AB291" s="185">
        <f t="shared" si="1296"/>
        <v>0.13600000000000001</v>
      </c>
      <c r="AC291" s="185">
        <f t="shared" si="1296"/>
        <v>0.128</v>
      </c>
      <c r="AD291" s="185">
        <f t="shared" si="1296"/>
        <v>0.13200000000000001</v>
      </c>
      <c r="AE291" s="185">
        <f t="shared" si="1296"/>
        <v>0.13500000000000001</v>
      </c>
      <c r="AF291" s="185">
        <f t="shared" ref="AF291:AG291" si="1297">+IFERROR(AF164/(AF216*1000),"n/a")</f>
        <v>0.13500000000000001</v>
      </c>
      <c r="AG291" s="185">
        <f t="shared" si="1297"/>
        <v>0.13500000000000001</v>
      </c>
      <c r="AH291" s="185">
        <f t="shared" ref="AH291:AI291" si="1298">+IFERROR(AH164/(AH216*1000),"n/a")</f>
        <v>0.13500000000000001</v>
      </c>
      <c r="AI291" s="185">
        <f t="shared" si="1298"/>
        <v>0.13500000000000001</v>
      </c>
      <c r="AJ291" s="185">
        <f t="shared" ref="AJ291:AM291" si="1299">+IFERROR(AJ164/(AJ216*1000),"n/a")</f>
        <v>0.13500000000000001</v>
      </c>
      <c r="AK291" s="185">
        <f t="shared" si="1299"/>
        <v>0.13500000000000001</v>
      </c>
      <c r="AL291" s="185">
        <f t="shared" si="1299"/>
        <v>0.13500000000000001</v>
      </c>
      <c r="AM291" s="185">
        <f t="shared" si="1299"/>
        <v>0.13500000000000001</v>
      </c>
      <c r="AO291" s="185" t="str">
        <f>+IFERROR(AO164/(AO216*1000),"n/a")</f>
        <v>n/a</v>
      </c>
      <c r="AP291" s="185" t="str">
        <f>+IFERROR(AP164/(AP216*1000),"n/a")</f>
        <v>n/a</v>
      </c>
      <c r="AQ291" s="185" t="str">
        <f t="shared" si="1288"/>
        <v>n/a</v>
      </c>
      <c r="AR291" s="185" t="str">
        <f t="shared" si="1288"/>
        <v>n/a</v>
      </c>
      <c r="AS291" s="185">
        <f t="shared" si="1288"/>
        <v>0.12</v>
      </c>
      <c r="AT291" s="185">
        <f t="shared" si="1288"/>
        <v>0.12</v>
      </c>
      <c r="AU291" s="185">
        <f t="shared" si="1288"/>
        <v>0.11275108068652052</v>
      </c>
      <c r="AV291" s="185">
        <f t="shared" si="1288"/>
        <v>0.13267938790243691</v>
      </c>
      <c r="AW291" s="185">
        <f t="shared" si="1288"/>
        <v>0.13500000000000001</v>
      </c>
      <c r="AX291" s="185">
        <f t="shared" ref="AX291" si="1300">+IFERROR(AX164/(AX$216*1000),"n/a")</f>
        <v>0.13500000000000004</v>
      </c>
    </row>
    <row r="292" spans="2:50" s="1" customFormat="1" ht="10.15" x14ac:dyDescent="0.2">
      <c r="B292" s="3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row>
    <row r="293" spans="2:50" s="1" customFormat="1" ht="10.15" x14ac:dyDescent="0.2">
      <c r="B293" s="19" t="s">
        <v>86</v>
      </c>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row>
    <row r="294" spans="2:50" s="1" customFormat="1" ht="10.15" x14ac:dyDescent="0.2">
      <c r="B294" s="20" t="s">
        <v>226</v>
      </c>
      <c r="H294" s="48"/>
      <c r="I294" s="48"/>
      <c r="J294" s="48"/>
      <c r="K294" s="48"/>
      <c r="L294" s="173" t="str">
        <f>+IFERROR(L289/H289-1,"n/a")</f>
        <v>n/a</v>
      </c>
      <c r="M294" s="173" t="str">
        <f t="shared" ref="M294:M296" si="1301">+IFERROR(M289/I289-1,"n/a")</f>
        <v>n/a</v>
      </c>
      <c r="N294" s="173" t="str">
        <f t="shared" ref="N294:N296" si="1302">+IFERROR(N289/J289-1,"n/a")</f>
        <v>n/a</v>
      </c>
      <c r="O294" s="173" t="str">
        <f t="shared" ref="O294:O296" si="1303">+IFERROR(O289/K289-1,"n/a")</f>
        <v>n/a</v>
      </c>
      <c r="P294" s="173" t="str">
        <f t="shared" ref="P294:P296" si="1304">+IFERROR(P289/L289-1,"n/a")</f>
        <v>n/a</v>
      </c>
      <c r="Q294" s="173" t="str">
        <f t="shared" ref="Q294:Q296" si="1305">+IFERROR(Q289/M289-1,"n/a")</f>
        <v>n/a</v>
      </c>
      <c r="R294" s="173" t="str">
        <f t="shared" ref="R294:R296" si="1306">+IFERROR(R289/N289-1,"n/a")</f>
        <v>n/a</v>
      </c>
      <c r="S294" s="173" t="str">
        <f t="shared" ref="S294:S296" si="1307">+IFERROR(S289/O289-1,"n/a")</f>
        <v>n/a</v>
      </c>
      <c r="T294" s="173" t="str">
        <f t="shared" ref="T294:T296" si="1308">+IFERROR(T289/P289-1,"n/a")</f>
        <v>n/a</v>
      </c>
      <c r="U294" s="173" t="str">
        <f t="shared" ref="U294:U296" si="1309">+IFERROR(U289/Q289-1,"n/a")</f>
        <v>n/a</v>
      </c>
      <c r="V294" s="173" t="str">
        <f t="shared" ref="V294:V296" si="1310">+IFERROR(V289/R289-1,"n/a")</f>
        <v>n/a</v>
      </c>
      <c r="W294" s="173" t="str">
        <f t="shared" ref="W294:W296" si="1311">+IFERROR(W289/S289-1,"n/a")</f>
        <v>n/a</v>
      </c>
      <c r="X294" s="173" t="str">
        <f t="shared" ref="X294:X296" si="1312">+IFERROR(X289/T289-1,"n/a")</f>
        <v>n/a</v>
      </c>
      <c r="Y294" s="173" t="str">
        <f t="shared" ref="Y294:Y296" si="1313">+IFERROR(Y289/U289-1,"n/a")</f>
        <v>n/a</v>
      </c>
      <c r="Z294" s="173" t="str">
        <f t="shared" ref="Z294:Z296" si="1314">+IFERROR(Z289/V289-1,"n/a")</f>
        <v>n/a</v>
      </c>
      <c r="AA294" s="173" t="str">
        <f t="shared" ref="AA294:AA296" si="1315">+IFERROR(AA289/W289-1,"n/a")</f>
        <v>n/a</v>
      </c>
      <c r="AB294" s="173" t="str">
        <f t="shared" ref="AB294:AB296" si="1316">+IFERROR(AB289/X289-1,"n/a")</f>
        <v>n/a</v>
      </c>
      <c r="AC294" s="173" t="str">
        <f t="shared" ref="AC294:AC296" si="1317">+IFERROR(AC289/Y289-1,"n/a")</f>
        <v>n/a</v>
      </c>
      <c r="AD294" s="173" t="str">
        <f t="shared" ref="AD294:AD296" si="1318">+IFERROR(AD289/Z289-1,"n/a")</f>
        <v>n/a</v>
      </c>
      <c r="AE294" s="173" t="str">
        <f t="shared" ref="AE294:AG296" si="1319">+IFERROR(AE289/AA289-1,"n/a")</f>
        <v>n/a</v>
      </c>
      <c r="AF294" s="173" t="str">
        <f t="shared" si="1319"/>
        <v>n/a</v>
      </c>
      <c r="AG294" s="173" t="str">
        <f t="shared" si="1319"/>
        <v>n/a</v>
      </c>
      <c r="AH294" s="173" t="str">
        <f t="shared" ref="AH294:AH296" si="1320">+IFERROR(AH289/AD289-1,"n/a")</f>
        <v>n/a</v>
      </c>
      <c r="AI294" s="173" t="str">
        <f t="shared" ref="AI294:AI296" si="1321">+IFERROR(AI289/AE289-1,"n/a")</f>
        <v>n/a</v>
      </c>
      <c r="AJ294" s="173" t="str">
        <f t="shared" ref="AJ294:AJ296" si="1322">+IFERROR(AJ289/AF289-1,"n/a")</f>
        <v>n/a</v>
      </c>
      <c r="AK294" s="173" t="str">
        <f t="shared" ref="AK294:AK296" si="1323">+IFERROR(AK289/AG289-1,"n/a")</f>
        <v>n/a</v>
      </c>
      <c r="AL294" s="173" t="str">
        <f t="shared" ref="AL294:AL296" si="1324">+IFERROR(AL289/AH289-1,"n/a")</f>
        <v>n/a</v>
      </c>
      <c r="AM294" s="173" t="str">
        <f t="shared" ref="AM294:AM296" si="1325">+IFERROR(AM289/AI289-1,"n/a")</f>
        <v>n/a</v>
      </c>
      <c r="AP294" s="173" t="str">
        <f>+IFERROR(AP289/AO289-1,"n/a")</f>
        <v>n/a</v>
      </c>
      <c r="AQ294" s="173" t="str">
        <f t="shared" ref="AQ294:AV294" si="1326">+IFERROR(AQ289/AP289-1,"n/a")</f>
        <v>n/a</v>
      </c>
      <c r="AR294" s="173" t="str">
        <f t="shared" si="1326"/>
        <v>n/a</v>
      </c>
      <c r="AS294" s="173" t="str">
        <f t="shared" si="1326"/>
        <v>n/a</v>
      </c>
      <c r="AT294" s="173" t="str">
        <f t="shared" si="1326"/>
        <v>n/a</v>
      </c>
      <c r="AU294" s="173" t="str">
        <f t="shared" si="1326"/>
        <v>n/a</v>
      </c>
      <c r="AV294" s="173" t="str">
        <f t="shared" si="1326"/>
        <v>n/a</v>
      </c>
      <c r="AW294" s="173" t="str">
        <f t="shared" ref="AW294:AX294" si="1327">+IFERROR(AW289/AV289-1,"n/a")</f>
        <v>n/a</v>
      </c>
      <c r="AX294" s="173" t="str">
        <f t="shared" si="1327"/>
        <v>n/a</v>
      </c>
    </row>
    <row r="295" spans="2:50" s="1" customFormat="1" ht="12" x14ac:dyDescent="0.35">
      <c r="B295" s="20" t="s">
        <v>227</v>
      </c>
      <c r="H295" s="48"/>
      <c r="I295" s="48"/>
      <c r="J295" s="48"/>
      <c r="K295" s="48"/>
      <c r="L295" s="180" t="str">
        <f t="shared" ref="L295:L296" si="1328">+IFERROR(L290/H290-1,"n/a")</f>
        <v>n/a</v>
      </c>
      <c r="M295" s="180" t="str">
        <f t="shared" si="1301"/>
        <v>n/a</v>
      </c>
      <c r="N295" s="180" t="str">
        <f t="shared" si="1302"/>
        <v>n/a</v>
      </c>
      <c r="O295" s="180" t="str">
        <f t="shared" si="1303"/>
        <v>n/a</v>
      </c>
      <c r="P295" s="180" t="str">
        <f t="shared" si="1304"/>
        <v>n/a</v>
      </c>
      <c r="Q295" s="180" t="str">
        <f t="shared" si="1305"/>
        <v>n/a</v>
      </c>
      <c r="R295" s="180" t="str">
        <f t="shared" si="1306"/>
        <v>n/a</v>
      </c>
      <c r="S295" s="180" t="str">
        <f t="shared" si="1307"/>
        <v>n/a</v>
      </c>
      <c r="T295" s="180" t="str">
        <f t="shared" si="1308"/>
        <v>n/a</v>
      </c>
      <c r="U295" s="180" t="str">
        <f t="shared" si="1309"/>
        <v>n/a</v>
      </c>
      <c r="V295" s="180" t="str">
        <f t="shared" si="1310"/>
        <v>n/a</v>
      </c>
      <c r="W295" s="180">
        <f t="shared" si="1311"/>
        <v>0</v>
      </c>
      <c r="X295" s="180">
        <f t="shared" si="1312"/>
        <v>-4.166666666666663E-2</v>
      </c>
      <c r="Y295" s="180">
        <f t="shared" si="1313"/>
        <v>-0.1166666666666667</v>
      </c>
      <c r="Z295" s="180">
        <f t="shared" si="1314"/>
        <v>-7.4999999999999956E-2</v>
      </c>
      <c r="AA295" s="180">
        <f t="shared" si="1315"/>
        <v>-8.3333333333333037E-3</v>
      </c>
      <c r="AB295" s="180">
        <f t="shared" si="1316"/>
        <v>0.18260869565217397</v>
      </c>
      <c r="AC295" s="180">
        <f t="shared" si="1317"/>
        <v>0.20754716981132071</v>
      </c>
      <c r="AD295" s="180">
        <f t="shared" si="1318"/>
        <v>0.18918918918918926</v>
      </c>
      <c r="AE295" s="180">
        <f t="shared" si="1319"/>
        <v>0.13445378151260523</v>
      </c>
      <c r="AF295" s="180">
        <f t="shared" si="1319"/>
        <v>-7.3529411764705621E-3</v>
      </c>
      <c r="AG295" s="180">
        <f t="shared" si="1319"/>
        <v>5.46875E-2</v>
      </c>
      <c r="AH295" s="180">
        <f t="shared" si="1320"/>
        <v>2.2727272727272707E-2</v>
      </c>
      <c r="AI295" s="180">
        <f t="shared" si="1321"/>
        <v>0</v>
      </c>
      <c r="AJ295" s="180">
        <f t="shared" si="1322"/>
        <v>0</v>
      </c>
      <c r="AK295" s="180">
        <f t="shared" si="1323"/>
        <v>0</v>
      </c>
      <c r="AL295" s="180">
        <f t="shared" si="1324"/>
        <v>0</v>
      </c>
      <c r="AM295" s="180">
        <f t="shared" si="1325"/>
        <v>0</v>
      </c>
      <c r="AP295" s="180" t="str">
        <f t="shared" ref="AP295:AV295" si="1329">+IFERROR(AP290/AO290-1,"n/a")</f>
        <v>n/a</v>
      </c>
      <c r="AQ295" s="180" t="str">
        <f t="shared" si="1329"/>
        <v>n/a</v>
      </c>
      <c r="AR295" s="180" t="str">
        <f t="shared" si="1329"/>
        <v>n/a</v>
      </c>
      <c r="AS295" s="180" t="str">
        <f t="shared" si="1329"/>
        <v>n/a</v>
      </c>
      <c r="AT295" s="180">
        <f t="shared" si="1329"/>
        <v>0</v>
      </c>
      <c r="AU295" s="180">
        <f t="shared" si="1329"/>
        <v>-6.04076609456623E-2</v>
      </c>
      <c r="AV295" s="180">
        <f t="shared" si="1329"/>
        <v>0.17674604176364972</v>
      </c>
      <c r="AW295" s="180">
        <f t="shared" ref="AW295:AX295" si="1330">+IFERROR(AW290/AV290-1,"n/a")</f>
        <v>1.749037385723784E-2</v>
      </c>
      <c r="AX295" s="180">
        <f t="shared" si="1330"/>
        <v>2.2204460492503131E-16</v>
      </c>
    </row>
    <row r="296" spans="2:50" s="1" customFormat="1" ht="10.15" x14ac:dyDescent="0.2">
      <c r="B296" s="30" t="s">
        <v>384</v>
      </c>
      <c r="H296" s="48"/>
      <c r="I296" s="48"/>
      <c r="J296" s="48"/>
      <c r="K296" s="48"/>
      <c r="L296" s="173" t="str">
        <f t="shared" si="1328"/>
        <v>n/a</v>
      </c>
      <c r="M296" s="173" t="str">
        <f t="shared" si="1301"/>
        <v>n/a</v>
      </c>
      <c r="N296" s="173" t="str">
        <f t="shared" si="1302"/>
        <v>n/a</v>
      </c>
      <c r="O296" s="173" t="str">
        <f t="shared" si="1303"/>
        <v>n/a</v>
      </c>
      <c r="P296" s="173" t="str">
        <f t="shared" si="1304"/>
        <v>n/a</v>
      </c>
      <c r="Q296" s="173" t="str">
        <f t="shared" si="1305"/>
        <v>n/a</v>
      </c>
      <c r="R296" s="173" t="str">
        <f t="shared" si="1306"/>
        <v>n/a</v>
      </c>
      <c r="S296" s="173" t="str">
        <f t="shared" si="1307"/>
        <v>n/a</v>
      </c>
      <c r="T296" s="173" t="str">
        <f t="shared" si="1308"/>
        <v>n/a</v>
      </c>
      <c r="U296" s="173" t="str">
        <f t="shared" si="1309"/>
        <v>n/a</v>
      </c>
      <c r="V296" s="173" t="str">
        <f t="shared" si="1310"/>
        <v>n/a</v>
      </c>
      <c r="W296" s="173">
        <f t="shared" si="1311"/>
        <v>0</v>
      </c>
      <c r="X296" s="173">
        <f t="shared" si="1312"/>
        <v>-4.166666666666663E-2</v>
      </c>
      <c r="Y296" s="173">
        <f t="shared" si="1313"/>
        <v>-0.1166666666666667</v>
      </c>
      <c r="Z296" s="173">
        <f t="shared" si="1314"/>
        <v>-7.4999999999999734E-2</v>
      </c>
      <c r="AA296" s="173">
        <f t="shared" si="1315"/>
        <v>-8.3333333333333037E-3</v>
      </c>
      <c r="AB296" s="173">
        <f t="shared" si="1316"/>
        <v>0.18260869565217397</v>
      </c>
      <c r="AC296" s="173">
        <f t="shared" si="1317"/>
        <v>0.20754716981132071</v>
      </c>
      <c r="AD296" s="173">
        <f t="shared" si="1318"/>
        <v>0.18918918918918903</v>
      </c>
      <c r="AE296" s="173">
        <f t="shared" si="1319"/>
        <v>0.13445378151260523</v>
      </c>
      <c r="AF296" s="173">
        <f t="shared" si="1319"/>
        <v>-7.3529411764705621E-3</v>
      </c>
      <c r="AG296" s="173">
        <f t="shared" si="1319"/>
        <v>5.46875E-2</v>
      </c>
      <c r="AH296" s="173">
        <f t="shared" si="1320"/>
        <v>2.2727272727272707E-2</v>
      </c>
      <c r="AI296" s="173">
        <f t="shared" si="1321"/>
        <v>0</v>
      </c>
      <c r="AJ296" s="173">
        <f t="shared" si="1322"/>
        <v>0</v>
      </c>
      <c r="AK296" s="173">
        <f t="shared" si="1323"/>
        <v>0</v>
      </c>
      <c r="AL296" s="173">
        <f t="shared" si="1324"/>
        <v>0</v>
      </c>
      <c r="AM296" s="173">
        <f t="shared" si="1325"/>
        <v>0</v>
      </c>
      <c r="AP296" s="173" t="str">
        <f t="shared" ref="AP296:AV296" si="1331">+IFERROR(AP291/AO291-1,"n/a")</f>
        <v>n/a</v>
      </c>
      <c r="AQ296" s="173" t="str">
        <f t="shared" si="1331"/>
        <v>n/a</v>
      </c>
      <c r="AR296" s="173" t="str">
        <f t="shared" si="1331"/>
        <v>n/a</v>
      </c>
      <c r="AS296" s="173" t="str">
        <f t="shared" si="1331"/>
        <v>n/a</v>
      </c>
      <c r="AT296" s="173">
        <f t="shared" si="1331"/>
        <v>0</v>
      </c>
      <c r="AU296" s="173">
        <f t="shared" si="1331"/>
        <v>-6.04076609456623E-2</v>
      </c>
      <c r="AV296" s="173">
        <f t="shared" si="1331"/>
        <v>0.17674604176364972</v>
      </c>
      <c r="AW296" s="173">
        <f t="shared" ref="AW296:AX296" si="1332">+IFERROR(AW291/AV291-1,"n/a")</f>
        <v>1.749037385723784E-2</v>
      </c>
      <c r="AX296" s="173">
        <f t="shared" si="1332"/>
        <v>2.2204460492503131E-16</v>
      </c>
    </row>
    <row r="297" spans="2:50" s="1" customFormat="1" ht="10.15" x14ac:dyDescent="0.2">
      <c r="B297" s="30"/>
      <c r="H297" s="48"/>
      <c r="I297" s="48"/>
      <c r="J297" s="48"/>
      <c r="K297" s="48"/>
      <c r="L297" s="173"/>
      <c r="M297" s="173"/>
      <c r="N297" s="173"/>
      <c r="O297" s="173"/>
      <c r="P297" s="173"/>
      <c r="Q297" s="173"/>
      <c r="R297" s="173"/>
      <c r="S297" s="173"/>
      <c r="T297" s="173"/>
      <c r="U297" s="173"/>
      <c r="V297" s="173"/>
      <c r="W297" s="173"/>
      <c r="X297" s="173"/>
      <c r="Y297" s="173"/>
      <c r="Z297" s="173"/>
      <c r="AA297" s="173"/>
      <c r="AB297" s="173"/>
      <c r="AC297" s="173"/>
      <c r="AD297" s="173"/>
      <c r="AE297" s="173"/>
      <c r="AF297" s="173"/>
      <c r="AG297" s="173"/>
      <c r="AP297" s="173"/>
      <c r="AQ297" s="173"/>
      <c r="AR297" s="173"/>
      <c r="AS297" s="173"/>
      <c r="AT297" s="173"/>
      <c r="AU297" s="173"/>
      <c r="AV297" s="173"/>
      <c r="AW297" s="173"/>
      <c r="AX297" s="173"/>
    </row>
    <row r="298" spans="2:50" s="1" customFormat="1" ht="10.15" x14ac:dyDescent="0.2">
      <c r="B298" s="19" t="s">
        <v>262</v>
      </c>
      <c r="H298" s="48"/>
      <c r="I298" s="48"/>
      <c r="J298" s="48"/>
      <c r="K298" s="48"/>
      <c r="L298" s="173"/>
      <c r="M298" s="173"/>
      <c r="N298" s="173"/>
      <c r="O298" s="173"/>
      <c r="P298" s="173"/>
      <c r="Q298" s="173"/>
      <c r="R298" s="173"/>
      <c r="S298" s="173"/>
      <c r="T298" s="173"/>
      <c r="U298" s="173"/>
      <c r="V298" s="173"/>
      <c r="W298" s="173"/>
      <c r="X298" s="173"/>
      <c r="Y298" s="173"/>
      <c r="Z298" s="173"/>
      <c r="AA298" s="173"/>
      <c r="AB298" s="173"/>
      <c r="AC298" s="173"/>
      <c r="AD298" s="173"/>
      <c r="AE298" s="173"/>
      <c r="AF298" s="173"/>
      <c r="AG298" s="173"/>
      <c r="AP298" s="173"/>
      <c r="AQ298" s="173"/>
      <c r="AR298" s="173"/>
      <c r="AS298" s="173"/>
      <c r="AT298" s="173"/>
      <c r="AU298" s="173"/>
      <c r="AV298" s="173"/>
      <c r="AW298" s="173"/>
      <c r="AX298" s="173"/>
    </row>
    <row r="299" spans="2:50" s="1" customFormat="1" ht="10.15" x14ac:dyDescent="0.2">
      <c r="B299" s="20" t="s">
        <v>226</v>
      </c>
      <c r="H299" s="48"/>
      <c r="I299" s="173" t="str">
        <f>+IFERROR(I289/H289-1,"n/a")</f>
        <v>n/a</v>
      </c>
      <c r="J299" s="173" t="str">
        <f t="shared" ref="J299:AI299" si="1333">+IFERROR(J289/I289-1,"n/a")</f>
        <v>n/a</v>
      </c>
      <c r="K299" s="173" t="str">
        <f t="shared" si="1333"/>
        <v>n/a</v>
      </c>
      <c r="L299" s="173" t="str">
        <f t="shared" si="1333"/>
        <v>n/a</v>
      </c>
      <c r="M299" s="173" t="str">
        <f t="shared" si="1333"/>
        <v>n/a</v>
      </c>
      <c r="N299" s="173" t="str">
        <f t="shared" si="1333"/>
        <v>n/a</v>
      </c>
      <c r="O299" s="173" t="str">
        <f t="shared" si="1333"/>
        <v>n/a</v>
      </c>
      <c r="P299" s="173" t="str">
        <f t="shared" si="1333"/>
        <v>n/a</v>
      </c>
      <c r="Q299" s="173" t="str">
        <f t="shared" si="1333"/>
        <v>n/a</v>
      </c>
      <c r="R299" s="173" t="str">
        <f t="shared" si="1333"/>
        <v>n/a</v>
      </c>
      <c r="S299" s="173" t="str">
        <f t="shared" si="1333"/>
        <v>n/a</v>
      </c>
      <c r="T299" s="173" t="str">
        <f t="shared" si="1333"/>
        <v>n/a</v>
      </c>
      <c r="U299" s="173" t="str">
        <f t="shared" si="1333"/>
        <v>n/a</v>
      </c>
      <c r="V299" s="173" t="str">
        <f t="shared" si="1333"/>
        <v>n/a</v>
      </c>
      <c r="W299" s="173" t="str">
        <f t="shared" si="1333"/>
        <v>n/a</v>
      </c>
      <c r="X299" s="173" t="str">
        <f t="shared" si="1333"/>
        <v>n/a</v>
      </c>
      <c r="Y299" s="173" t="str">
        <f t="shared" si="1333"/>
        <v>n/a</v>
      </c>
      <c r="Z299" s="173" t="str">
        <f t="shared" si="1333"/>
        <v>n/a</v>
      </c>
      <c r="AA299" s="173" t="str">
        <f t="shared" si="1333"/>
        <v>n/a</v>
      </c>
      <c r="AB299" s="173" t="str">
        <f t="shared" si="1333"/>
        <v>n/a</v>
      </c>
      <c r="AC299" s="173" t="str">
        <f t="shared" si="1333"/>
        <v>n/a</v>
      </c>
      <c r="AD299" s="173" t="str">
        <f t="shared" si="1333"/>
        <v>n/a</v>
      </c>
      <c r="AE299" s="173" t="str">
        <f t="shared" si="1333"/>
        <v>n/a</v>
      </c>
      <c r="AF299" s="173" t="str">
        <f t="shared" si="1333"/>
        <v>n/a</v>
      </c>
      <c r="AG299" s="173" t="str">
        <f t="shared" si="1333"/>
        <v>n/a</v>
      </c>
      <c r="AH299" s="173" t="str">
        <f t="shared" si="1333"/>
        <v>n/a</v>
      </c>
      <c r="AI299" s="173" t="str">
        <f t="shared" si="1333"/>
        <v>n/a</v>
      </c>
      <c r="AJ299" s="173" t="str">
        <f t="shared" ref="AJ299" si="1334">+IFERROR(AJ289/AI289-1,"n/a")</f>
        <v>n/a</v>
      </c>
      <c r="AK299" s="173" t="str">
        <f t="shared" ref="AK299" si="1335">+IFERROR(AK289/AJ289-1,"n/a")</f>
        <v>n/a</v>
      </c>
      <c r="AL299" s="173" t="str">
        <f t="shared" ref="AL299" si="1336">+IFERROR(AL289/AK289-1,"n/a")</f>
        <v>n/a</v>
      </c>
      <c r="AM299" s="173" t="str">
        <f t="shared" ref="AM299" si="1337">+IFERROR(AM289/AL289-1,"n/a")</f>
        <v>n/a</v>
      </c>
      <c r="AP299" s="173"/>
      <c r="AQ299" s="173"/>
      <c r="AR299" s="173"/>
      <c r="AS299" s="173"/>
      <c r="AT299" s="173"/>
      <c r="AU299" s="173"/>
      <c r="AV299" s="173"/>
      <c r="AW299" s="173"/>
      <c r="AX299" s="173"/>
    </row>
    <row r="300" spans="2:50" s="1" customFormat="1" ht="12" x14ac:dyDescent="0.35">
      <c r="B300" s="20" t="s">
        <v>227</v>
      </c>
      <c r="H300" s="48"/>
      <c r="I300" s="180" t="str">
        <f t="shared" ref="I300:AG300" si="1338">+IFERROR(I290/H290-1,"n/a")</f>
        <v>n/a</v>
      </c>
      <c r="J300" s="180" t="str">
        <f t="shared" si="1338"/>
        <v>n/a</v>
      </c>
      <c r="K300" s="180" t="str">
        <f t="shared" si="1338"/>
        <v>n/a</v>
      </c>
      <c r="L300" s="180" t="str">
        <f t="shared" si="1338"/>
        <v>n/a</v>
      </c>
      <c r="M300" s="180" t="str">
        <f t="shared" si="1338"/>
        <v>n/a</v>
      </c>
      <c r="N300" s="180" t="str">
        <f t="shared" si="1338"/>
        <v>n/a</v>
      </c>
      <c r="O300" s="180" t="str">
        <f t="shared" si="1338"/>
        <v>n/a</v>
      </c>
      <c r="P300" s="180" t="str">
        <f t="shared" si="1338"/>
        <v>n/a</v>
      </c>
      <c r="Q300" s="180" t="str">
        <f t="shared" si="1338"/>
        <v>n/a</v>
      </c>
      <c r="R300" s="180" t="str">
        <f t="shared" si="1338"/>
        <v>n/a</v>
      </c>
      <c r="S300" s="180" t="str">
        <f t="shared" si="1338"/>
        <v>n/a</v>
      </c>
      <c r="T300" s="180">
        <f t="shared" si="1338"/>
        <v>0</v>
      </c>
      <c r="U300" s="180">
        <f t="shared" si="1338"/>
        <v>0</v>
      </c>
      <c r="V300" s="180">
        <f t="shared" si="1338"/>
        <v>0</v>
      </c>
      <c r="W300" s="180">
        <f t="shared" si="1338"/>
        <v>0</v>
      </c>
      <c r="X300" s="180">
        <f t="shared" si="1338"/>
        <v>-4.166666666666663E-2</v>
      </c>
      <c r="Y300" s="180">
        <f t="shared" si="1338"/>
        <v>-7.8260869565217495E-2</v>
      </c>
      <c r="Z300" s="180">
        <f t="shared" si="1338"/>
        <v>4.7169811320754818E-2</v>
      </c>
      <c r="AA300" s="180">
        <f t="shared" si="1338"/>
        <v>7.2072072072072002E-2</v>
      </c>
      <c r="AB300" s="180">
        <f t="shared" si="1338"/>
        <v>0.14285714285714302</v>
      </c>
      <c r="AC300" s="180">
        <f t="shared" si="1338"/>
        <v>-5.8823529411764719E-2</v>
      </c>
      <c r="AD300" s="180">
        <f t="shared" si="1338"/>
        <v>3.125E-2</v>
      </c>
      <c r="AE300" s="180">
        <f t="shared" si="1338"/>
        <v>2.2727272727272707E-2</v>
      </c>
      <c r="AF300" s="180">
        <f t="shared" si="1338"/>
        <v>0</v>
      </c>
      <c r="AG300" s="180">
        <f t="shared" si="1338"/>
        <v>0</v>
      </c>
      <c r="AH300" s="169">
        <v>0</v>
      </c>
      <c r="AI300" s="169">
        <v>0</v>
      </c>
      <c r="AJ300" s="169">
        <v>0</v>
      </c>
      <c r="AK300" s="169">
        <v>0</v>
      </c>
      <c r="AL300" s="169">
        <v>0</v>
      </c>
      <c r="AM300" s="169">
        <v>0</v>
      </c>
      <c r="AP300" s="173"/>
      <c r="AQ300" s="173"/>
      <c r="AR300" s="173"/>
      <c r="AS300" s="173"/>
      <c r="AT300" s="173"/>
      <c r="AU300" s="173"/>
      <c r="AV300" s="173"/>
      <c r="AW300" s="173"/>
      <c r="AX300" s="173"/>
    </row>
    <row r="301" spans="2:50" s="1" customFormat="1" ht="10.15" x14ac:dyDescent="0.2">
      <c r="B301" s="30" t="s">
        <v>384</v>
      </c>
      <c r="H301" s="48"/>
      <c r="I301" s="173" t="str">
        <f t="shared" ref="I301:AI301" si="1339">+IFERROR(I291/H291-1,"n/a")</f>
        <v>n/a</v>
      </c>
      <c r="J301" s="173" t="str">
        <f t="shared" si="1339"/>
        <v>n/a</v>
      </c>
      <c r="K301" s="173" t="str">
        <f t="shared" si="1339"/>
        <v>n/a</v>
      </c>
      <c r="L301" s="173" t="str">
        <f t="shared" si="1339"/>
        <v>n/a</v>
      </c>
      <c r="M301" s="173" t="str">
        <f t="shared" si="1339"/>
        <v>n/a</v>
      </c>
      <c r="N301" s="173" t="str">
        <f t="shared" si="1339"/>
        <v>n/a</v>
      </c>
      <c r="O301" s="173" t="str">
        <f t="shared" si="1339"/>
        <v>n/a</v>
      </c>
      <c r="P301" s="173" t="str">
        <f t="shared" si="1339"/>
        <v>n/a</v>
      </c>
      <c r="Q301" s="173" t="str">
        <f t="shared" si="1339"/>
        <v>n/a</v>
      </c>
      <c r="R301" s="173" t="str">
        <f t="shared" si="1339"/>
        <v>n/a</v>
      </c>
      <c r="S301" s="173" t="str">
        <f t="shared" si="1339"/>
        <v>n/a</v>
      </c>
      <c r="T301" s="173">
        <f t="shared" si="1339"/>
        <v>0</v>
      </c>
      <c r="U301" s="173">
        <f t="shared" si="1339"/>
        <v>0</v>
      </c>
      <c r="V301" s="173">
        <f t="shared" si="1339"/>
        <v>-1.1102230246251565E-16</v>
      </c>
      <c r="W301" s="173">
        <f t="shared" si="1339"/>
        <v>2.2204460492503131E-16</v>
      </c>
      <c r="X301" s="173">
        <f t="shared" si="1339"/>
        <v>-4.166666666666663E-2</v>
      </c>
      <c r="Y301" s="173">
        <f t="shared" si="1339"/>
        <v>-7.8260869565217495E-2</v>
      </c>
      <c r="Z301" s="173">
        <f t="shared" si="1339"/>
        <v>4.7169811320754818E-2</v>
      </c>
      <c r="AA301" s="173">
        <f t="shared" si="1339"/>
        <v>7.207207207207178E-2</v>
      </c>
      <c r="AB301" s="173">
        <f t="shared" si="1339"/>
        <v>0.14285714285714302</v>
      </c>
      <c r="AC301" s="173">
        <f t="shared" si="1339"/>
        <v>-5.8823529411764719E-2</v>
      </c>
      <c r="AD301" s="173">
        <f t="shared" si="1339"/>
        <v>3.125E-2</v>
      </c>
      <c r="AE301" s="173">
        <f t="shared" si="1339"/>
        <v>2.2727272727272707E-2</v>
      </c>
      <c r="AF301" s="173">
        <f t="shared" si="1339"/>
        <v>0</v>
      </c>
      <c r="AG301" s="173">
        <f t="shared" si="1339"/>
        <v>0</v>
      </c>
      <c r="AH301" s="173">
        <f t="shared" si="1339"/>
        <v>0</v>
      </c>
      <c r="AI301" s="173">
        <f t="shared" si="1339"/>
        <v>0</v>
      </c>
      <c r="AJ301" s="173">
        <f t="shared" ref="AJ301" si="1340">+IFERROR(AJ291/AI291-1,"n/a")</f>
        <v>0</v>
      </c>
      <c r="AK301" s="173">
        <f t="shared" ref="AK301" si="1341">+IFERROR(AK291/AJ291-1,"n/a")</f>
        <v>0</v>
      </c>
      <c r="AL301" s="173">
        <f t="shared" ref="AL301" si="1342">+IFERROR(AL291/AK291-1,"n/a")</f>
        <v>0</v>
      </c>
      <c r="AM301" s="173">
        <f t="shared" ref="AM301" si="1343">+IFERROR(AM291/AL291-1,"n/a")</f>
        <v>0</v>
      </c>
      <c r="AP301" s="173"/>
      <c r="AQ301" s="173"/>
      <c r="AR301" s="173"/>
      <c r="AS301" s="173"/>
      <c r="AT301" s="173"/>
      <c r="AU301" s="173"/>
      <c r="AV301" s="173"/>
      <c r="AW301" s="173"/>
      <c r="AX301" s="173"/>
    </row>
    <row r="303" spans="2:50" ht="10.15" x14ac:dyDescent="0.2">
      <c r="B303" s="24" t="s">
        <v>372</v>
      </c>
    </row>
    <row r="304" spans="2:50" ht="10.15" x14ac:dyDescent="0.2">
      <c r="B304" s="184" t="s">
        <v>226</v>
      </c>
      <c r="H304" s="182">
        <v>0</v>
      </c>
      <c r="I304" s="182">
        <v>0</v>
      </c>
      <c r="J304" s="182">
        <v>0</v>
      </c>
      <c r="K304" s="182">
        <v>0</v>
      </c>
      <c r="L304" s="182">
        <v>0</v>
      </c>
      <c r="M304" s="182">
        <v>0</v>
      </c>
      <c r="N304" s="182">
        <v>0</v>
      </c>
      <c r="O304" s="182">
        <v>0</v>
      </c>
      <c r="P304" s="182">
        <v>0</v>
      </c>
      <c r="Q304" s="182">
        <v>0</v>
      </c>
      <c r="R304" s="182">
        <v>0</v>
      </c>
      <c r="S304" s="182">
        <v>0</v>
      </c>
      <c r="T304" s="182">
        <v>0</v>
      </c>
      <c r="U304" s="182">
        <v>0</v>
      </c>
      <c r="V304" s="182">
        <v>0</v>
      </c>
      <c r="W304" s="182">
        <v>0</v>
      </c>
      <c r="X304" s="182">
        <v>0</v>
      </c>
      <c r="Y304" s="182">
        <v>0</v>
      </c>
      <c r="Z304" s="182">
        <v>0</v>
      </c>
      <c r="AA304" s="182">
        <v>0</v>
      </c>
      <c r="AB304" s="182">
        <v>0</v>
      </c>
      <c r="AC304" s="182">
        <v>0</v>
      </c>
      <c r="AD304" s="182">
        <v>0</v>
      </c>
      <c r="AE304" s="182">
        <v>0</v>
      </c>
      <c r="AF304" s="182">
        <v>0</v>
      </c>
      <c r="AG304" s="182">
        <v>0</v>
      </c>
      <c r="AH304" s="182">
        <v>0</v>
      </c>
      <c r="AI304" s="182">
        <v>0</v>
      </c>
      <c r="AJ304" s="182">
        <v>0</v>
      </c>
      <c r="AK304" s="182">
        <v>0</v>
      </c>
      <c r="AL304" s="182">
        <v>0</v>
      </c>
      <c r="AM304" s="182">
        <v>0</v>
      </c>
      <c r="AO304" s="182">
        <v>0</v>
      </c>
      <c r="AP304" s="182">
        <v>0</v>
      </c>
      <c r="AQ304" s="186" t="str">
        <f t="shared" ref="AQ304:AW306" si="1344">+IFERROR(AQ177/(AQ$218*1000),"n/a")</f>
        <v>n/a</v>
      </c>
      <c r="AR304" s="186" t="str">
        <f t="shared" si="1344"/>
        <v>n/a</v>
      </c>
      <c r="AS304" s="186" t="str">
        <f t="shared" si="1344"/>
        <v>n/a</v>
      </c>
      <c r="AT304" s="186" t="str">
        <f t="shared" si="1344"/>
        <v>n/a</v>
      </c>
      <c r="AU304" s="186">
        <f t="shared" si="1344"/>
        <v>0</v>
      </c>
      <c r="AV304" s="186">
        <f t="shared" si="1344"/>
        <v>0</v>
      </c>
      <c r="AW304" s="186">
        <f t="shared" si="1344"/>
        <v>0</v>
      </c>
      <c r="AX304" s="186">
        <f t="shared" ref="AX304" si="1345">+IFERROR(AX177/(AX$218*1000),"n/a")</f>
        <v>0</v>
      </c>
    </row>
    <row r="305" spans="2:50" ht="12" x14ac:dyDescent="0.35">
      <c r="B305" s="184" t="s">
        <v>227</v>
      </c>
      <c r="H305" s="183">
        <v>0</v>
      </c>
      <c r="I305" s="183">
        <v>0</v>
      </c>
      <c r="J305" s="183">
        <v>0</v>
      </c>
      <c r="K305" s="183">
        <v>0</v>
      </c>
      <c r="L305" s="183">
        <v>0</v>
      </c>
      <c r="M305" s="183">
        <v>0</v>
      </c>
      <c r="N305" s="183">
        <v>0</v>
      </c>
      <c r="O305" s="183">
        <v>0</v>
      </c>
      <c r="P305" s="183">
        <v>0</v>
      </c>
      <c r="Q305" s="183">
        <v>0</v>
      </c>
      <c r="R305" s="183">
        <v>0</v>
      </c>
      <c r="S305" s="183">
        <v>0</v>
      </c>
      <c r="T305" s="183">
        <v>0</v>
      </c>
      <c r="U305" s="183">
        <v>0</v>
      </c>
      <c r="V305" s="183">
        <v>0</v>
      </c>
      <c r="W305" s="183">
        <v>0</v>
      </c>
      <c r="X305" s="183">
        <v>0</v>
      </c>
      <c r="Y305" s="183">
        <v>0</v>
      </c>
      <c r="Z305" s="183">
        <v>0</v>
      </c>
      <c r="AA305" s="183">
        <v>0.2</v>
      </c>
      <c r="AB305" s="183">
        <v>0.25</v>
      </c>
      <c r="AC305" s="183">
        <v>0.22</v>
      </c>
      <c r="AD305" s="183">
        <v>0.44</v>
      </c>
      <c r="AE305" s="183">
        <v>0.45</v>
      </c>
      <c r="AF305" s="183">
        <v>0.5</v>
      </c>
      <c r="AG305" s="183">
        <v>0.45</v>
      </c>
      <c r="AH305" s="188">
        <f t="shared" ref="AH305:AI305" si="1346">+AG305*(1+AH315)</f>
        <v>0.45</v>
      </c>
      <c r="AI305" s="188">
        <f t="shared" si="1346"/>
        <v>0.45</v>
      </c>
      <c r="AJ305" s="188">
        <f t="shared" ref="AJ305" si="1347">+AI305*(1+AJ315)</f>
        <v>0.45</v>
      </c>
      <c r="AK305" s="188">
        <f t="shared" ref="AK305" si="1348">+AJ305*(1+AK315)</f>
        <v>0.45</v>
      </c>
      <c r="AL305" s="188">
        <f t="shared" ref="AL305" si="1349">+AK305*(1+AL315)</f>
        <v>0.45</v>
      </c>
      <c r="AM305" s="188">
        <f t="shared" ref="AM305" si="1350">+AL305*(1+AM315)</f>
        <v>0.45</v>
      </c>
      <c r="AO305" s="183">
        <v>0</v>
      </c>
      <c r="AP305" s="183">
        <v>0</v>
      </c>
      <c r="AQ305" s="187" t="str">
        <f t="shared" si="1344"/>
        <v>n/a</v>
      </c>
      <c r="AR305" s="187" t="str">
        <f t="shared" si="1344"/>
        <v>n/a</v>
      </c>
      <c r="AS305" s="187" t="str">
        <f t="shared" si="1344"/>
        <v>n/a</v>
      </c>
      <c r="AT305" s="187" t="str">
        <f t="shared" si="1344"/>
        <v>n/a</v>
      </c>
      <c r="AU305" s="187">
        <f t="shared" si="1344"/>
        <v>0.19751290797800633</v>
      </c>
      <c r="AV305" s="187">
        <f t="shared" si="1344"/>
        <v>0.4011225178581671</v>
      </c>
      <c r="AW305" s="187">
        <f t="shared" si="1344"/>
        <v>0.4601946559376901</v>
      </c>
      <c r="AX305" s="187">
        <f t="shared" ref="AX305" si="1351">+IFERROR(AX178/(AX$218*1000),"n/a")</f>
        <v>0.45000000000000012</v>
      </c>
    </row>
    <row r="306" spans="2:50" s="1" customFormat="1" ht="10.15" x14ac:dyDescent="0.2">
      <c r="B306" s="38" t="s">
        <v>386</v>
      </c>
      <c r="H306" s="185" t="str">
        <f t="shared" ref="H306:AE306" si="1352">+IFERROR(H179/(H218*1000),"n/a")</f>
        <v>n/a</v>
      </c>
      <c r="I306" s="185" t="str">
        <f t="shared" si="1352"/>
        <v>n/a</v>
      </c>
      <c r="J306" s="185" t="str">
        <f t="shared" si="1352"/>
        <v>n/a</v>
      </c>
      <c r="K306" s="185" t="str">
        <f t="shared" si="1352"/>
        <v>n/a</v>
      </c>
      <c r="L306" s="185" t="str">
        <f t="shared" si="1352"/>
        <v>n/a</v>
      </c>
      <c r="M306" s="185" t="str">
        <f t="shared" si="1352"/>
        <v>n/a</v>
      </c>
      <c r="N306" s="185" t="str">
        <f t="shared" si="1352"/>
        <v>n/a</v>
      </c>
      <c r="O306" s="185" t="str">
        <f t="shared" si="1352"/>
        <v>n/a</v>
      </c>
      <c r="P306" s="185" t="str">
        <f t="shared" si="1352"/>
        <v>n/a</v>
      </c>
      <c r="Q306" s="185" t="str">
        <f t="shared" si="1352"/>
        <v>n/a</v>
      </c>
      <c r="R306" s="185" t="str">
        <f t="shared" si="1352"/>
        <v>n/a</v>
      </c>
      <c r="S306" s="185" t="str">
        <f t="shared" si="1352"/>
        <v>n/a</v>
      </c>
      <c r="T306" s="185" t="str">
        <f t="shared" si="1352"/>
        <v>n/a</v>
      </c>
      <c r="U306" s="185" t="str">
        <f t="shared" si="1352"/>
        <v>n/a</v>
      </c>
      <c r="V306" s="185" t="str">
        <f t="shared" si="1352"/>
        <v>n/a</v>
      </c>
      <c r="W306" s="185" t="str">
        <f t="shared" si="1352"/>
        <v>n/a</v>
      </c>
      <c r="X306" s="185" t="str">
        <f t="shared" si="1352"/>
        <v>n/a</v>
      </c>
      <c r="Y306" s="185" t="str">
        <f t="shared" si="1352"/>
        <v>n/a</v>
      </c>
      <c r="Z306" s="185">
        <f t="shared" si="1352"/>
        <v>0</v>
      </c>
      <c r="AA306" s="185">
        <f t="shared" si="1352"/>
        <v>0.2</v>
      </c>
      <c r="AB306" s="185">
        <f t="shared" si="1352"/>
        <v>0.25</v>
      </c>
      <c r="AC306" s="185">
        <f t="shared" si="1352"/>
        <v>0.22</v>
      </c>
      <c r="AD306" s="185">
        <f t="shared" si="1352"/>
        <v>0.44</v>
      </c>
      <c r="AE306" s="185">
        <f t="shared" si="1352"/>
        <v>0.45</v>
      </c>
      <c r="AF306" s="185">
        <f t="shared" ref="AF306:AG306" si="1353">+IFERROR(AF179/(AF218*1000),"n/a")</f>
        <v>0.5</v>
      </c>
      <c r="AG306" s="185">
        <f t="shared" si="1353"/>
        <v>0.45</v>
      </c>
      <c r="AH306" s="185">
        <f t="shared" ref="AH306:AI306" si="1354">+IFERROR(AH179/(AH218*1000),"n/a")</f>
        <v>0.45000000000000007</v>
      </c>
      <c r="AI306" s="185">
        <f t="shared" si="1354"/>
        <v>0.45</v>
      </c>
      <c r="AJ306" s="185">
        <f t="shared" ref="AJ306:AM306" si="1355">+IFERROR(AJ179/(AJ218*1000),"n/a")</f>
        <v>0.45</v>
      </c>
      <c r="AK306" s="185">
        <f t="shared" si="1355"/>
        <v>0.45</v>
      </c>
      <c r="AL306" s="185">
        <f t="shared" si="1355"/>
        <v>0.45</v>
      </c>
      <c r="AM306" s="185">
        <f t="shared" si="1355"/>
        <v>0.45</v>
      </c>
      <c r="AO306" s="185" t="str">
        <f>+IFERROR(AO179/(AO218*1000),"n/a")</f>
        <v>n/a</v>
      </c>
      <c r="AP306" s="185" t="str">
        <f>+IFERROR(AP179/(AP218*1000),"n/a")</f>
        <v>n/a</v>
      </c>
      <c r="AQ306" s="185" t="str">
        <f t="shared" si="1344"/>
        <v>n/a</v>
      </c>
      <c r="AR306" s="185" t="str">
        <f t="shared" si="1344"/>
        <v>n/a</v>
      </c>
      <c r="AS306" s="185" t="str">
        <f t="shared" si="1344"/>
        <v>n/a</v>
      </c>
      <c r="AT306" s="185" t="str">
        <f t="shared" si="1344"/>
        <v>n/a</v>
      </c>
      <c r="AU306" s="185">
        <f t="shared" si="1344"/>
        <v>0.19751290797800633</v>
      </c>
      <c r="AV306" s="185">
        <f t="shared" si="1344"/>
        <v>0.4011225178581671</v>
      </c>
      <c r="AW306" s="185">
        <f t="shared" si="1344"/>
        <v>0.4601946559376901</v>
      </c>
      <c r="AX306" s="185">
        <f t="shared" ref="AX306" si="1356">+IFERROR(AX179/(AX$218*1000),"n/a")</f>
        <v>0.45000000000000012</v>
      </c>
    </row>
    <row r="307" spans="2:50" s="1" customFormat="1" ht="10.15" x14ac:dyDescent="0.2">
      <c r="B307" s="3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row>
    <row r="308" spans="2:50" s="1" customFormat="1" ht="10.15" x14ac:dyDescent="0.2">
      <c r="B308" s="19" t="s">
        <v>86</v>
      </c>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row>
    <row r="309" spans="2:50" s="1" customFormat="1" ht="10.15" x14ac:dyDescent="0.2">
      <c r="B309" s="20" t="s">
        <v>226</v>
      </c>
      <c r="H309" s="48"/>
      <c r="I309" s="48"/>
      <c r="J309" s="48"/>
      <c r="K309" s="48"/>
      <c r="L309" s="173" t="str">
        <f>+IFERROR(L304/H304-1,"n/a")</f>
        <v>n/a</v>
      </c>
      <c r="M309" s="173" t="str">
        <f t="shared" ref="M309:M311" si="1357">+IFERROR(M304/I304-1,"n/a")</f>
        <v>n/a</v>
      </c>
      <c r="N309" s="173" t="str">
        <f t="shared" ref="N309:N311" si="1358">+IFERROR(N304/J304-1,"n/a")</f>
        <v>n/a</v>
      </c>
      <c r="O309" s="173" t="str">
        <f t="shared" ref="O309:O311" si="1359">+IFERROR(O304/K304-1,"n/a")</f>
        <v>n/a</v>
      </c>
      <c r="P309" s="173" t="str">
        <f t="shared" ref="P309:P311" si="1360">+IFERROR(P304/L304-1,"n/a")</f>
        <v>n/a</v>
      </c>
      <c r="Q309" s="173" t="str">
        <f t="shared" ref="Q309:Q311" si="1361">+IFERROR(Q304/M304-1,"n/a")</f>
        <v>n/a</v>
      </c>
      <c r="R309" s="173" t="str">
        <f t="shared" ref="R309:R311" si="1362">+IFERROR(R304/N304-1,"n/a")</f>
        <v>n/a</v>
      </c>
      <c r="S309" s="173" t="str">
        <f t="shared" ref="S309:S311" si="1363">+IFERROR(S304/O304-1,"n/a")</f>
        <v>n/a</v>
      </c>
      <c r="T309" s="173" t="str">
        <f t="shared" ref="T309:T311" si="1364">+IFERROR(T304/P304-1,"n/a")</f>
        <v>n/a</v>
      </c>
      <c r="U309" s="173" t="str">
        <f t="shared" ref="U309:U311" si="1365">+IFERROR(U304/Q304-1,"n/a")</f>
        <v>n/a</v>
      </c>
      <c r="V309" s="173" t="str">
        <f t="shared" ref="V309:V311" si="1366">+IFERROR(V304/R304-1,"n/a")</f>
        <v>n/a</v>
      </c>
      <c r="W309" s="173" t="str">
        <f t="shared" ref="W309:W311" si="1367">+IFERROR(W304/S304-1,"n/a")</f>
        <v>n/a</v>
      </c>
      <c r="X309" s="173" t="str">
        <f t="shared" ref="X309:X311" si="1368">+IFERROR(X304/T304-1,"n/a")</f>
        <v>n/a</v>
      </c>
      <c r="Y309" s="173" t="str">
        <f t="shared" ref="Y309:Y311" si="1369">+IFERROR(Y304/U304-1,"n/a")</f>
        <v>n/a</v>
      </c>
      <c r="Z309" s="173" t="str">
        <f t="shared" ref="Z309:Z311" si="1370">+IFERROR(Z304/V304-1,"n/a")</f>
        <v>n/a</v>
      </c>
      <c r="AA309" s="173" t="str">
        <f t="shared" ref="AA309:AA311" si="1371">+IFERROR(AA304/W304-1,"n/a")</f>
        <v>n/a</v>
      </c>
      <c r="AB309" s="173" t="str">
        <f t="shared" ref="AB309:AB311" si="1372">+IFERROR(AB304/X304-1,"n/a")</f>
        <v>n/a</v>
      </c>
      <c r="AC309" s="173" t="str">
        <f t="shared" ref="AC309:AC311" si="1373">+IFERROR(AC304/Y304-1,"n/a")</f>
        <v>n/a</v>
      </c>
      <c r="AD309" s="173" t="str">
        <f t="shared" ref="AD309:AD311" si="1374">+IFERROR(AD304/Z304-1,"n/a")</f>
        <v>n/a</v>
      </c>
      <c r="AE309" s="173" t="str">
        <f t="shared" ref="AE309:AG311" si="1375">+IFERROR(AE304/AA304-1,"n/a")</f>
        <v>n/a</v>
      </c>
      <c r="AF309" s="173" t="str">
        <f t="shared" si="1375"/>
        <v>n/a</v>
      </c>
      <c r="AG309" s="173" t="str">
        <f t="shared" si="1375"/>
        <v>n/a</v>
      </c>
      <c r="AH309" s="173" t="str">
        <f t="shared" ref="AH309:AH311" si="1376">+IFERROR(AH304/AD304-1,"n/a")</f>
        <v>n/a</v>
      </c>
      <c r="AI309" s="173" t="str">
        <f t="shared" ref="AI309:AI311" si="1377">+IFERROR(AI304/AE304-1,"n/a")</f>
        <v>n/a</v>
      </c>
      <c r="AJ309" s="173" t="str">
        <f t="shared" ref="AJ309:AJ311" si="1378">+IFERROR(AJ304/AF304-1,"n/a")</f>
        <v>n/a</v>
      </c>
      <c r="AK309" s="173" t="str">
        <f t="shared" ref="AK309:AK311" si="1379">+IFERROR(AK304/AG304-1,"n/a")</f>
        <v>n/a</v>
      </c>
      <c r="AL309" s="173" t="str">
        <f t="shared" ref="AL309:AL311" si="1380">+IFERROR(AL304/AH304-1,"n/a")</f>
        <v>n/a</v>
      </c>
      <c r="AM309" s="173" t="str">
        <f t="shared" ref="AM309:AM311" si="1381">+IFERROR(AM304/AI304-1,"n/a")</f>
        <v>n/a</v>
      </c>
      <c r="AP309" s="173" t="str">
        <f>+IFERROR(AP304/AO304-1,"n/a")</f>
        <v>n/a</v>
      </c>
      <c r="AQ309" s="173" t="str">
        <f t="shared" ref="AQ309:AV309" si="1382">+IFERROR(AQ304/AP304-1,"n/a")</f>
        <v>n/a</v>
      </c>
      <c r="AR309" s="173" t="str">
        <f t="shared" si="1382"/>
        <v>n/a</v>
      </c>
      <c r="AS309" s="173" t="str">
        <f t="shared" si="1382"/>
        <v>n/a</v>
      </c>
      <c r="AT309" s="173" t="str">
        <f t="shared" si="1382"/>
        <v>n/a</v>
      </c>
      <c r="AU309" s="173" t="str">
        <f t="shared" si="1382"/>
        <v>n/a</v>
      </c>
      <c r="AV309" s="173" t="str">
        <f t="shared" si="1382"/>
        <v>n/a</v>
      </c>
      <c r="AW309" s="173" t="str">
        <f t="shared" ref="AW309:AX309" si="1383">+IFERROR(AW304/AV304-1,"n/a")</f>
        <v>n/a</v>
      </c>
      <c r="AX309" s="173" t="str">
        <f t="shared" si="1383"/>
        <v>n/a</v>
      </c>
    </row>
    <row r="310" spans="2:50" s="1" customFormat="1" ht="12" x14ac:dyDescent="0.35">
      <c r="B310" s="20" t="s">
        <v>227</v>
      </c>
      <c r="H310" s="48"/>
      <c r="I310" s="48"/>
      <c r="J310" s="48"/>
      <c r="K310" s="48"/>
      <c r="L310" s="180" t="str">
        <f t="shared" ref="L310:L311" si="1384">+IFERROR(L305/H305-1,"n/a")</f>
        <v>n/a</v>
      </c>
      <c r="M310" s="180" t="str">
        <f t="shared" si="1357"/>
        <v>n/a</v>
      </c>
      <c r="N310" s="180" t="str">
        <f t="shared" si="1358"/>
        <v>n/a</v>
      </c>
      <c r="O310" s="180" t="str">
        <f t="shared" si="1359"/>
        <v>n/a</v>
      </c>
      <c r="P310" s="180" t="str">
        <f t="shared" si="1360"/>
        <v>n/a</v>
      </c>
      <c r="Q310" s="180" t="str">
        <f t="shared" si="1361"/>
        <v>n/a</v>
      </c>
      <c r="R310" s="180" t="str">
        <f t="shared" si="1362"/>
        <v>n/a</v>
      </c>
      <c r="S310" s="180" t="str">
        <f t="shared" si="1363"/>
        <v>n/a</v>
      </c>
      <c r="T310" s="180" t="str">
        <f t="shared" si="1364"/>
        <v>n/a</v>
      </c>
      <c r="U310" s="180" t="str">
        <f t="shared" si="1365"/>
        <v>n/a</v>
      </c>
      <c r="V310" s="180" t="str">
        <f t="shared" si="1366"/>
        <v>n/a</v>
      </c>
      <c r="W310" s="180" t="str">
        <f t="shared" si="1367"/>
        <v>n/a</v>
      </c>
      <c r="X310" s="180" t="str">
        <f t="shared" si="1368"/>
        <v>n/a</v>
      </c>
      <c r="Y310" s="180" t="str">
        <f t="shared" si="1369"/>
        <v>n/a</v>
      </c>
      <c r="Z310" s="180" t="str">
        <f t="shared" si="1370"/>
        <v>n/a</v>
      </c>
      <c r="AA310" s="180" t="str">
        <f t="shared" si="1371"/>
        <v>n/a</v>
      </c>
      <c r="AB310" s="180" t="str">
        <f t="shared" si="1372"/>
        <v>n/a</v>
      </c>
      <c r="AC310" s="180" t="str">
        <f t="shared" si="1373"/>
        <v>n/a</v>
      </c>
      <c r="AD310" s="180" t="str">
        <f t="shared" si="1374"/>
        <v>n/a</v>
      </c>
      <c r="AE310" s="180">
        <f t="shared" si="1375"/>
        <v>1.25</v>
      </c>
      <c r="AF310" s="180">
        <f t="shared" si="1375"/>
        <v>1</v>
      </c>
      <c r="AG310" s="180">
        <f t="shared" si="1375"/>
        <v>1.0454545454545454</v>
      </c>
      <c r="AH310" s="180">
        <f t="shared" si="1376"/>
        <v>2.2727272727272707E-2</v>
      </c>
      <c r="AI310" s="180">
        <f t="shared" si="1377"/>
        <v>0</v>
      </c>
      <c r="AJ310" s="180">
        <f t="shared" si="1378"/>
        <v>-9.9999999999999978E-2</v>
      </c>
      <c r="AK310" s="180">
        <f t="shared" si="1379"/>
        <v>0</v>
      </c>
      <c r="AL310" s="180">
        <f t="shared" si="1380"/>
        <v>0</v>
      </c>
      <c r="AM310" s="180">
        <f t="shared" si="1381"/>
        <v>0</v>
      </c>
      <c r="AP310" s="180" t="str">
        <f t="shared" ref="AP310:AV310" si="1385">+IFERROR(AP305/AO305-1,"n/a")</f>
        <v>n/a</v>
      </c>
      <c r="AQ310" s="180" t="str">
        <f t="shared" si="1385"/>
        <v>n/a</v>
      </c>
      <c r="AR310" s="180" t="str">
        <f t="shared" si="1385"/>
        <v>n/a</v>
      </c>
      <c r="AS310" s="180" t="str">
        <f t="shared" si="1385"/>
        <v>n/a</v>
      </c>
      <c r="AT310" s="180" t="str">
        <f t="shared" si="1385"/>
        <v>n/a</v>
      </c>
      <c r="AU310" s="180" t="str">
        <f t="shared" si="1385"/>
        <v>n/a</v>
      </c>
      <c r="AV310" s="180">
        <f t="shared" si="1385"/>
        <v>1.0308673593263755</v>
      </c>
      <c r="AW310" s="180">
        <f t="shared" ref="AW310:AX310" si="1386">+IFERROR(AW305/AV305-1,"n/a")</f>
        <v>0.14726707040767617</v>
      </c>
      <c r="AX310" s="180">
        <f t="shared" si="1386"/>
        <v>-2.2152921174013684E-2</v>
      </c>
    </row>
    <row r="311" spans="2:50" s="1" customFormat="1" ht="10.15" x14ac:dyDescent="0.2">
      <c r="B311" s="30" t="s">
        <v>386</v>
      </c>
      <c r="H311" s="48"/>
      <c r="I311" s="48"/>
      <c r="J311" s="48"/>
      <c r="K311" s="48"/>
      <c r="L311" s="173" t="str">
        <f t="shared" si="1384"/>
        <v>n/a</v>
      </c>
      <c r="M311" s="173" t="str">
        <f t="shared" si="1357"/>
        <v>n/a</v>
      </c>
      <c r="N311" s="173" t="str">
        <f t="shared" si="1358"/>
        <v>n/a</v>
      </c>
      <c r="O311" s="173" t="str">
        <f t="shared" si="1359"/>
        <v>n/a</v>
      </c>
      <c r="P311" s="173" t="str">
        <f t="shared" si="1360"/>
        <v>n/a</v>
      </c>
      <c r="Q311" s="173" t="str">
        <f t="shared" si="1361"/>
        <v>n/a</v>
      </c>
      <c r="R311" s="173" t="str">
        <f t="shared" si="1362"/>
        <v>n/a</v>
      </c>
      <c r="S311" s="173" t="str">
        <f t="shared" si="1363"/>
        <v>n/a</v>
      </c>
      <c r="T311" s="173" t="str">
        <f t="shared" si="1364"/>
        <v>n/a</v>
      </c>
      <c r="U311" s="173" t="str">
        <f t="shared" si="1365"/>
        <v>n/a</v>
      </c>
      <c r="V311" s="173" t="str">
        <f t="shared" si="1366"/>
        <v>n/a</v>
      </c>
      <c r="W311" s="173" t="str">
        <f t="shared" si="1367"/>
        <v>n/a</v>
      </c>
      <c r="X311" s="173" t="str">
        <f t="shared" si="1368"/>
        <v>n/a</v>
      </c>
      <c r="Y311" s="173" t="str">
        <f t="shared" si="1369"/>
        <v>n/a</v>
      </c>
      <c r="Z311" s="173" t="str">
        <f t="shared" si="1370"/>
        <v>n/a</v>
      </c>
      <c r="AA311" s="173" t="str">
        <f t="shared" si="1371"/>
        <v>n/a</v>
      </c>
      <c r="AB311" s="173" t="str">
        <f t="shared" si="1372"/>
        <v>n/a</v>
      </c>
      <c r="AC311" s="173" t="str">
        <f t="shared" si="1373"/>
        <v>n/a</v>
      </c>
      <c r="AD311" s="173" t="str">
        <f t="shared" si="1374"/>
        <v>n/a</v>
      </c>
      <c r="AE311" s="173">
        <f t="shared" si="1375"/>
        <v>1.25</v>
      </c>
      <c r="AF311" s="173">
        <f t="shared" si="1375"/>
        <v>1</v>
      </c>
      <c r="AG311" s="173">
        <f t="shared" si="1375"/>
        <v>1.0454545454545454</v>
      </c>
      <c r="AH311" s="173">
        <f t="shared" si="1376"/>
        <v>2.2727272727272929E-2</v>
      </c>
      <c r="AI311" s="173">
        <f t="shared" si="1377"/>
        <v>0</v>
      </c>
      <c r="AJ311" s="173">
        <f t="shared" si="1378"/>
        <v>-9.9999999999999978E-2</v>
      </c>
      <c r="AK311" s="173">
        <f t="shared" si="1379"/>
        <v>0</v>
      </c>
      <c r="AL311" s="173">
        <f t="shared" si="1380"/>
        <v>-1.1102230246251565E-16</v>
      </c>
      <c r="AM311" s="173">
        <f t="shared" si="1381"/>
        <v>0</v>
      </c>
      <c r="AP311" s="173" t="str">
        <f t="shared" ref="AP311:AV311" si="1387">+IFERROR(AP306/AO306-1,"n/a")</f>
        <v>n/a</v>
      </c>
      <c r="AQ311" s="173" t="str">
        <f t="shared" si="1387"/>
        <v>n/a</v>
      </c>
      <c r="AR311" s="173" t="str">
        <f t="shared" si="1387"/>
        <v>n/a</v>
      </c>
      <c r="AS311" s="173" t="str">
        <f t="shared" si="1387"/>
        <v>n/a</v>
      </c>
      <c r="AT311" s="173" t="str">
        <f t="shared" si="1387"/>
        <v>n/a</v>
      </c>
      <c r="AU311" s="173" t="str">
        <f t="shared" si="1387"/>
        <v>n/a</v>
      </c>
      <c r="AV311" s="173">
        <f t="shared" si="1387"/>
        <v>1.0308673593263755</v>
      </c>
      <c r="AW311" s="173">
        <f t="shared" ref="AW311:AX311" si="1388">+IFERROR(AW306/AV306-1,"n/a")</f>
        <v>0.14726707040767617</v>
      </c>
      <c r="AX311" s="173">
        <f t="shared" si="1388"/>
        <v>-2.2152921174013684E-2</v>
      </c>
    </row>
    <row r="312" spans="2:50" s="1" customFormat="1" ht="10.15" x14ac:dyDescent="0.2">
      <c r="B312" s="30"/>
      <c r="H312" s="48"/>
      <c r="I312" s="48"/>
      <c r="J312" s="48"/>
      <c r="K312" s="48"/>
      <c r="L312" s="173"/>
      <c r="M312" s="173"/>
      <c r="N312" s="173"/>
      <c r="O312" s="173"/>
      <c r="P312" s="173"/>
      <c r="Q312" s="173"/>
      <c r="R312" s="173"/>
      <c r="S312" s="173"/>
      <c r="T312" s="173"/>
      <c r="U312" s="173"/>
      <c r="V312" s="173"/>
      <c r="W312" s="173"/>
      <c r="X312" s="173"/>
      <c r="Y312" s="173"/>
      <c r="Z312" s="173"/>
      <c r="AA312" s="173"/>
      <c r="AB312" s="173"/>
      <c r="AC312" s="173"/>
      <c r="AD312" s="173"/>
      <c r="AE312" s="173"/>
      <c r="AF312" s="173"/>
      <c r="AG312" s="173"/>
      <c r="AP312" s="173"/>
      <c r="AQ312" s="173"/>
      <c r="AR312" s="173"/>
      <c r="AS312" s="173"/>
      <c r="AT312" s="173"/>
      <c r="AU312" s="173"/>
      <c r="AV312" s="173"/>
      <c r="AW312" s="173"/>
      <c r="AX312" s="173"/>
    </row>
    <row r="313" spans="2:50" s="1" customFormat="1" ht="10.15" x14ac:dyDescent="0.2">
      <c r="B313" s="19" t="s">
        <v>262</v>
      </c>
      <c r="H313" s="48"/>
      <c r="I313" s="48"/>
      <c r="J313" s="48"/>
      <c r="K313" s="48"/>
      <c r="L313" s="173"/>
      <c r="M313" s="173"/>
      <c r="N313" s="173"/>
      <c r="O313" s="173"/>
      <c r="P313" s="173"/>
      <c r="Q313" s="173"/>
      <c r="R313" s="173"/>
      <c r="S313" s="173"/>
      <c r="T313" s="173"/>
      <c r="U313" s="173"/>
      <c r="V313" s="173"/>
      <c r="W313" s="173"/>
      <c r="X313" s="173"/>
      <c r="Y313" s="173"/>
      <c r="Z313" s="173"/>
      <c r="AA313" s="173"/>
      <c r="AB313" s="173"/>
      <c r="AC313" s="173"/>
      <c r="AD313" s="173"/>
      <c r="AE313" s="173"/>
      <c r="AF313" s="173"/>
      <c r="AG313" s="173"/>
      <c r="AP313" s="173"/>
      <c r="AQ313" s="173"/>
      <c r="AR313" s="173"/>
      <c r="AS313" s="173"/>
      <c r="AT313" s="173"/>
      <c r="AU313" s="173"/>
      <c r="AV313" s="173"/>
      <c r="AW313" s="173"/>
      <c r="AX313" s="173"/>
    </row>
    <row r="314" spans="2:50" s="1" customFormat="1" ht="10.15" x14ac:dyDescent="0.2">
      <c r="B314" s="20" t="s">
        <v>226</v>
      </c>
      <c r="H314" s="48"/>
      <c r="I314" s="173" t="str">
        <f>+IFERROR(I304/H304-1,"n/a")</f>
        <v>n/a</v>
      </c>
      <c r="J314" s="173" t="str">
        <f t="shared" ref="J314:AI314" si="1389">+IFERROR(J304/I304-1,"n/a")</f>
        <v>n/a</v>
      </c>
      <c r="K314" s="173" t="str">
        <f t="shared" si="1389"/>
        <v>n/a</v>
      </c>
      <c r="L314" s="173" t="str">
        <f t="shared" si="1389"/>
        <v>n/a</v>
      </c>
      <c r="M314" s="173" t="str">
        <f t="shared" si="1389"/>
        <v>n/a</v>
      </c>
      <c r="N314" s="173" t="str">
        <f t="shared" si="1389"/>
        <v>n/a</v>
      </c>
      <c r="O314" s="173" t="str">
        <f t="shared" si="1389"/>
        <v>n/a</v>
      </c>
      <c r="P314" s="173" t="str">
        <f t="shared" si="1389"/>
        <v>n/a</v>
      </c>
      <c r="Q314" s="173" t="str">
        <f t="shared" si="1389"/>
        <v>n/a</v>
      </c>
      <c r="R314" s="173" t="str">
        <f t="shared" si="1389"/>
        <v>n/a</v>
      </c>
      <c r="S314" s="173" t="str">
        <f t="shared" si="1389"/>
        <v>n/a</v>
      </c>
      <c r="T314" s="173" t="str">
        <f t="shared" si="1389"/>
        <v>n/a</v>
      </c>
      <c r="U314" s="173" t="str">
        <f t="shared" si="1389"/>
        <v>n/a</v>
      </c>
      <c r="V314" s="173" t="str">
        <f t="shared" si="1389"/>
        <v>n/a</v>
      </c>
      <c r="W314" s="173" t="str">
        <f t="shared" si="1389"/>
        <v>n/a</v>
      </c>
      <c r="X314" s="173" t="str">
        <f t="shared" si="1389"/>
        <v>n/a</v>
      </c>
      <c r="Y314" s="173" t="str">
        <f t="shared" si="1389"/>
        <v>n/a</v>
      </c>
      <c r="Z314" s="173" t="str">
        <f t="shared" si="1389"/>
        <v>n/a</v>
      </c>
      <c r="AA314" s="173" t="str">
        <f t="shared" si="1389"/>
        <v>n/a</v>
      </c>
      <c r="AB314" s="173" t="str">
        <f t="shared" si="1389"/>
        <v>n/a</v>
      </c>
      <c r="AC314" s="173" t="str">
        <f t="shared" si="1389"/>
        <v>n/a</v>
      </c>
      <c r="AD314" s="173" t="str">
        <f t="shared" si="1389"/>
        <v>n/a</v>
      </c>
      <c r="AE314" s="173" t="str">
        <f t="shared" si="1389"/>
        <v>n/a</v>
      </c>
      <c r="AF314" s="173" t="str">
        <f t="shared" si="1389"/>
        <v>n/a</v>
      </c>
      <c r="AG314" s="173" t="str">
        <f t="shared" si="1389"/>
        <v>n/a</v>
      </c>
      <c r="AH314" s="173" t="str">
        <f t="shared" si="1389"/>
        <v>n/a</v>
      </c>
      <c r="AI314" s="173" t="str">
        <f t="shared" si="1389"/>
        <v>n/a</v>
      </c>
      <c r="AJ314" s="173" t="str">
        <f t="shared" ref="AJ314" si="1390">+IFERROR(AJ304/AI304-1,"n/a")</f>
        <v>n/a</v>
      </c>
      <c r="AK314" s="173" t="str">
        <f t="shared" ref="AK314" si="1391">+IFERROR(AK304/AJ304-1,"n/a")</f>
        <v>n/a</v>
      </c>
      <c r="AL314" s="173" t="str">
        <f t="shared" ref="AL314" si="1392">+IFERROR(AL304/AK304-1,"n/a")</f>
        <v>n/a</v>
      </c>
      <c r="AM314" s="173" t="str">
        <f t="shared" ref="AM314" si="1393">+IFERROR(AM304/AL304-1,"n/a")</f>
        <v>n/a</v>
      </c>
      <c r="AP314" s="173"/>
      <c r="AQ314" s="173"/>
      <c r="AR314" s="173"/>
      <c r="AS314" s="173"/>
      <c r="AT314" s="173"/>
      <c r="AU314" s="173"/>
      <c r="AV314" s="173"/>
      <c r="AW314" s="173"/>
      <c r="AX314" s="173"/>
    </row>
    <row r="315" spans="2:50" s="1" customFormat="1" ht="12" x14ac:dyDescent="0.35">
      <c r="B315" s="20" t="s">
        <v>227</v>
      </c>
      <c r="H315" s="48"/>
      <c r="I315" s="180" t="str">
        <f t="shared" ref="I315:AG315" si="1394">+IFERROR(I305/H305-1,"n/a")</f>
        <v>n/a</v>
      </c>
      <c r="J315" s="180" t="str">
        <f t="shared" si="1394"/>
        <v>n/a</v>
      </c>
      <c r="K315" s="180" t="str">
        <f t="shared" si="1394"/>
        <v>n/a</v>
      </c>
      <c r="L315" s="180" t="str">
        <f t="shared" si="1394"/>
        <v>n/a</v>
      </c>
      <c r="M315" s="180" t="str">
        <f t="shared" si="1394"/>
        <v>n/a</v>
      </c>
      <c r="N315" s="180" t="str">
        <f t="shared" si="1394"/>
        <v>n/a</v>
      </c>
      <c r="O315" s="180" t="str">
        <f t="shared" si="1394"/>
        <v>n/a</v>
      </c>
      <c r="P315" s="180" t="str">
        <f t="shared" si="1394"/>
        <v>n/a</v>
      </c>
      <c r="Q315" s="180" t="str">
        <f t="shared" si="1394"/>
        <v>n/a</v>
      </c>
      <c r="R315" s="180" t="str">
        <f t="shared" si="1394"/>
        <v>n/a</v>
      </c>
      <c r="S315" s="180" t="str">
        <f t="shared" si="1394"/>
        <v>n/a</v>
      </c>
      <c r="T315" s="180" t="str">
        <f t="shared" si="1394"/>
        <v>n/a</v>
      </c>
      <c r="U315" s="180" t="str">
        <f t="shared" si="1394"/>
        <v>n/a</v>
      </c>
      <c r="V315" s="180" t="str">
        <f t="shared" si="1394"/>
        <v>n/a</v>
      </c>
      <c r="W315" s="180" t="str">
        <f t="shared" si="1394"/>
        <v>n/a</v>
      </c>
      <c r="X315" s="180" t="str">
        <f t="shared" si="1394"/>
        <v>n/a</v>
      </c>
      <c r="Y315" s="180" t="str">
        <f t="shared" si="1394"/>
        <v>n/a</v>
      </c>
      <c r="Z315" s="180" t="str">
        <f t="shared" si="1394"/>
        <v>n/a</v>
      </c>
      <c r="AA315" s="180" t="str">
        <f t="shared" si="1394"/>
        <v>n/a</v>
      </c>
      <c r="AB315" s="180">
        <f t="shared" si="1394"/>
        <v>0.25</v>
      </c>
      <c r="AC315" s="180">
        <f t="shared" si="1394"/>
        <v>-0.12</v>
      </c>
      <c r="AD315" s="180">
        <f t="shared" si="1394"/>
        <v>1</v>
      </c>
      <c r="AE315" s="180">
        <f t="shared" si="1394"/>
        <v>2.2727272727272707E-2</v>
      </c>
      <c r="AF315" s="180">
        <f t="shared" si="1394"/>
        <v>0.11111111111111116</v>
      </c>
      <c r="AG315" s="180">
        <f t="shared" si="1394"/>
        <v>-9.9999999999999978E-2</v>
      </c>
      <c r="AH315" s="169">
        <v>0</v>
      </c>
      <c r="AI315" s="169">
        <v>0</v>
      </c>
      <c r="AJ315" s="169">
        <v>0</v>
      </c>
      <c r="AK315" s="169">
        <v>0</v>
      </c>
      <c r="AL315" s="169">
        <v>0</v>
      </c>
      <c r="AM315" s="169">
        <v>0</v>
      </c>
      <c r="AP315" s="173"/>
      <c r="AQ315" s="173"/>
      <c r="AR315" s="173"/>
      <c r="AS315" s="173"/>
      <c r="AT315" s="173"/>
      <c r="AU315" s="173"/>
      <c r="AV315" s="173"/>
      <c r="AW315" s="173"/>
      <c r="AX315" s="173"/>
    </row>
    <row r="316" spans="2:50" s="1" customFormat="1" ht="10.15" x14ac:dyDescent="0.2">
      <c r="B316" s="30" t="s">
        <v>386</v>
      </c>
      <c r="H316" s="48"/>
      <c r="I316" s="173" t="str">
        <f t="shared" ref="I316:AI316" si="1395">+IFERROR(I306/H306-1,"n/a")</f>
        <v>n/a</v>
      </c>
      <c r="J316" s="173" t="str">
        <f t="shared" si="1395"/>
        <v>n/a</v>
      </c>
      <c r="K316" s="173" t="str">
        <f t="shared" si="1395"/>
        <v>n/a</v>
      </c>
      <c r="L316" s="173" t="str">
        <f t="shared" si="1395"/>
        <v>n/a</v>
      </c>
      <c r="M316" s="173" t="str">
        <f t="shared" si="1395"/>
        <v>n/a</v>
      </c>
      <c r="N316" s="173" t="str">
        <f t="shared" si="1395"/>
        <v>n/a</v>
      </c>
      <c r="O316" s="173" t="str">
        <f t="shared" si="1395"/>
        <v>n/a</v>
      </c>
      <c r="P316" s="173" t="str">
        <f t="shared" si="1395"/>
        <v>n/a</v>
      </c>
      <c r="Q316" s="173" t="str">
        <f t="shared" si="1395"/>
        <v>n/a</v>
      </c>
      <c r="R316" s="173" t="str">
        <f t="shared" si="1395"/>
        <v>n/a</v>
      </c>
      <c r="S316" s="173" t="str">
        <f t="shared" si="1395"/>
        <v>n/a</v>
      </c>
      <c r="T316" s="173" t="str">
        <f t="shared" si="1395"/>
        <v>n/a</v>
      </c>
      <c r="U316" s="173" t="str">
        <f t="shared" si="1395"/>
        <v>n/a</v>
      </c>
      <c r="V316" s="173" t="str">
        <f t="shared" si="1395"/>
        <v>n/a</v>
      </c>
      <c r="W316" s="173" t="str">
        <f t="shared" si="1395"/>
        <v>n/a</v>
      </c>
      <c r="X316" s="173" t="str">
        <f t="shared" si="1395"/>
        <v>n/a</v>
      </c>
      <c r="Y316" s="173" t="str">
        <f t="shared" si="1395"/>
        <v>n/a</v>
      </c>
      <c r="Z316" s="173" t="str">
        <f t="shared" si="1395"/>
        <v>n/a</v>
      </c>
      <c r="AA316" s="173" t="str">
        <f t="shared" si="1395"/>
        <v>n/a</v>
      </c>
      <c r="AB316" s="173">
        <f t="shared" si="1395"/>
        <v>0.25</v>
      </c>
      <c r="AC316" s="173">
        <f t="shared" si="1395"/>
        <v>-0.12</v>
      </c>
      <c r="AD316" s="173">
        <f t="shared" si="1395"/>
        <v>1</v>
      </c>
      <c r="AE316" s="173">
        <f t="shared" si="1395"/>
        <v>2.2727272727272707E-2</v>
      </c>
      <c r="AF316" s="173">
        <f t="shared" si="1395"/>
        <v>0.11111111111111116</v>
      </c>
      <c r="AG316" s="173">
        <f t="shared" si="1395"/>
        <v>-9.9999999999999978E-2</v>
      </c>
      <c r="AH316" s="173">
        <f t="shared" si="1395"/>
        <v>2.2204460492503131E-16</v>
      </c>
      <c r="AI316" s="173">
        <f t="shared" si="1395"/>
        <v>-1.1102230246251565E-16</v>
      </c>
      <c r="AJ316" s="173">
        <f t="shared" ref="AJ316" si="1396">+IFERROR(AJ306/AI306-1,"n/a")</f>
        <v>0</v>
      </c>
      <c r="AK316" s="173">
        <f t="shared" ref="AK316" si="1397">+IFERROR(AK306/AJ306-1,"n/a")</f>
        <v>0</v>
      </c>
      <c r="AL316" s="173">
        <f t="shared" ref="AL316" si="1398">+IFERROR(AL306/AK306-1,"n/a")</f>
        <v>0</v>
      </c>
      <c r="AM316" s="173">
        <f t="shared" ref="AM316" si="1399">+IFERROR(AM306/AL306-1,"n/a")</f>
        <v>0</v>
      </c>
      <c r="AP316" s="173"/>
      <c r="AQ316" s="173"/>
      <c r="AR316" s="173"/>
      <c r="AS316" s="173"/>
      <c r="AT316" s="173"/>
      <c r="AU316" s="173"/>
      <c r="AV316" s="173"/>
      <c r="AW316" s="173"/>
      <c r="AX316" s="173"/>
    </row>
    <row r="318" spans="2:50" ht="10.15" x14ac:dyDescent="0.2">
      <c r="B318" s="6" t="s">
        <v>387</v>
      </c>
      <c r="C318" s="5"/>
    </row>
    <row r="319" spans="2:50" ht="10.15" x14ac:dyDescent="0.2">
      <c r="B319" s="1"/>
    </row>
    <row r="320" spans="2:50" ht="10.15" x14ac:dyDescent="0.2">
      <c r="B320" s="24" t="s">
        <v>370</v>
      </c>
    </row>
    <row r="321" spans="2:50" ht="10.15" x14ac:dyDescent="0.2">
      <c r="B321" s="184" t="s">
        <v>226</v>
      </c>
      <c r="H321" s="186">
        <f t="shared" ref="H321:AE321" si="1400">+IFERROR(H141/(H$237*1000-H$195),"n/a")</f>
        <v>2.7897784491440078E-2</v>
      </c>
      <c r="I321" s="186">
        <f t="shared" si="1400"/>
        <v>4.7923579444390532E-2</v>
      </c>
      <c r="J321" s="186">
        <f t="shared" si="1400"/>
        <v>4.1903294616238651E-2</v>
      </c>
      <c r="K321" s="186">
        <f t="shared" si="1400"/>
        <v>4.1227933870836377E-2</v>
      </c>
      <c r="L321" s="186">
        <f t="shared" si="1400"/>
        <v>4.329743137616128E-2</v>
      </c>
      <c r="M321" s="186">
        <f t="shared" si="1400"/>
        <v>4.6028727238563771E-2</v>
      </c>
      <c r="N321" s="186">
        <f t="shared" si="1400"/>
        <v>4.4851753984992956E-2</v>
      </c>
      <c r="O321" s="186">
        <f t="shared" si="1400"/>
        <v>4.3510304091991199E-2</v>
      </c>
      <c r="P321" s="186">
        <f t="shared" si="1400"/>
        <v>3.8502087647129764E-2</v>
      </c>
      <c r="Q321" s="186">
        <f t="shared" si="1400"/>
        <v>4.4882155385994181E-2</v>
      </c>
      <c r="R321" s="186">
        <f t="shared" si="1400"/>
        <v>4.7546141670748353E-2</v>
      </c>
      <c r="S321" s="186">
        <f t="shared" si="1400"/>
        <v>5.5122371403790338E-2</v>
      </c>
      <c r="T321" s="186">
        <f t="shared" si="1400"/>
        <v>4.792685340439537E-2</v>
      </c>
      <c r="U321" s="186">
        <f t="shared" si="1400"/>
        <v>5.3138137378105223E-2</v>
      </c>
      <c r="V321" s="186">
        <f t="shared" si="1400"/>
        <v>5.0287630960831685E-2</v>
      </c>
      <c r="W321" s="186">
        <f t="shared" si="1400"/>
        <v>5.3279796953174502E-2</v>
      </c>
      <c r="X321" s="186">
        <f t="shared" si="1400"/>
        <v>5.0902192272257174E-2</v>
      </c>
      <c r="Y321" s="186">
        <f t="shared" si="1400"/>
        <v>6.4136774943711949E-2</v>
      </c>
      <c r="Z321" s="186">
        <f t="shared" si="1400"/>
        <v>6.4228175369398344E-2</v>
      </c>
      <c r="AA321" s="186">
        <f t="shared" si="1400"/>
        <v>6.2343134308054264E-2</v>
      </c>
      <c r="AB321" s="186">
        <f t="shared" si="1400"/>
        <v>6.1090343976953947E-2</v>
      </c>
      <c r="AC321" s="186">
        <f t="shared" si="1400"/>
        <v>7.433510492778142E-2</v>
      </c>
      <c r="AD321" s="186">
        <f t="shared" si="1400"/>
        <v>7.4102050957331703E-2</v>
      </c>
      <c r="AE321" s="186">
        <f t="shared" si="1400"/>
        <v>7.8390832964452234E-2</v>
      </c>
      <c r="AF321" s="186">
        <f t="shared" ref="AF321:AG321" si="1401">+IFERROR(AF141/(AF$237*1000-AF$195),"n/a")</f>
        <v>7.867757168335239E-2</v>
      </c>
      <c r="AG321" s="186">
        <f t="shared" si="1401"/>
        <v>8.0208288016408807E-2</v>
      </c>
      <c r="AH321" s="186">
        <f t="shared" ref="AH321:AI321" si="1402">+IFERROR(AH141/(AH$237*1000-AH$195),"n/a")</f>
        <v>7.6197873615588371E-2</v>
      </c>
      <c r="AI321" s="186">
        <f t="shared" si="1402"/>
        <v>7.8483809824056033E-2</v>
      </c>
      <c r="AJ321" s="186">
        <f t="shared" ref="AJ321:AM321" si="1403">+IFERROR(AJ141/(AJ$237*1000-AJ$195),"n/a")</f>
        <v>7.691413362757489E-2</v>
      </c>
      <c r="AK321" s="186">
        <f t="shared" si="1403"/>
        <v>7.9221557636402151E-2</v>
      </c>
      <c r="AL321" s="186">
        <f t="shared" si="1403"/>
        <v>7.6052695330946052E-2</v>
      </c>
      <c r="AM321" s="186">
        <f t="shared" si="1403"/>
        <v>8.0615857050802806E-2</v>
      </c>
      <c r="AO321" s="186" t="str">
        <f t="shared" ref="AO321:AW321" si="1404">+IFERROR(AO141/(AO$237*1000-AO$195),"n/a")</f>
        <v>n/a</v>
      </c>
      <c r="AP321" s="186">
        <f t="shared" si="1404"/>
        <v>1.4269402519988698E-2</v>
      </c>
      <c r="AQ321" s="186">
        <f t="shared" si="1404"/>
        <v>4.0696829940627642E-2</v>
      </c>
      <c r="AR321" s="186">
        <f t="shared" si="1404"/>
        <v>4.4396385522220021E-2</v>
      </c>
      <c r="AS321" s="186">
        <f t="shared" si="1404"/>
        <v>4.8203990053253709E-2</v>
      </c>
      <c r="AT321" s="186">
        <f t="shared" si="1404"/>
        <v>5.1373798683775278E-2</v>
      </c>
      <c r="AU321" s="186">
        <f t="shared" si="1404"/>
        <v>6.0836983111028475E-2</v>
      </c>
      <c r="AV321" s="186">
        <f t="shared" si="1404"/>
        <v>7.2672256622313539E-2</v>
      </c>
      <c r="AW321" s="186">
        <f t="shared" si="1404"/>
        <v>7.8370910174347413E-2</v>
      </c>
      <c r="AX321" s="186">
        <f t="shared" ref="AX321" si="1405">+IFERROR(AX141/(AX$237*1000-AX$195),"n/a")</f>
        <v>7.8336971427497931E-2</v>
      </c>
    </row>
    <row r="322" spans="2:50" ht="12" x14ac:dyDescent="0.35">
      <c r="B322" s="184" t="s">
        <v>227</v>
      </c>
      <c r="H322" s="187">
        <f t="shared" ref="H322:AE322" si="1406">+IFERROR(H142/(H$237*1000-H$195),"n/a")</f>
        <v>6.9613293051359526E-3</v>
      </c>
      <c r="I322" s="187">
        <f t="shared" si="1406"/>
        <v>6.8338265256621695E-3</v>
      </c>
      <c r="J322" s="187">
        <f t="shared" si="1406"/>
        <v>5.6113440523892465E-3</v>
      </c>
      <c r="K322" s="187">
        <f t="shared" si="1406"/>
        <v>4.8175258571544911E-3</v>
      </c>
      <c r="L322" s="187">
        <f t="shared" si="1406"/>
        <v>6.5442666526304705E-3</v>
      </c>
      <c r="M322" s="187">
        <f t="shared" si="1406"/>
        <v>5.8571552617493992E-3</v>
      </c>
      <c r="N322" s="187">
        <f t="shared" si="1406"/>
        <v>5.362953131724634E-3</v>
      </c>
      <c r="O322" s="187">
        <f t="shared" si="1406"/>
        <v>4.9680052104388453E-3</v>
      </c>
      <c r="P322" s="187">
        <f t="shared" si="1406"/>
        <v>7.352254350449919E-3</v>
      </c>
      <c r="Q322" s="187">
        <f t="shared" si="1406"/>
        <v>4.6227934149928413E-3</v>
      </c>
      <c r="R322" s="187">
        <f t="shared" si="1406"/>
        <v>5.0731428452086983E-3</v>
      </c>
      <c r="S322" s="187">
        <f t="shared" si="1406"/>
        <v>4.9317831889293343E-3</v>
      </c>
      <c r="T322" s="187">
        <f t="shared" si="1406"/>
        <v>4.5948840959040256E-3</v>
      </c>
      <c r="U322" s="187">
        <f t="shared" si="1406"/>
        <v>2.589692039467083E-3</v>
      </c>
      <c r="V322" s="187">
        <f t="shared" si="1406"/>
        <v>1.2594748929362035E-3</v>
      </c>
      <c r="W322" s="187">
        <f t="shared" si="1406"/>
        <v>2.8629906185152223E-3</v>
      </c>
      <c r="X322" s="187">
        <f t="shared" si="1406"/>
        <v>5.5507097548379162E-3</v>
      </c>
      <c r="Y322" s="187">
        <f t="shared" si="1406"/>
        <v>5.7064246986158517E-3</v>
      </c>
      <c r="Z322" s="187">
        <f t="shared" si="1406"/>
        <v>5.8412331757216459E-3</v>
      </c>
      <c r="AA322" s="187">
        <f t="shared" si="1406"/>
        <v>7.1479315588961114E-3</v>
      </c>
      <c r="AB322" s="187">
        <f t="shared" si="1406"/>
        <v>7.9051844753788465E-3</v>
      </c>
      <c r="AC322" s="187">
        <f t="shared" si="1406"/>
        <v>8.0835956971128387E-3</v>
      </c>
      <c r="AD322" s="187">
        <f t="shared" si="1406"/>
        <v>7.2211161458489896E-3</v>
      </c>
      <c r="AE322" s="187">
        <f t="shared" si="1406"/>
        <v>1.1632362202405287E-2</v>
      </c>
      <c r="AF322" s="187">
        <f t="shared" ref="AF322:AG322" si="1407">+IFERROR(AF142/(AF$237*1000-AF$195),"n/a")</f>
        <v>1.0614722603901106E-2</v>
      </c>
      <c r="AG322" s="187">
        <f t="shared" si="1407"/>
        <v>9.8076463716200435E-3</v>
      </c>
      <c r="AH322" s="187">
        <f t="shared" ref="AH322:AI322" si="1408">+IFERROR(AH142/(AH$237*1000-AH$195),"n/a")</f>
        <v>7.3557347787150318E-3</v>
      </c>
      <c r="AI322" s="187">
        <f t="shared" si="1408"/>
        <v>5.8845878229720257E-3</v>
      </c>
      <c r="AJ322" s="187">
        <f t="shared" ref="AJ322:AM322" si="1409">+IFERROR(AJ142/(AJ$237*1000-AJ$195),"n/a")</f>
        <v>5.8845878229720249E-3</v>
      </c>
      <c r="AK322" s="187">
        <f t="shared" si="1409"/>
        <v>5.8845878229720257E-3</v>
      </c>
      <c r="AL322" s="187">
        <f t="shared" si="1409"/>
        <v>5.8845878229720257E-3</v>
      </c>
      <c r="AM322" s="187">
        <f t="shared" si="1409"/>
        <v>5.8845878229720249E-3</v>
      </c>
      <c r="AO322" s="187" t="str">
        <f t="shared" ref="AO322:AW322" si="1410">+IFERROR(AO142/(AO$237*1000-AO$195),"n/a")</f>
        <v>n/a</v>
      </c>
      <c r="AP322" s="187">
        <f t="shared" si="1410"/>
        <v>6.2706901321554773E-3</v>
      </c>
      <c r="AQ322" s="187">
        <f t="shared" si="1410"/>
        <v>5.6701123833757406E-3</v>
      </c>
      <c r="AR322" s="187">
        <f t="shared" si="1410"/>
        <v>5.510704351281542E-3</v>
      </c>
      <c r="AS322" s="187">
        <f t="shared" si="1410"/>
        <v>5.2396712330483302E-3</v>
      </c>
      <c r="AT322" s="187">
        <f t="shared" si="1410"/>
        <v>2.7530311535732201E-3</v>
      </c>
      <c r="AU322" s="187">
        <f t="shared" si="1410"/>
        <v>6.132900996905449E-3</v>
      </c>
      <c r="AV322" s="187">
        <f t="shared" si="1410"/>
        <v>8.8702649188003163E-3</v>
      </c>
      <c r="AW322" s="187">
        <f t="shared" si="1410"/>
        <v>8.222813622793838E-3</v>
      </c>
      <c r="AX322" s="187">
        <f t="shared" ref="AX322" si="1411">+IFERROR(AX142/(AX$237*1000-AX$195),"n/a")</f>
        <v>5.8845878229720257E-3</v>
      </c>
    </row>
    <row r="323" spans="2:50" ht="10.15" x14ac:dyDescent="0.2">
      <c r="B323" s="4" t="s">
        <v>224</v>
      </c>
      <c r="H323" s="186">
        <f t="shared" ref="H323:AE323" si="1412">+IFERROR(H143/(H$237*1000-H$195),"n/a")</f>
        <v>3.4859113796576024E-2</v>
      </c>
      <c r="I323" s="186">
        <f t="shared" si="1412"/>
        <v>5.4757405970052707E-2</v>
      </c>
      <c r="J323" s="186">
        <f t="shared" si="1412"/>
        <v>4.7514638668627894E-2</v>
      </c>
      <c r="K323" s="186">
        <f t="shared" si="1412"/>
        <v>4.6045459727990873E-2</v>
      </c>
      <c r="L323" s="186">
        <f t="shared" si="1412"/>
        <v>4.9841698028791744E-2</v>
      </c>
      <c r="M323" s="186">
        <f t="shared" si="1412"/>
        <v>5.1885882500313167E-2</v>
      </c>
      <c r="N323" s="186">
        <f t="shared" si="1412"/>
        <v>5.0214707116717591E-2</v>
      </c>
      <c r="O323" s="186">
        <f t="shared" si="1412"/>
        <v>4.8478309302430043E-2</v>
      </c>
      <c r="P323" s="186">
        <f t="shared" si="1412"/>
        <v>4.5854341997579678E-2</v>
      </c>
      <c r="Q323" s="186">
        <f t="shared" si="1412"/>
        <v>4.950494880098702E-2</v>
      </c>
      <c r="R323" s="186">
        <f t="shared" si="1412"/>
        <v>5.261928451595705E-2</v>
      </c>
      <c r="S323" s="186">
        <f t="shared" si="1412"/>
        <v>6.0054154592719663E-2</v>
      </c>
      <c r="T323" s="186">
        <f t="shared" si="1412"/>
        <v>5.2521737500299398E-2</v>
      </c>
      <c r="U323" s="186">
        <f t="shared" si="1412"/>
        <v>5.5727829417572303E-2</v>
      </c>
      <c r="V323" s="186">
        <f t="shared" si="1412"/>
        <v>5.1547105853767893E-2</v>
      </c>
      <c r="W323" s="186">
        <f t="shared" si="1412"/>
        <v>5.6142787571689723E-2</v>
      </c>
      <c r="X323" s="186">
        <f t="shared" si="1412"/>
        <v>5.6452902027095096E-2</v>
      </c>
      <c r="Y323" s="186">
        <f t="shared" si="1412"/>
        <v>6.9843199642327797E-2</v>
      </c>
      <c r="Z323" s="186">
        <f t="shared" si="1412"/>
        <v>7.0069408545119991E-2</v>
      </c>
      <c r="AA323" s="186">
        <f t="shared" si="1412"/>
        <v>6.9491065866950377E-2</v>
      </c>
      <c r="AB323" s="186">
        <f t="shared" si="1412"/>
        <v>6.8995528452332797E-2</v>
      </c>
      <c r="AC323" s="186">
        <f t="shared" si="1412"/>
        <v>8.2418700624894259E-2</v>
      </c>
      <c r="AD323" s="186">
        <f t="shared" si="1412"/>
        <v>8.1323167103180688E-2</v>
      </c>
      <c r="AE323" s="186">
        <f t="shared" si="1412"/>
        <v>9.0023195166857514E-2</v>
      </c>
      <c r="AF323" s="186">
        <f t="shared" ref="AF323:AG323" si="1413">+IFERROR(AF143/(AF$237*1000-AF$195),"n/a")</f>
        <v>8.9292294287253507E-2</v>
      </c>
      <c r="AG323" s="186">
        <f t="shared" si="1413"/>
        <v>9.0015934388028851E-2</v>
      </c>
      <c r="AH323" s="186">
        <f t="shared" ref="AH323:AI323" si="1414">+IFERROR(AH143/(AH$237*1000-AH$195),"n/a")</f>
        <v>8.3553608394303411E-2</v>
      </c>
      <c r="AI323" s="186">
        <f t="shared" si="1414"/>
        <v>8.4368397647028054E-2</v>
      </c>
      <c r="AJ323" s="186">
        <f t="shared" ref="AJ323:AM323" si="1415">+IFERROR(AJ143/(AJ$237*1000-AJ$195),"n/a")</f>
        <v>8.2798721450546911E-2</v>
      </c>
      <c r="AK323" s="186">
        <f t="shared" si="1415"/>
        <v>8.5106145459374172E-2</v>
      </c>
      <c r="AL323" s="186">
        <f t="shared" si="1415"/>
        <v>8.1937283153918086E-2</v>
      </c>
      <c r="AM323" s="186">
        <f t="shared" si="1415"/>
        <v>8.6500444873774826E-2</v>
      </c>
      <c r="AO323" s="186" t="str">
        <f t="shared" ref="AO323:AW323" si="1416">+IFERROR(AO143/(AO$237*1000-AO$195),"n/a")</f>
        <v>n/a</v>
      </c>
      <c r="AP323" s="186">
        <f t="shared" si="1416"/>
        <v>2.0540092652144178E-2</v>
      </c>
      <c r="AQ323" s="186">
        <f t="shared" si="1416"/>
        <v>4.6366942324003381E-2</v>
      </c>
      <c r="AR323" s="186">
        <f t="shared" si="1416"/>
        <v>4.9907089873501558E-2</v>
      </c>
      <c r="AS323" s="186">
        <f t="shared" si="1416"/>
        <v>5.3443661286302041E-2</v>
      </c>
      <c r="AT323" s="186">
        <f t="shared" si="1416"/>
        <v>5.4126829837348504E-2</v>
      </c>
      <c r="AU323" s="186">
        <f t="shared" si="1416"/>
        <v>6.6969884107933919E-2</v>
      </c>
      <c r="AV323" s="186">
        <f t="shared" si="1416"/>
        <v>8.1542521541113841E-2</v>
      </c>
      <c r="AW323" s="186">
        <f t="shared" si="1416"/>
        <v>8.6593723797141253E-2</v>
      </c>
      <c r="AX323" s="186">
        <f t="shared" ref="AX323" si="1417">+IFERROR(AX143/(AX$237*1000-AX$195),"n/a")</f>
        <v>8.4221559250469966E-2</v>
      </c>
    </row>
    <row r="324" spans="2:50" ht="12" x14ac:dyDescent="0.35">
      <c r="B324" s="184" t="s">
        <v>223</v>
      </c>
      <c r="H324" s="187" t="str">
        <f t="shared" ref="H324:AE324" si="1418">+IFERROR(H144/(H$195),"n/a")</f>
        <v>n/a</v>
      </c>
      <c r="I324" s="187" t="str">
        <f t="shared" si="1418"/>
        <v>n/a</v>
      </c>
      <c r="J324" s="187" t="str">
        <f t="shared" si="1418"/>
        <v>n/a</v>
      </c>
      <c r="K324" s="187" t="str">
        <f t="shared" si="1418"/>
        <v>n/a</v>
      </c>
      <c r="L324" s="187" t="str">
        <f t="shared" si="1418"/>
        <v>n/a</v>
      </c>
      <c r="M324" s="187" t="str">
        <f t="shared" si="1418"/>
        <v>n/a</v>
      </c>
      <c r="N324" s="187" t="str">
        <f t="shared" si="1418"/>
        <v>n/a</v>
      </c>
      <c r="O324" s="187" t="str">
        <f t="shared" si="1418"/>
        <v>n/a</v>
      </c>
      <c r="P324" s="187" t="str">
        <f t="shared" si="1418"/>
        <v>n/a</v>
      </c>
      <c r="Q324" s="187" t="str">
        <f t="shared" si="1418"/>
        <v>n/a</v>
      </c>
      <c r="R324" s="187">
        <f t="shared" si="1418"/>
        <v>1</v>
      </c>
      <c r="S324" s="187">
        <f t="shared" si="1418"/>
        <v>1</v>
      </c>
      <c r="T324" s="187">
        <f t="shared" si="1418"/>
        <v>1</v>
      </c>
      <c r="U324" s="187">
        <f t="shared" si="1418"/>
        <v>1</v>
      </c>
      <c r="V324" s="187">
        <f t="shared" si="1418"/>
        <v>1</v>
      </c>
      <c r="W324" s="187">
        <f t="shared" si="1418"/>
        <v>1</v>
      </c>
      <c r="X324" s="187">
        <f t="shared" si="1418"/>
        <v>1</v>
      </c>
      <c r="Y324" s="187">
        <f t="shared" si="1418"/>
        <v>1</v>
      </c>
      <c r="Z324" s="187">
        <f t="shared" si="1418"/>
        <v>1</v>
      </c>
      <c r="AA324" s="187">
        <f t="shared" si="1418"/>
        <v>1</v>
      </c>
      <c r="AB324" s="187" t="str">
        <f t="shared" si="1418"/>
        <v>n/a</v>
      </c>
      <c r="AC324" s="187" t="str">
        <f t="shared" si="1418"/>
        <v>n/a</v>
      </c>
      <c r="AD324" s="187" t="str">
        <f t="shared" si="1418"/>
        <v>n/a</v>
      </c>
      <c r="AE324" s="187" t="str">
        <f t="shared" si="1418"/>
        <v>n/a</v>
      </c>
      <c r="AF324" s="187" t="str">
        <f t="shared" ref="AF324:AG324" si="1419">+IFERROR(AF144/(AF$195),"n/a")</f>
        <v>n/a</v>
      </c>
      <c r="AG324" s="187" t="str">
        <f t="shared" si="1419"/>
        <v>n/a</v>
      </c>
      <c r="AH324" s="187" t="str">
        <f t="shared" ref="AH324:AI324" si="1420">+IFERROR(AH144/(AH$195),"n/a")</f>
        <v>n/a</v>
      </c>
      <c r="AI324" s="187" t="str">
        <f t="shared" si="1420"/>
        <v>n/a</v>
      </c>
      <c r="AJ324" s="187" t="str">
        <f t="shared" ref="AJ324:AM324" si="1421">+IFERROR(AJ144/(AJ$195),"n/a")</f>
        <v>n/a</v>
      </c>
      <c r="AK324" s="187" t="str">
        <f t="shared" si="1421"/>
        <v>n/a</v>
      </c>
      <c r="AL324" s="187" t="str">
        <f t="shared" si="1421"/>
        <v>n/a</v>
      </c>
      <c r="AM324" s="187" t="str">
        <f t="shared" si="1421"/>
        <v>n/a</v>
      </c>
      <c r="AO324" s="187">
        <f t="shared" ref="AO324:AW324" si="1422">+IFERROR(AO144/(AO$195),"n/a")</f>
        <v>1</v>
      </c>
      <c r="AP324" s="187">
        <f t="shared" si="1422"/>
        <v>1</v>
      </c>
      <c r="AQ324" s="187" t="str">
        <f t="shared" si="1422"/>
        <v>n/a</v>
      </c>
      <c r="AR324" s="187" t="str">
        <f t="shared" si="1422"/>
        <v>n/a</v>
      </c>
      <c r="AS324" s="187">
        <f t="shared" si="1422"/>
        <v>1</v>
      </c>
      <c r="AT324" s="187">
        <f t="shared" si="1422"/>
        <v>1</v>
      </c>
      <c r="AU324" s="187">
        <f t="shared" si="1422"/>
        <v>1</v>
      </c>
      <c r="AV324" s="187" t="str">
        <f t="shared" si="1422"/>
        <v>n/a</v>
      </c>
      <c r="AW324" s="187" t="str">
        <f t="shared" si="1422"/>
        <v>n/a</v>
      </c>
      <c r="AX324" s="187" t="str">
        <f t="shared" ref="AX324" si="1423">+IFERROR(AX144/(AX$195),"n/a")</f>
        <v>n/a</v>
      </c>
    </row>
    <row r="325" spans="2:50" s="1" customFormat="1" ht="10.15" x14ac:dyDescent="0.2">
      <c r="B325" s="38" t="s">
        <v>388</v>
      </c>
      <c r="H325" s="185">
        <f t="shared" ref="H325:AE325" si="1424">+IFERROR(H145/(H$237*1000),"n/a")</f>
        <v>3.4859113796576024E-2</v>
      </c>
      <c r="I325" s="185">
        <f t="shared" si="1424"/>
        <v>5.4757405970052707E-2</v>
      </c>
      <c r="J325" s="185">
        <f t="shared" si="1424"/>
        <v>4.7514638668627894E-2</v>
      </c>
      <c r="K325" s="185">
        <f t="shared" si="1424"/>
        <v>4.6045459727990873E-2</v>
      </c>
      <c r="L325" s="185">
        <f t="shared" si="1424"/>
        <v>4.9841698028791744E-2</v>
      </c>
      <c r="M325" s="185">
        <f t="shared" si="1424"/>
        <v>5.1885882500313167E-2</v>
      </c>
      <c r="N325" s="185">
        <f t="shared" si="1424"/>
        <v>5.0214707116717591E-2</v>
      </c>
      <c r="O325" s="185">
        <f t="shared" si="1424"/>
        <v>4.8478309302430043E-2</v>
      </c>
      <c r="P325" s="185">
        <f t="shared" si="1424"/>
        <v>4.5854341997579678E-2</v>
      </c>
      <c r="Q325" s="185">
        <f t="shared" si="1424"/>
        <v>4.950494880098702E-2</v>
      </c>
      <c r="R325" s="185">
        <f t="shared" si="1424"/>
        <v>5.4034438071248983E-2</v>
      </c>
      <c r="S325" s="185">
        <f t="shared" si="1424"/>
        <v>7.4499520475947018E-2</v>
      </c>
      <c r="T325" s="185">
        <f t="shared" si="1424"/>
        <v>6.8728757830669243E-2</v>
      </c>
      <c r="U325" s="185">
        <f t="shared" si="1424"/>
        <v>6.1131037079914387E-2</v>
      </c>
      <c r="V325" s="185">
        <f t="shared" si="1424"/>
        <v>5.1765288325096546E-2</v>
      </c>
      <c r="W325" s="185">
        <f t="shared" si="1424"/>
        <v>5.6325903159306884E-2</v>
      </c>
      <c r="X325" s="185">
        <f t="shared" si="1424"/>
        <v>5.6568888522224442E-2</v>
      </c>
      <c r="Y325" s="185">
        <f t="shared" si="1424"/>
        <v>6.9963362937996335E-2</v>
      </c>
      <c r="Z325" s="185">
        <f t="shared" si="1424"/>
        <v>7.0187915392641284E-2</v>
      </c>
      <c r="AA325" s="185">
        <f t="shared" si="1424"/>
        <v>6.9600080541627238E-2</v>
      </c>
      <c r="AB325" s="185">
        <f t="shared" si="1424"/>
        <v>6.8995528452332797E-2</v>
      </c>
      <c r="AC325" s="185">
        <f t="shared" si="1424"/>
        <v>8.2418700624894259E-2</v>
      </c>
      <c r="AD325" s="185">
        <f t="shared" si="1424"/>
        <v>8.1323167103180688E-2</v>
      </c>
      <c r="AE325" s="185">
        <f t="shared" si="1424"/>
        <v>9.0023195166857514E-2</v>
      </c>
      <c r="AF325" s="185">
        <f t="shared" ref="AF325:AG325" si="1425">+IFERROR(AF145/(AF$237*1000),"n/a")</f>
        <v>8.9292294287253507E-2</v>
      </c>
      <c r="AG325" s="185">
        <f t="shared" si="1425"/>
        <v>9.0015934388028851E-2</v>
      </c>
      <c r="AH325" s="185">
        <f t="shared" ref="AH325:AI325" si="1426">+IFERROR(AH145/(AH$237*1000),"n/a")</f>
        <v>8.3553608394303411E-2</v>
      </c>
      <c r="AI325" s="185">
        <f t="shared" si="1426"/>
        <v>8.4368397647028054E-2</v>
      </c>
      <c r="AJ325" s="185">
        <f t="shared" ref="AJ325:AM325" si="1427">+IFERROR(AJ145/(AJ$237*1000),"n/a")</f>
        <v>8.2798721450546911E-2</v>
      </c>
      <c r="AK325" s="185">
        <f t="shared" si="1427"/>
        <v>8.5106145459374172E-2</v>
      </c>
      <c r="AL325" s="185">
        <f t="shared" si="1427"/>
        <v>8.1937283153918086E-2</v>
      </c>
      <c r="AM325" s="185">
        <f t="shared" si="1427"/>
        <v>8.6500444873774826E-2</v>
      </c>
      <c r="AO325" s="185" t="str">
        <f t="shared" ref="AO325:AW325" si="1428">+IFERROR(AO145/(AO$237*1000),"n/a")</f>
        <v>n/a</v>
      </c>
      <c r="AP325" s="185">
        <f t="shared" si="1428"/>
        <v>2.0579213540154861E-2</v>
      </c>
      <c r="AQ325" s="185">
        <f t="shared" si="1428"/>
        <v>4.6366942324003381E-2</v>
      </c>
      <c r="AR325" s="185">
        <f t="shared" si="1428"/>
        <v>4.9907089873501558E-2</v>
      </c>
      <c r="AS325" s="185">
        <f t="shared" si="1428"/>
        <v>5.8883948812194588E-2</v>
      </c>
      <c r="AT325" s="185">
        <f t="shared" si="1428"/>
        <v>5.8954507517657052E-2</v>
      </c>
      <c r="AU325" s="185">
        <f t="shared" si="1428"/>
        <v>6.7085454839156275E-2</v>
      </c>
      <c r="AV325" s="185">
        <f t="shared" si="1428"/>
        <v>8.1542521541113841E-2</v>
      </c>
      <c r="AW325" s="185">
        <f t="shared" si="1428"/>
        <v>8.6593723797141253E-2</v>
      </c>
      <c r="AX325" s="185">
        <f t="shared" ref="AX325" si="1429">+IFERROR(AX145/(AX$237*1000),"n/a")</f>
        <v>8.4221559250469966E-2</v>
      </c>
    </row>
    <row r="326" spans="2:50" s="1" customFormat="1" ht="10.15" x14ac:dyDescent="0.2">
      <c r="B326" s="38"/>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c r="AH326" s="42"/>
      <c r="AI326" s="42"/>
      <c r="AJ326" s="42"/>
      <c r="AK326" s="42"/>
      <c r="AL326" s="42"/>
      <c r="AM326" s="42"/>
      <c r="AQ326" s="179"/>
      <c r="AR326" s="179"/>
      <c r="AS326" s="179"/>
      <c r="AT326" s="179"/>
      <c r="AU326" s="179"/>
      <c r="AV326" s="179"/>
      <c r="AW326" s="179"/>
      <c r="AX326" s="179"/>
    </row>
    <row r="327" spans="2:50" s="1" customFormat="1" ht="10.15" x14ac:dyDescent="0.2">
      <c r="B327" s="19" t="s">
        <v>86</v>
      </c>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c r="AH327" s="42"/>
      <c r="AI327" s="42"/>
      <c r="AJ327" s="42"/>
      <c r="AK327" s="42"/>
      <c r="AL327" s="42"/>
      <c r="AM327" s="42"/>
    </row>
    <row r="328" spans="2:50" s="1" customFormat="1" ht="10.15" x14ac:dyDescent="0.2">
      <c r="B328" s="20" t="s">
        <v>226</v>
      </c>
      <c r="H328" s="42"/>
      <c r="I328" s="42"/>
      <c r="J328" s="42"/>
      <c r="K328" s="42"/>
      <c r="L328" s="173">
        <f t="shared" ref="L328:U332" si="1430">+IFERROR(L321/H321-1,"n/a")</f>
        <v>0.55200250361982328</v>
      </c>
      <c r="M328" s="173">
        <f t="shared" si="1430"/>
        <v>-3.9539037521717391E-2</v>
      </c>
      <c r="N328" s="173">
        <f t="shared" si="1430"/>
        <v>7.0363425972994831E-2</v>
      </c>
      <c r="O328" s="173">
        <f t="shared" si="1430"/>
        <v>5.5359801155820509E-2</v>
      </c>
      <c r="P328" s="173">
        <f t="shared" si="1430"/>
        <v>-0.11075353841132796</v>
      </c>
      <c r="Q328" s="173">
        <f t="shared" si="1430"/>
        <v>-2.49099186824564E-2</v>
      </c>
      <c r="R328" s="173">
        <f t="shared" si="1430"/>
        <v>6.0073184354326958E-2</v>
      </c>
      <c r="S328" s="173">
        <f t="shared" si="1430"/>
        <v>0.26688085854901056</v>
      </c>
      <c r="T328" s="173">
        <f t="shared" si="1430"/>
        <v>0.24478583716403235</v>
      </c>
      <c r="U328" s="173">
        <f t="shared" si="1430"/>
        <v>0.18394798380577293</v>
      </c>
      <c r="V328" s="173">
        <f t="shared" ref="V328:AG332" si="1431">+IFERROR(V321/R321-1,"n/a")</f>
        <v>5.7659553304405531E-2</v>
      </c>
      <c r="W328" s="173">
        <f t="shared" si="1431"/>
        <v>-3.3426980800922768E-2</v>
      </c>
      <c r="X328" s="173">
        <f t="shared" si="1431"/>
        <v>6.2080830609858806E-2</v>
      </c>
      <c r="Y328" s="173">
        <f t="shared" si="1431"/>
        <v>0.20698199275119022</v>
      </c>
      <c r="Z328" s="173">
        <f t="shared" si="1431"/>
        <v>0.27721616910975078</v>
      </c>
      <c r="AA328" s="173">
        <f t="shared" si="1431"/>
        <v>0.17010833135954262</v>
      </c>
      <c r="AB328" s="173">
        <f t="shared" si="1431"/>
        <v>0.20015153080645498</v>
      </c>
      <c r="AC328" s="173">
        <f t="shared" si="1431"/>
        <v>0.15900908633182409</v>
      </c>
      <c r="AD328" s="173">
        <f t="shared" si="1431"/>
        <v>0.15373121735352591</v>
      </c>
      <c r="AE328" s="173">
        <f t="shared" si="1431"/>
        <v>0.25740923735245569</v>
      </c>
      <c r="AF328" s="173">
        <f t="shared" si="1431"/>
        <v>0.28788883089335937</v>
      </c>
      <c r="AG328" s="173">
        <f t="shared" si="1431"/>
        <v>7.9009548642372307E-2</v>
      </c>
      <c r="AH328" s="173">
        <f t="shared" ref="AH328:AI328" si="1432">+IFERROR(AH321/AD321-1,"n/a")</f>
        <v>2.8282923767703139E-2</v>
      </c>
      <c r="AI328" s="173">
        <f t="shared" si="1432"/>
        <v>1.1860680144317737E-3</v>
      </c>
      <c r="AJ328" s="173">
        <f t="shared" ref="AJ328:AJ332" si="1433">+IFERROR(AJ321/AF321-1,"n/a")</f>
        <v>-2.2413478429083589E-2</v>
      </c>
      <c r="AK328" s="173">
        <f t="shared" ref="AK328:AK332" si="1434">+IFERROR(AK321/AG321-1,"n/a")</f>
        <v>-1.2302099999999871E-2</v>
      </c>
      <c r="AL328" s="173">
        <f t="shared" ref="AL328:AL332" si="1435">+IFERROR(AL321/AH321-1,"n/a")</f>
        <v>-1.9052800000001202E-3</v>
      </c>
      <c r="AM328" s="173">
        <f t="shared" ref="AM328:AM332" si="1436">+IFERROR(AM321/AI321-1,"n/a")</f>
        <v>2.7165439999999652E-2</v>
      </c>
      <c r="AQ328" s="173">
        <f>+IFERROR(AQ321/AP321-1,"n/a")</f>
        <v>1.8520346162790755</v>
      </c>
      <c r="AR328" s="173">
        <f t="shared" ref="AR328:AV328" si="1437">+IFERROR(AR321/AQ321-1,"n/a")</f>
        <v>9.0905252005859971E-2</v>
      </c>
      <c r="AS328" s="173">
        <f t="shared" si="1437"/>
        <v>8.5763840597519181E-2</v>
      </c>
      <c r="AT328" s="173">
        <f t="shared" si="1437"/>
        <v>6.575822098999895E-2</v>
      </c>
      <c r="AU328" s="173">
        <f t="shared" si="1437"/>
        <v>0.1842025442872659</v>
      </c>
      <c r="AV328" s="173">
        <f t="shared" si="1437"/>
        <v>0.19454076954614097</v>
      </c>
      <c r="AW328" s="173">
        <f t="shared" ref="AW328:AX328" si="1438">+IFERROR(AW321/AV321-1,"n/a")</f>
        <v>7.8415805658140769E-2</v>
      </c>
      <c r="AX328" s="173">
        <f t="shared" si="1438"/>
        <v>-4.3305286073591631E-4</v>
      </c>
    </row>
    <row r="329" spans="2:50" s="1" customFormat="1" ht="12" x14ac:dyDescent="0.35">
      <c r="B329" s="20" t="s">
        <v>227</v>
      </c>
      <c r="H329" s="42"/>
      <c r="I329" s="42"/>
      <c r="J329" s="42"/>
      <c r="K329" s="42"/>
      <c r="L329" s="180">
        <f t="shared" si="1430"/>
        <v>-5.991135230418998E-2</v>
      </c>
      <c r="M329" s="180">
        <f t="shared" si="1430"/>
        <v>-0.14291718706133449</v>
      </c>
      <c r="N329" s="180">
        <f t="shared" si="1430"/>
        <v>-4.4265851166058967E-2</v>
      </c>
      <c r="O329" s="180">
        <f t="shared" si="1430"/>
        <v>3.1235816422423124E-2</v>
      </c>
      <c r="P329" s="180">
        <f t="shared" si="1430"/>
        <v>0.12346497181539462</v>
      </c>
      <c r="Q329" s="180">
        <f t="shared" si="1430"/>
        <v>-0.21074425921703877</v>
      </c>
      <c r="R329" s="180">
        <f t="shared" si="1430"/>
        <v>-5.4039309946894432E-2</v>
      </c>
      <c r="S329" s="180">
        <f t="shared" si="1430"/>
        <v>-7.291059484680229E-3</v>
      </c>
      <c r="T329" s="180">
        <f t="shared" si="1430"/>
        <v>-0.37503738623748195</v>
      </c>
      <c r="U329" s="180">
        <f t="shared" si="1430"/>
        <v>-0.43979931461611865</v>
      </c>
      <c r="V329" s="180">
        <f t="shared" si="1431"/>
        <v>-0.7517367573976933</v>
      </c>
      <c r="W329" s="180">
        <f t="shared" si="1431"/>
        <v>-0.41948165423371675</v>
      </c>
      <c r="X329" s="180">
        <f t="shared" si="1431"/>
        <v>0.20801953628948611</v>
      </c>
      <c r="Y329" s="180">
        <f t="shared" si="1431"/>
        <v>1.2035147854067398</v>
      </c>
      <c r="Z329" s="180">
        <f t="shared" si="1431"/>
        <v>3.6378321699641241</v>
      </c>
      <c r="AA329" s="180">
        <f t="shared" si="1431"/>
        <v>1.4966660780059091</v>
      </c>
      <c r="AB329" s="180">
        <f t="shared" si="1431"/>
        <v>0.42417543422961446</v>
      </c>
      <c r="AC329" s="180">
        <f t="shared" si="1431"/>
        <v>0.41657800182198024</v>
      </c>
      <c r="AD329" s="180">
        <f t="shared" si="1431"/>
        <v>0.23623144781527539</v>
      </c>
      <c r="AE329" s="180">
        <f t="shared" si="1431"/>
        <v>0.62737459173458121</v>
      </c>
      <c r="AF329" s="180">
        <f t="shared" si="1431"/>
        <v>0.34275457289596112</v>
      </c>
      <c r="AG329" s="180">
        <f t="shared" si="1431"/>
        <v>0.21327769709251698</v>
      </c>
      <c r="AH329" s="180">
        <f t="shared" ref="AH329:AI329" si="1439">+IFERROR(AH322/AD322-1,"n/a")</f>
        <v>1.8642358071394138E-2</v>
      </c>
      <c r="AI329" s="180">
        <f t="shared" si="1439"/>
        <v>-0.49411927512408127</v>
      </c>
      <c r="AJ329" s="180">
        <f t="shared" si="1433"/>
        <v>-0.44562019729000446</v>
      </c>
      <c r="AK329" s="180">
        <f t="shared" si="1434"/>
        <v>-0.4</v>
      </c>
      <c r="AL329" s="180">
        <f t="shared" si="1435"/>
        <v>-0.19999999999999996</v>
      </c>
      <c r="AM329" s="180">
        <f t="shared" si="1436"/>
        <v>-1.1102230246251565E-16</v>
      </c>
      <c r="AQ329" s="180">
        <f t="shared" ref="AQ329:AV329" si="1440">+IFERROR(AQ322/AP322-1,"n/a")</f>
        <v>-9.5775382951875376E-2</v>
      </c>
      <c r="AR329" s="180">
        <f t="shared" si="1440"/>
        <v>-2.8113734140714497E-2</v>
      </c>
      <c r="AS329" s="180">
        <f t="shared" si="1440"/>
        <v>-4.9183026516416484E-2</v>
      </c>
      <c r="AT329" s="180">
        <f t="shared" si="1440"/>
        <v>-0.47457940944673271</v>
      </c>
      <c r="AU329" s="180">
        <f t="shared" si="1440"/>
        <v>1.2276903728261197</v>
      </c>
      <c r="AV329" s="180">
        <f t="shared" si="1440"/>
        <v>0.44634079749144684</v>
      </c>
      <c r="AW329" s="180">
        <f t="shared" ref="AW329:AX329" si="1441">+IFERROR(AW322/AV322-1,"n/a")</f>
        <v>-7.2991201720956522E-2</v>
      </c>
      <c r="AX329" s="180">
        <f t="shared" si="1441"/>
        <v>-0.28435836042059792</v>
      </c>
    </row>
    <row r="330" spans="2:50" s="1" customFormat="1" ht="10.15" x14ac:dyDescent="0.2">
      <c r="B330" s="30" t="s">
        <v>224</v>
      </c>
      <c r="H330" s="42"/>
      <c r="I330" s="42"/>
      <c r="J330" s="42"/>
      <c r="K330" s="42"/>
      <c r="L330" s="173">
        <f t="shared" si="1430"/>
        <v>0.42980393361828262</v>
      </c>
      <c r="M330" s="173">
        <f t="shared" si="1430"/>
        <v>-5.2440823645115708E-2</v>
      </c>
      <c r="N330" s="173">
        <f t="shared" si="1430"/>
        <v>5.6826033486653715E-2</v>
      </c>
      <c r="O330" s="173">
        <f t="shared" si="1430"/>
        <v>5.283581896697287E-2</v>
      </c>
      <c r="P330" s="173">
        <f t="shared" si="1430"/>
        <v>-8.0000405060612345E-2</v>
      </c>
      <c r="Q330" s="173">
        <f t="shared" si="1430"/>
        <v>-4.5887890589733638E-2</v>
      </c>
      <c r="R330" s="173">
        <f t="shared" si="1430"/>
        <v>4.7885919032651714E-2</v>
      </c>
      <c r="S330" s="173">
        <f t="shared" si="1430"/>
        <v>0.23878401406439642</v>
      </c>
      <c r="T330" s="173">
        <f t="shared" si="1430"/>
        <v>0.14540379846845575</v>
      </c>
      <c r="U330" s="173">
        <f t="shared" si="1430"/>
        <v>0.12570219275655958</v>
      </c>
      <c r="V330" s="173">
        <f t="shared" si="1431"/>
        <v>-2.0376154332999663E-2</v>
      </c>
      <c r="W330" s="173">
        <f t="shared" si="1431"/>
        <v>-6.5130664939942573E-2</v>
      </c>
      <c r="X330" s="173">
        <f t="shared" si="1431"/>
        <v>7.4848333545197043E-2</v>
      </c>
      <c r="Y330" s="173">
        <f t="shared" si="1431"/>
        <v>0.25329122580727303</v>
      </c>
      <c r="Z330" s="173">
        <f t="shared" si="1431"/>
        <v>0.35932769424334587</v>
      </c>
      <c r="AA330" s="173">
        <f t="shared" si="1431"/>
        <v>0.2377558876679573</v>
      </c>
      <c r="AB330" s="173">
        <f t="shared" si="1431"/>
        <v>0.22217859445414789</v>
      </c>
      <c r="AC330" s="173">
        <f t="shared" si="1431"/>
        <v>0.18005333442577842</v>
      </c>
      <c r="AD330" s="173">
        <f t="shared" si="1431"/>
        <v>0.1606087277133792</v>
      </c>
      <c r="AE330" s="173">
        <f t="shared" si="1431"/>
        <v>0.29546430240714039</v>
      </c>
      <c r="AF330" s="173">
        <f t="shared" si="1431"/>
        <v>0.29417509062117286</v>
      </c>
      <c r="AG330" s="173">
        <f t="shared" si="1431"/>
        <v>9.2178519019746386E-2</v>
      </c>
      <c r="AH330" s="173">
        <f t="shared" ref="AH330:AI330" si="1442">+IFERROR(AH323/AD323-1,"n/a")</f>
        <v>2.7426886711049869E-2</v>
      </c>
      <c r="AI330" s="173">
        <f t="shared" si="1442"/>
        <v>-6.2814894642967523E-2</v>
      </c>
      <c r="AJ330" s="173">
        <f t="shared" si="1433"/>
        <v>-7.2722656400974084E-2</v>
      </c>
      <c r="AK330" s="173">
        <f t="shared" si="1434"/>
        <v>-5.4543553450105975E-2</v>
      </c>
      <c r="AL330" s="173">
        <f t="shared" si="1435"/>
        <v>-1.9344768842987747E-2</v>
      </c>
      <c r="AM330" s="173">
        <f t="shared" si="1436"/>
        <v>2.5270685306441498E-2</v>
      </c>
      <c r="AQ330" s="173">
        <f t="shared" ref="AQ330:AV330" si="1443">+IFERROR(AQ323/AP323-1,"n/a")</f>
        <v>1.2573872041012017</v>
      </c>
      <c r="AR330" s="173">
        <f t="shared" si="1443"/>
        <v>7.635067942932916E-2</v>
      </c>
      <c r="AS330" s="173">
        <f t="shared" si="1443"/>
        <v>7.0863106259342334E-2</v>
      </c>
      <c r="AT330" s="173">
        <f t="shared" si="1443"/>
        <v>1.2782966859000711E-2</v>
      </c>
      <c r="AU330" s="173">
        <f t="shared" si="1443"/>
        <v>0.23727704558310325</v>
      </c>
      <c r="AV330" s="173">
        <f t="shared" si="1443"/>
        <v>0.21759986040432011</v>
      </c>
      <c r="AW330" s="173">
        <f t="shared" ref="AW330:AX330" si="1444">+IFERROR(AW323/AV323-1,"n/a")</f>
        <v>6.1945622487042939E-2</v>
      </c>
      <c r="AX330" s="173">
        <f t="shared" si="1444"/>
        <v>-2.7394185659788017E-2</v>
      </c>
    </row>
    <row r="331" spans="2:50" s="1" customFormat="1" ht="12" x14ac:dyDescent="0.35">
      <c r="B331" s="20" t="s">
        <v>223</v>
      </c>
      <c r="H331" s="42"/>
      <c r="I331" s="42"/>
      <c r="J331" s="42"/>
      <c r="K331" s="42"/>
      <c r="L331" s="180" t="str">
        <f t="shared" si="1430"/>
        <v>n/a</v>
      </c>
      <c r="M331" s="180" t="str">
        <f t="shared" si="1430"/>
        <v>n/a</v>
      </c>
      <c r="N331" s="180" t="str">
        <f t="shared" si="1430"/>
        <v>n/a</v>
      </c>
      <c r="O331" s="180" t="str">
        <f t="shared" si="1430"/>
        <v>n/a</v>
      </c>
      <c r="P331" s="180" t="str">
        <f t="shared" si="1430"/>
        <v>n/a</v>
      </c>
      <c r="Q331" s="180" t="str">
        <f t="shared" si="1430"/>
        <v>n/a</v>
      </c>
      <c r="R331" s="180" t="str">
        <f t="shared" si="1430"/>
        <v>n/a</v>
      </c>
      <c r="S331" s="180" t="str">
        <f t="shared" si="1430"/>
        <v>n/a</v>
      </c>
      <c r="T331" s="180" t="str">
        <f t="shared" si="1430"/>
        <v>n/a</v>
      </c>
      <c r="U331" s="180" t="str">
        <f t="shared" si="1430"/>
        <v>n/a</v>
      </c>
      <c r="V331" s="180">
        <f t="shared" si="1431"/>
        <v>0</v>
      </c>
      <c r="W331" s="180">
        <f t="shared" si="1431"/>
        <v>0</v>
      </c>
      <c r="X331" s="180">
        <f t="shared" si="1431"/>
        <v>0</v>
      </c>
      <c r="Y331" s="180">
        <f t="shared" si="1431"/>
        <v>0</v>
      </c>
      <c r="Z331" s="180">
        <f t="shared" si="1431"/>
        <v>0</v>
      </c>
      <c r="AA331" s="180">
        <f t="shared" si="1431"/>
        <v>0</v>
      </c>
      <c r="AB331" s="180" t="str">
        <f t="shared" si="1431"/>
        <v>n/a</v>
      </c>
      <c r="AC331" s="180" t="str">
        <f t="shared" si="1431"/>
        <v>n/a</v>
      </c>
      <c r="AD331" s="180" t="str">
        <f t="shared" si="1431"/>
        <v>n/a</v>
      </c>
      <c r="AE331" s="180" t="str">
        <f t="shared" si="1431"/>
        <v>n/a</v>
      </c>
      <c r="AF331" s="180" t="str">
        <f t="shared" si="1431"/>
        <v>n/a</v>
      </c>
      <c r="AG331" s="180" t="str">
        <f t="shared" si="1431"/>
        <v>n/a</v>
      </c>
      <c r="AH331" s="180" t="str">
        <f t="shared" ref="AH331:AI331" si="1445">+IFERROR(AH324/AD324-1,"n/a")</f>
        <v>n/a</v>
      </c>
      <c r="AI331" s="180" t="str">
        <f t="shared" si="1445"/>
        <v>n/a</v>
      </c>
      <c r="AJ331" s="180" t="str">
        <f t="shared" si="1433"/>
        <v>n/a</v>
      </c>
      <c r="AK331" s="180" t="str">
        <f t="shared" si="1434"/>
        <v>n/a</v>
      </c>
      <c r="AL331" s="180" t="str">
        <f t="shared" si="1435"/>
        <v>n/a</v>
      </c>
      <c r="AM331" s="180" t="str">
        <f t="shared" si="1436"/>
        <v>n/a</v>
      </c>
      <c r="AQ331" s="180" t="str">
        <f t="shared" ref="AQ331:AV331" si="1446">+IFERROR(AQ324/AP324-1,"n/a")</f>
        <v>n/a</v>
      </c>
      <c r="AR331" s="180" t="str">
        <f t="shared" si="1446"/>
        <v>n/a</v>
      </c>
      <c r="AS331" s="180" t="str">
        <f t="shared" si="1446"/>
        <v>n/a</v>
      </c>
      <c r="AT331" s="180">
        <f t="shared" si="1446"/>
        <v>0</v>
      </c>
      <c r="AU331" s="180">
        <f t="shared" si="1446"/>
        <v>0</v>
      </c>
      <c r="AV331" s="180" t="str">
        <f t="shared" si="1446"/>
        <v>n/a</v>
      </c>
      <c r="AW331" s="180" t="str">
        <f t="shared" ref="AW331:AX331" si="1447">+IFERROR(AW324/AV324-1,"n/a")</f>
        <v>n/a</v>
      </c>
      <c r="AX331" s="180" t="str">
        <f t="shared" si="1447"/>
        <v>n/a</v>
      </c>
    </row>
    <row r="332" spans="2:50" s="1" customFormat="1" ht="10.15" x14ac:dyDescent="0.2">
      <c r="B332" s="30" t="s">
        <v>383</v>
      </c>
      <c r="H332" s="42"/>
      <c r="I332" s="42"/>
      <c r="J332" s="42"/>
      <c r="K332" s="42"/>
      <c r="L332" s="173">
        <f t="shared" si="1430"/>
        <v>0.42980393361828262</v>
      </c>
      <c r="M332" s="173">
        <f t="shared" si="1430"/>
        <v>-5.2440823645115708E-2</v>
      </c>
      <c r="N332" s="173">
        <f t="shared" si="1430"/>
        <v>5.6826033486653715E-2</v>
      </c>
      <c r="O332" s="173">
        <f t="shared" si="1430"/>
        <v>5.283581896697287E-2</v>
      </c>
      <c r="P332" s="173">
        <f t="shared" si="1430"/>
        <v>-8.0000405060612345E-2</v>
      </c>
      <c r="Q332" s="173">
        <f t="shared" si="1430"/>
        <v>-4.5887890589733638E-2</v>
      </c>
      <c r="R332" s="173">
        <f t="shared" si="1430"/>
        <v>7.6067972390099214E-2</v>
      </c>
      <c r="S332" s="173">
        <f t="shared" si="1430"/>
        <v>0.53675987360006028</v>
      </c>
      <c r="T332" s="173">
        <f t="shared" si="1430"/>
        <v>0.49884950555602647</v>
      </c>
      <c r="U332" s="173">
        <f t="shared" si="1430"/>
        <v>0.23484699127081154</v>
      </c>
      <c r="V332" s="173">
        <f t="shared" si="1431"/>
        <v>-4.1994509930136981E-2</v>
      </c>
      <c r="W332" s="173">
        <f t="shared" si="1431"/>
        <v>-0.24394274218862499</v>
      </c>
      <c r="X332" s="173">
        <f t="shared" si="1431"/>
        <v>-0.17692549221395404</v>
      </c>
      <c r="Y332" s="173">
        <f t="shared" si="1431"/>
        <v>0.14448185864302898</v>
      </c>
      <c r="Z332" s="173">
        <f t="shared" si="1431"/>
        <v>0.35588765490586849</v>
      </c>
      <c r="AA332" s="173">
        <f t="shared" si="1431"/>
        <v>0.23566736861328108</v>
      </c>
      <c r="AB332" s="173">
        <f t="shared" si="1431"/>
        <v>0.21967269032033832</v>
      </c>
      <c r="AC332" s="173">
        <f t="shared" si="1431"/>
        <v>0.17802657224948182</v>
      </c>
      <c r="AD332" s="173">
        <f t="shared" si="1431"/>
        <v>0.15864912995701896</v>
      </c>
      <c r="AE332" s="173">
        <f t="shared" si="1431"/>
        <v>0.29343521539483541</v>
      </c>
      <c r="AF332" s="173">
        <f t="shared" si="1431"/>
        <v>0.29417509062117286</v>
      </c>
      <c r="AG332" s="173">
        <f t="shared" si="1431"/>
        <v>9.2178519019746386E-2</v>
      </c>
      <c r="AH332" s="173">
        <f t="shared" ref="AH332:AI332" si="1448">+IFERROR(AH325/AD325-1,"n/a")</f>
        <v>2.7426886711049869E-2</v>
      </c>
      <c r="AI332" s="173">
        <f t="shared" si="1448"/>
        <v>-6.2814894642967523E-2</v>
      </c>
      <c r="AJ332" s="173">
        <f t="shared" si="1433"/>
        <v>-7.2722656400974084E-2</v>
      </c>
      <c r="AK332" s="173">
        <f t="shared" si="1434"/>
        <v>-5.4543553450105975E-2</v>
      </c>
      <c r="AL332" s="173">
        <f t="shared" si="1435"/>
        <v>-1.9344768842987747E-2</v>
      </c>
      <c r="AM332" s="173">
        <f t="shared" si="1436"/>
        <v>2.5270685306441498E-2</v>
      </c>
      <c r="AQ332" s="173">
        <f t="shared" ref="AQ332:AV332" si="1449">+IFERROR(AQ325/AP325-1,"n/a")</f>
        <v>1.2530959326278737</v>
      </c>
      <c r="AR332" s="173">
        <f t="shared" si="1449"/>
        <v>7.635067942932916E-2</v>
      </c>
      <c r="AS332" s="173">
        <f t="shared" si="1449"/>
        <v>0.17987141629468839</v>
      </c>
      <c r="AT332" s="173">
        <f t="shared" si="1449"/>
        <v>1.1982672168862063E-3</v>
      </c>
      <c r="AU332" s="173">
        <f t="shared" si="1449"/>
        <v>0.13791901016328523</v>
      </c>
      <c r="AV332" s="173">
        <f t="shared" si="1449"/>
        <v>0.21550225360504371</v>
      </c>
      <c r="AW332" s="173">
        <f t="shared" ref="AW332:AX332" si="1450">+IFERROR(AW325/AV325-1,"n/a")</f>
        <v>6.1945622487042939E-2</v>
      </c>
      <c r="AX332" s="173">
        <f t="shared" si="1450"/>
        <v>-2.7394185659788017E-2</v>
      </c>
    </row>
    <row r="333" spans="2:50" s="1" customFormat="1" ht="10.15" x14ac:dyDescent="0.2">
      <c r="B333" s="30"/>
      <c r="H333" s="42"/>
      <c r="I333" s="42"/>
      <c r="J333" s="42"/>
      <c r="K333" s="42"/>
      <c r="L333" s="173"/>
      <c r="M333" s="173"/>
      <c r="N333" s="173"/>
      <c r="O333" s="173"/>
      <c r="P333" s="173"/>
      <c r="Q333" s="173"/>
      <c r="R333" s="173"/>
      <c r="S333" s="173"/>
      <c r="T333" s="173"/>
      <c r="U333" s="173"/>
      <c r="V333" s="173"/>
      <c r="W333" s="173"/>
      <c r="X333" s="173"/>
      <c r="Y333" s="173"/>
      <c r="Z333" s="173"/>
      <c r="AA333" s="173"/>
      <c r="AB333" s="173"/>
      <c r="AC333" s="173"/>
      <c r="AD333" s="173"/>
      <c r="AE333" s="173"/>
      <c r="AF333" s="173"/>
      <c r="AG333" s="173"/>
      <c r="AH333" s="173"/>
      <c r="AI333" s="173"/>
      <c r="AJ333" s="173"/>
      <c r="AK333" s="173"/>
      <c r="AL333" s="173"/>
      <c r="AM333" s="173"/>
      <c r="AQ333" s="173"/>
      <c r="AR333" s="173"/>
      <c r="AS333" s="173"/>
      <c r="AT333" s="173"/>
      <c r="AU333" s="173"/>
      <c r="AV333" s="173"/>
      <c r="AW333" s="173"/>
      <c r="AX333" s="173"/>
    </row>
    <row r="334" spans="2:50" s="1" customFormat="1" ht="10.15" x14ac:dyDescent="0.2">
      <c r="B334" s="19" t="s">
        <v>262</v>
      </c>
      <c r="H334" s="42"/>
      <c r="I334" s="42"/>
      <c r="J334" s="42"/>
      <c r="K334" s="42"/>
      <c r="L334" s="173"/>
      <c r="M334" s="173"/>
      <c r="N334" s="173"/>
      <c r="O334" s="173"/>
      <c r="P334" s="173"/>
      <c r="Q334" s="173"/>
      <c r="R334" s="173"/>
      <c r="S334" s="173"/>
      <c r="T334" s="173"/>
      <c r="U334" s="173"/>
      <c r="V334" s="173"/>
      <c r="W334" s="173"/>
      <c r="X334" s="173"/>
      <c r="Y334" s="173"/>
      <c r="Z334" s="173"/>
      <c r="AA334" s="173"/>
      <c r="AB334" s="173"/>
      <c r="AC334" s="173"/>
      <c r="AD334" s="173"/>
      <c r="AE334" s="173"/>
      <c r="AF334" s="173"/>
      <c r="AG334" s="173"/>
      <c r="AH334" s="173"/>
      <c r="AI334" s="173"/>
      <c r="AJ334" s="173"/>
      <c r="AK334" s="173"/>
      <c r="AL334" s="173"/>
      <c r="AM334" s="173"/>
      <c r="AQ334" s="173"/>
      <c r="AR334" s="173"/>
      <c r="AS334" s="173"/>
      <c r="AT334" s="173"/>
      <c r="AU334" s="173"/>
      <c r="AV334" s="173"/>
      <c r="AW334" s="173"/>
      <c r="AX334" s="173"/>
    </row>
    <row r="335" spans="2:50" s="1" customFormat="1" ht="10.15" x14ac:dyDescent="0.2">
      <c r="B335" s="20" t="s">
        <v>226</v>
      </c>
      <c r="H335"/>
      <c r="I335" s="46">
        <f>+IFERROR(I321/H321-1,"n/a")</f>
        <v>0.71782743031422447</v>
      </c>
      <c r="J335" s="46">
        <f t="shared" ref="J335:J339" si="1451">+IFERROR(J321/I321-1,"n/a")</f>
        <v>-0.1256226036942355</v>
      </c>
      <c r="K335" s="46">
        <f t="shared" ref="K335:K339" si="1452">+IFERROR(K321/J321-1,"n/a")</f>
        <v>-1.611712758119388E-2</v>
      </c>
      <c r="L335" s="46">
        <f t="shared" ref="L335:L339" si="1453">+IFERROR(L321/K321-1,"n/a")</f>
        <v>5.0196488424776753E-2</v>
      </c>
      <c r="M335" s="46">
        <f t="shared" ref="M335:M339" si="1454">+IFERROR(M321/L321-1,"n/a")</f>
        <v>6.3082168516497505E-2</v>
      </c>
      <c r="N335" s="46">
        <f t="shared" ref="N335:N339" si="1455">+IFERROR(N321/M321-1,"n/a")</f>
        <v>-2.557040622632567E-2</v>
      </c>
      <c r="O335" s="46">
        <f t="shared" ref="O335:O339" si="1456">+IFERROR(O321/N321-1,"n/a")</f>
        <v>-2.9908526954165349E-2</v>
      </c>
      <c r="P335" s="46">
        <f t="shared" ref="P335:P339" si="1457">+IFERROR(P321/O321-1,"n/a")</f>
        <v>-0.1151041471526576</v>
      </c>
      <c r="Q335" s="46">
        <f t="shared" ref="Q335:Q339" si="1458">+IFERROR(Q321/P321-1,"n/a")</f>
        <v>0.16570705976614852</v>
      </c>
      <c r="R335" s="46">
        <f t="shared" ref="R335:R339" si="1459">+IFERROR(R321/Q321-1,"n/a")</f>
        <v>5.9355132609907768E-2</v>
      </c>
      <c r="S335" s="46">
        <f t="shared" ref="S335:S339" si="1460">+IFERROR(S321/R321-1,"n/a")</f>
        <v>0.15934478523003026</v>
      </c>
      <c r="T335" s="46">
        <f t="shared" ref="T335:T339" si="1461">+IFERROR(T321/S321-1,"n/a")</f>
        <v>-0.13053716333583187</v>
      </c>
      <c r="U335" s="46">
        <f t="shared" ref="U335:U339" si="1462">+IFERROR(U321/T321-1,"n/a")</f>
        <v>0.10873411466716343</v>
      </c>
      <c r="V335" s="46">
        <f t="shared" ref="V335:V339" si="1463">+IFERROR(V321/U321-1,"n/a")</f>
        <v>-5.3643325828128252E-2</v>
      </c>
      <c r="W335" s="46">
        <f t="shared" ref="W335:W339" si="1464">+IFERROR(W321/V321-1,"n/a")</f>
        <v>5.9501033060662012E-2</v>
      </c>
      <c r="X335" s="46">
        <f t="shared" ref="X335:X339" si="1465">+IFERROR(X321/W321-1,"n/a")</f>
        <v>-4.4624882542381172E-2</v>
      </c>
      <c r="Y335" s="46">
        <f t="shared" ref="Y335:Y339" si="1466">+IFERROR(Y321/X321-1,"n/a")</f>
        <v>0.26000024911830599</v>
      </c>
      <c r="Z335" s="46">
        <f t="shared" ref="Z335:Z339" si="1467">+IFERROR(Z321/Y321-1,"n/a")</f>
        <v>1.4250860877649263E-3</v>
      </c>
      <c r="AA335" s="46">
        <f t="shared" ref="AA335:AA339" si="1468">+IFERROR(AA321/Z321-1,"n/a")</f>
        <v>-2.9349129887351721E-2</v>
      </c>
      <c r="AB335" s="46">
        <f t="shared" ref="AB335:AB339" si="1469">+IFERROR(AB321/AA321-1,"n/a")</f>
        <v>-2.009508095807222E-2</v>
      </c>
      <c r="AC335" s="46">
        <f t="shared" ref="AC335:AC339" si="1470">+IFERROR(AC321/AB321-1,"n/a")</f>
        <v>0.21680612824547207</v>
      </c>
      <c r="AD335" s="46">
        <f t="shared" ref="AD335:AD339" si="1471">+IFERROR(AD321/AC321-1,"n/a")</f>
        <v>-3.1351804867448818E-3</v>
      </c>
      <c r="AE335" s="46">
        <f t="shared" ref="AE335:AG339" si="1472">+IFERROR(AE321/AD321-1,"n/a")</f>
        <v>5.7876697766301222E-2</v>
      </c>
      <c r="AF335" s="46">
        <f t="shared" si="1472"/>
        <v>3.6578093133694534E-3</v>
      </c>
      <c r="AG335" s="46">
        <f t="shared" si="1472"/>
        <v>1.9455561480938632E-2</v>
      </c>
      <c r="AH335" s="46">
        <f t="shared" ref="AH335:AH339" si="1473">+IFERROR(AH321/AG321-1,"n/a")</f>
        <v>-4.9999999999999933E-2</v>
      </c>
      <c r="AI335" s="46">
        <f t="shared" ref="AI335:AI339" si="1474">+IFERROR(AI321/AH321-1,"n/a")</f>
        <v>3.0000000000000249E-2</v>
      </c>
      <c r="AJ335" s="46">
        <f t="shared" ref="AJ335:AJ339" si="1475">+IFERROR(AJ321/AI321-1,"n/a")</f>
        <v>-2.000000000000024E-2</v>
      </c>
      <c r="AK335" s="46">
        <f t="shared" ref="AK335:AK339" si="1476">+IFERROR(AK321/AJ321-1,"n/a")</f>
        <v>3.0000000000000249E-2</v>
      </c>
      <c r="AL335" s="46">
        <f t="shared" ref="AL335:AL339" si="1477">+IFERROR(AL321/AK321-1,"n/a")</f>
        <v>-4.0000000000000147E-2</v>
      </c>
      <c r="AM335" s="46">
        <f t="shared" ref="AM335:AM339" si="1478">+IFERROR(AM321/AL321-1,"n/a")</f>
        <v>5.9999999999999831E-2</v>
      </c>
      <c r="AQ335" s="173"/>
      <c r="AR335" s="173"/>
      <c r="AS335" s="173"/>
      <c r="AT335" s="173"/>
      <c r="AU335" s="173"/>
      <c r="AV335" s="173"/>
      <c r="AW335" s="173"/>
      <c r="AX335" s="173"/>
    </row>
    <row r="336" spans="2:50" s="1" customFormat="1" ht="12" x14ac:dyDescent="0.35">
      <c r="B336" s="20" t="s">
        <v>227</v>
      </c>
      <c r="H336"/>
      <c r="I336" s="47">
        <f t="shared" ref="I336:I339" si="1479">+IFERROR(I322/H322-1,"n/a")</f>
        <v>-1.8315866680766457E-2</v>
      </c>
      <c r="J336" s="47">
        <f t="shared" si="1451"/>
        <v>-0.17888696306268459</v>
      </c>
      <c r="K336" s="47">
        <f t="shared" si="1452"/>
        <v>-0.14146667675755087</v>
      </c>
      <c r="L336" s="47">
        <f t="shared" si="1453"/>
        <v>0.35842896264097934</v>
      </c>
      <c r="M336" s="47">
        <f t="shared" si="1454"/>
        <v>-0.10499440615013544</v>
      </c>
      <c r="N336" s="47">
        <f t="shared" si="1455"/>
        <v>-8.4375794722771014E-2</v>
      </c>
      <c r="O336" s="47">
        <f t="shared" si="1456"/>
        <v>-7.3643739108863016E-2</v>
      </c>
      <c r="P336" s="47">
        <f t="shared" si="1457"/>
        <v>0.47992082113787937</v>
      </c>
      <c r="Q336" s="47">
        <f t="shared" si="1458"/>
        <v>-0.37124136426129617</v>
      </c>
      <c r="R336" s="47">
        <f t="shared" si="1459"/>
        <v>9.7419328485513601E-2</v>
      </c>
      <c r="S336" s="47">
        <f t="shared" si="1460"/>
        <v>-2.7864316182791948E-2</v>
      </c>
      <c r="T336" s="47">
        <f t="shared" si="1461"/>
        <v>-6.8311821529698613E-2</v>
      </c>
      <c r="U336" s="47">
        <f t="shared" si="1462"/>
        <v>-0.43639665649551684</v>
      </c>
      <c r="V336" s="47">
        <f t="shared" si="1463"/>
        <v>-0.51365842975082732</v>
      </c>
      <c r="W336" s="47">
        <f t="shared" si="1464"/>
        <v>1.2731621206364467</v>
      </c>
      <c r="X336" s="47">
        <f t="shared" si="1465"/>
        <v>0.93878028064114782</v>
      </c>
      <c r="Y336" s="47">
        <f t="shared" si="1466"/>
        <v>2.8053159083343715E-2</v>
      </c>
      <c r="Z336" s="47">
        <f t="shared" si="1467"/>
        <v>2.3623982480394989E-2</v>
      </c>
      <c r="AA336" s="47">
        <f t="shared" si="1468"/>
        <v>0.22370248607872623</v>
      </c>
      <c r="AB336" s="47">
        <f t="shared" si="1469"/>
        <v>0.10594014649458683</v>
      </c>
      <c r="AC336" s="47">
        <f t="shared" si="1470"/>
        <v>2.2568887834264251E-2</v>
      </c>
      <c r="AD336" s="47">
        <f t="shared" si="1471"/>
        <v>-0.10669503814643955</v>
      </c>
      <c r="AE336" s="47">
        <f t="shared" si="1472"/>
        <v>0.61088147143181915</v>
      </c>
      <c r="AF336" s="47">
        <f t="shared" si="1472"/>
        <v>-8.7483486225502727E-2</v>
      </c>
      <c r="AG336" s="47">
        <f t="shared" si="1472"/>
        <v>-7.6033662150007286E-2</v>
      </c>
      <c r="AH336" s="47">
        <f t="shared" si="1473"/>
        <v>-0.25000000000000011</v>
      </c>
      <c r="AI336" s="47">
        <f t="shared" si="1474"/>
        <v>-0.19999999999999996</v>
      </c>
      <c r="AJ336" s="47">
        <f t="shared" si="1475"/>
        <v>-1.1102230246251565E-16</v>
      </c>
      <c r="AK336" s="47">
        <f t="shared" si="1476"/>
        <v>2.2204460492503131E-16</v>
      </c>
      <c r="AL336" s="47">
        <f t="shared" si="1477"/>
        <v>0</v>
      </c>
      <c r="AM336" s="47">
        <f t="shared" si="1478"/>
        <v>-1.1102230246251565E-16</v>
      </c>
      <c r="AQ336" s="173"/>
      <c r="AR336" s="173"/>
      <c r="AS336" s="173"/>
      <c r="AT336" s="173"/>
      <c r="AU336" s="173"/>
      <c r="AV336" s="173"/>
      <c r="AW336" s="173"/>
      <c r="AX336" s="173"/>
    </row>
    <row r="337" spans="2:50" s="1" customFormat="1" ht="10.15" x14ac:dyDescent="0.2">
      <c r="B337" s="30" t="s">
        <v>224</v>
      </c>
      <c r="H337"/>
      <c r="I337" s="46">
        <f t="shared" si="1479"/>
        <v>0.57082036822838433</v>
      </c>
      <c r="J337" s="46">
        <f t="shared" si="1451"/>
        <v>-0.13227009521572197</v>
      </c>
      <c r="K337" s="46">
        <f t="shared" si="1452"/>
        <v>-3.0920553787291305E-2</v>
      </c>
      <c r="L337" s="46">
        <f t="shared" si="1453"/>
        <v>8.2445442465484797E-2</v>
      </c>
      <c r="M337" s="46">
        <f t="shared" si="1454"/>
        <v>4.1013539914723118E-2</v>
      </c>
      <c r="N337" s="46">
        <f t="shared" si="1455"/>
        <v>-3.2208672245007897E-2</v>
      </c>
      <c r="O337" s="46">
        <f t="shared" si="1456"/>
        <v>-3.4579467132039965E-2</v>
      </c>
      <c r="P337" s="46">
        <f t="shared" si="1457"/>
        <v>-5.4126625755053559E-2</v>
      </c>
      <c r="Q337" s="46">
        <f t="shared" si="1458"/>
        <v>7.9613110653731223E-2</v>
      </c>
      <c r="R337" s="46">
        <f t="shared" si="1459"/>
        <v>6.290958359516452E-2</v>
      </c>
      <c r="S337" s="46">
        <f t="shared" si="1460"/>
        <v>0.14129553727603339</v>
      </c>
      <c r="T337" s="46">
        <f t="shared" si="1461"/>
        <v>-0.12542707733551905</v>
      </c>
      <c r="U337" s="46">
        <f t="shared" si="1462"/>
        <v>6.1043142703621101E-2</v>
      </c>
      <c r="V337" s="46">
        <f t="shared" si="1463"/>
        <v>-7.5020391203073244E-2</v>
      </c>
      <c r="W337" s="46">
        <f t="shared" si="1464"/>
        <v>8.9154990213401231E-2</v>
      </c>
      <c r="X337" s="46">
        <f t="shared" si="1465"/>
        <v>5.5236739894573006E-3</v>
      </c>
      <c r="Y337" s="46">
        <f t="shared" si="1466"/>
        <v>0.23719414121183546</v>
      </c>
      <c r="Z337" s="46">
        <f t="shared" si="1467"/>
        <v>3.2388107067062855E-3</v>
      </c>
      <c r="AA337" s="46">
        <f t="shared" si="1468"/>
        <v>-8.2538541451681047E-3</v>
      </c>
      <c r="AB337" s="46">
        <f t="shared" si="1469"/>
        <v>-7.130951417069209E-3</v>
      </c>
      <c r="AC337" s="46">
        <f t="shared" si="1470"/>
        <v>0.19455133504536004</v>
      </c>
      <c r="AD337" s="46">
        <f t="shared" si="1471"/>
        <v>-1.329229305251467E-2</v>
      </c>
      <c r="AE337" s="46">
        <f t="shared" si="1472"/>
        <v>0.10698093020207211</v>
      </c>
      <c r="AF337" s="46">
        <f t="shared" si="1472"/>
        <v>-8.1190284153910275E-3</v>
      </c>
      <c r="AG337" s="46">
        <f t="shared" si="1472"/>
        <v>8.1041718834931054E-3</v>
      </c>
      <c r="AH337" s="46">
        <f t="shared" si="1473"/>
        <v>-7.1790911660912116E-2</v>
      </c>
      <c r="AI337" s="46">
        <f t="shared" si="1474"/>
        <v>9.7516943718278792E-3</v>
      </c>
      <c r="AJ337" s="46">
        <f t="shared" si="1475"/>
        <v>-1.8605025581358015E-2</v>
      </c>
      <c r="AK337" s="46">
        <f t="shared" si="1476"/>
        <v>2.7867870039580467E-2</v>
      </c>
      <c r="AL337" s="46">
        <f t="shared" si="1477"/>
        <v>-3.7234236004364152E-2</v>
      </c>
      <c r="AM337" s="46">
        <f t="shared" si="1478"/>
        <v>5.5690908268033468E-2</v>
      </c>
      <c r="AQ337" s="173"/>
      <c r="AR337" s="173"/>
      <c r="AS337" s="173"/>
      <c r="AT337" s="173"/>
      <c r="AU337" s="173"/>
      <c r="AV337" s="173"/>
      <c r="AW337" s="173"/>
      <c r="AX337" s="173"/>
    </row>
    <row r="338" spans="2:50" s="1" customFormat="1" ht="12" x14ac:dyDescent="0.35">
      <c r="B338" s="20" t="s">
        <v>223</v>
      </c>
      <c r="H338"/>
      <c r="I338" s="47" t="str">
        <f t="shared" si="1479"/>
        <v>n/a</v>
      </c>
      <c r="J338" s="47" t="str">
        <f t="shared" si="1451"/>
        <v>n/a</v>
      </c>
      <c r="K338" s="47" t="str">
        <f t="shared" si="1452"/>
        <v>n/a</v>
      </c>
      <c r="L338" s="47" t="str">
        <f t="shared" si="1453"/>
        <v>n/a</v>
      </c>
      <c r="M338" s="47" t="str">
        <f t="shared" si="1454"/>
        <v>n/a</v>
      </c>
      <c r="N338" s="47" t="str">
        <f t="shared" si="1455"/>
        <v>n/a</v>
      </c>
      <c r="O338" s="47" t="str">
        <f t="shared" si="1456"/>
        <v>n/a</v>
      </c>
      <c r="P338" s="47" t="str">
        <f t="shared" si="1457"/>
        <v>n/a</v>
      </c>
      <c r="Q338" s="47" t="str">
        <f t="shared" si="1458"/>
        <v>n/a</v>
      </c>
      <c r="R338" s="47" t="str">
        <f t="shared" si="1459"/>
        <v>n/a</v>
      </c>
      <c r="S338" s="47">
        <f t="shared" si="1460"/>
        <v>0</v>
      </c>
      <c r="T338" s="47">
        <f t="shared" si="1461"/>
        <v>0</v>
      </c>
      <c r="U338" s="47">
        <f t="shared" si="1462"/>
        <v>0</v>
      </c>
      <c r="V338" s="47">
        <f t="shared" si="1463"/>
        <v>0</v>
      </c>
      <c r="W338" s="47">
        <f t="shared" si="1464"/>
        <v>0</v>
      </c>
      <c r="X338" s="47">
        <f t="shared" si="1465"/>
        <v>0</v>
      </c>
      <c r="Y338" s="47">
        <f t="shared" si="1466"/>
        <v>0</v>
      </c>
      <c r="Z338" s="47">
        <f t="shared" si="1467"/>
        <v>0</v>
      </c>
      <c r="AA338" s="47">
        <f t="shared" si="1468"/>
        <v>0</v>
      </c>
      <c r="AB338" s="47" t="str">
        <f t="shared" si="1469"/>
        <v>n/a</v>
      </c>
      <c r="AC338" s="47" t="str">
        <f t="shared" si="1470"/>
        <v>n/a</v>
      </c>
      <c r="AD338" s="47" t="str">
        <f t="shared" si="1471"/>
        <v>n/a</v>
      </c>
      <c r="AE338" s="47" t="str">
        <f t="shared" si="1472"/>
        <v>n/a</v>
      </c>
      <c r="AF338" s="47" t="str">
        <f t="shared" si="1472"/>
        <v>n/a</v>
      </c>
      <c r="AG338" s="47" t="str">
        <f t="shared" si="1472"/>
        <v>n/a</v>
      </c>
      <c r="AH338" s="47" t="str">
        <f t="shared" si="1473"/>
        <v>n/a</v>
      </c>
      <c r="AI338" s="47" t="str">
        <f t="shared" si="1474"/>
        <v>n/a</v>
      </c>
      <c r="AJ338" s="47" t="str">
        <f t="shared" si="1475"/>
        <v>n/a</v>
      </c>
      <c r="AK338" s="47" t="str">
        <f t="shared" si="1476"/>
        <v>n/a</v>
      </c>
      <c r="AL338" s="47" t="str">
        <f t="shared" si="1477"/>
        <v>n/a</v>
      </c>
      <c r="AM338" s="47" t="str">
        <f t="shared" si="1478"/>
        <v>n/a</v>
      </c>
      <c r="AQ338" s="173"/>
      <c r="AR338" s="173"/>
      <c r="AS338" s="173"/>
      <c r="AT338" s="173"/>
      <c r="AU338" s="173"/>
      <c r="AV338" s="173"/>
      <c r="AW338" s="173"/>
      <c r="AX338" s="173"/>
    </row>
    <row r="339" spans="2:50" s="1" customFormat="1" ht="10.15" x14ac:dyDescent="0.2">
      <c r="B339" s="30" t="s">
        <v>383</v>
      </c>
      <c r="H339"/>
      <c r="I339" s="46">
        <f t="shared" si="1479"/>
        <v>0.57082036822838433</v>
      </c>
      <c r="J339" s="46">
        <f t="shared" si="1451"/>
        <v>-0.13227009521572197</v>
      </c>
      <c r="K339" s="46">
        <f t="shared" si="1452"/>
        <v>-3.0920553787291305E-2</v>
      </c>
      <c r="L339" s="46">
        <f t="shared" si="1453"/>
        <v>8.2445442465484797E-2</v>
      </c>
      <c r="M339" s="46">
        <f t="shared" si="1454"/>
        <v>4.1013539914723118E-2</v>
      </c>
      <c r="N339" s="46">
        <f t="shared" si="1455"/>
        <v>-3.2208672245007897E-2</v>
      </c>
      <c r="O339" s="46">
        <f t="shared" si="1456"/>
        <v>-3.4579467132039965E-2</v>
      </c>
      <c r="P339" s="46">
        <f t="shared" si="1457"/>
        <v>-5.4126625755053559E-2</v>
      </c>
      <c r="Q339" s="46">
        <f t="shared" si="1458"/>
        <v>7.9613110653731223E-2</v>
      </c>
      <c r="R339" s="46">
        <f t="shared" si="1459"/>
        <v>9.1495686390279829E-2</v>
      </c>
      <c r="S339" s="46">
        <f t="shared" si="1460"/>
        <v>0.37874146813025233</v>
      </c>
      <c r="T339" s="46">
        <f t="shared" si="1461"/>
        <v>-7.746039985775377E-2</v>
      </c>
      <c r="U339" s="46">
        <f t="shared" si="1462"/>
        <v>-0.11054645814309305</v>
      </c>
      <c r="V339" s="46">
        <f t="shared" si="1463"/>
        <v>-0.15320775177712653</v>
      </c>
      <c r="W339" s="46">
        <f t="shared" si="1464"/>
        <v>8.8101795271934957E-2</v>
      </c>
      <c r="X339" s="46">
        <f t="shared" si="1465"/>
        <v>4.3139186287048936E-3</v>
      </c>
      <c r="Y339" s="46">
        <f t="shared" si="1466"/>
        <v>0.23678164386258982</v>
      </c>
      <c r="Z339" s="46">
        <f t="shared" si="1467"/>
        <v>3.209572056219745E-3</v>
      </c>
      <c r="AA339" s="46">
        <f t="shared" si="1468"/>
        <v>-8.3751575712943671E-3</v>
      </c>
      <c r="AB339" s="46">
        <f t="shared" si="1469"/>
        <v>-8.6860831853903253E-3</v>
      </c>
      <c r="AC339" s="46">
        <f t="shared" si="1470"/>
        <v>0.19455133504536004</v>
      </c>
      <c r="AD339" s="46">
        <f t="shared" si="1471"/>
        <v>-1.329229305251467E-2</v>
      </c>
      <c r="AE339" s="46">
        <f t="shared" si="1472"/>
        <v>0.10698093020207211</v>
      </c>
      <c r="AF339" s="46">
        <f t="shared" si="1472"/>
        <v>-8.1190284153910275E-3</v>
      </c>
      <c r="AG339" s="46">
        <f t="shared" si="1472"/>
        <v>8.1041718834931054E-3</v>
      </c>
      <c r="AH339" s="46">
        <f t="shared" si="1473"/>
        <v>-7.1790911660912116E-2</v>
      </c>
      <c r="AI339" s="46">
        <f t="shared" si="1474"/>
        <v>9.7516943718278792E-3</v>
      </c>
      <c r="AJ339" s="46">
        <f t="shared" si="1475"/>
        <v>-1.8605025581358015E-2</v>
      </c>
      <c r="AK339" s="46">
        <f t="shared" si="1476"/>
        <v>2.7867870039580467E-2</v>
      </c>
      <c r="AL339" s="46">
        <f t="shared" si="1477"/>
        <v>-3.7234236004364152E-2</v>
      </c>
      <c r="AM339" s="46">
        <f t="shared" si="1478"/>
        <v>5.5690908268033468E-2</v>
      </c>
      <c r="AQ339" s="173"/>
      <c r="AR339" s="173"/>
      <c r="AS339" s="173"/>
      <c r="AT339" s="173"/>
      <c r="AU339" s="173"/>
      <c r="AV339" s="173"/>
      <c r="AW339" s="173"/>
      <c r="AX339" s="173"/>
    </row>
    <row r="340" spans="2:50" ht="10.15" x14ac:dyDescent="0.2">
      <c r="B340" s="181"/>
    </row>
    <row r="341" spans="2:50" ht="10.15" x14ac:dyDescent="0.2">
      <c r="B341" s="24" t="s">
        <v>371</v>
      </c>
    </row>
    <row r="342" spans="2:50" ht="10.15" x14ac:dyDescent="0.2">
      <c r="B342" s="184" t="s">
        <v>226</v>
      </c>
      <c r="H342" s="186" t="str">
        <f t="shared" ref="H342:AE342" si="1480">+IFERROR(H162/(H$238*1000),"n/a")</f>
        <v>n/a</v>
      </c>
      <c r="I342" s="186" t="str">
        <f t="shared" si="1480"/>
        <v>n/a</v>
      </c>
      <c r="J342" s="186" t="str">
        <f t="shared" si="1480"/>
        <v>n/a</v>
      </c>
      <c r="K342" s="186" t="str">
        <f t="shared" si="1480"/>
        <v>n/a</v>
      </c>
      <c r="L342" s="186" t="str">
        <f t="shared" si="1480"/>
        <v>n/a</v>
      </c>
      <c r="M342" s="186" t="str">
        <f t="shared" si="1480"/>
        <v>n/a</v>
      </c>
      <c r="N342" s="186" t="str">
        <f t="shared" si="1480"/>
        <v>n/a</v>
      </c>
      <c r="O342" s="186" t="str">
        <f t="shared" si="1480"/>
        <v>n/a</v>
      </c>
      <c r="P342" s="186" t="str">
        <f t="shared" si="1480"/>
        <v>n/a</v>
      </c>
      <c r="Q342" s="186" t="str">
        <f t="shared" si="1480"/>
        <v>n/a</v>
      </c>
      <c r="R342" s="186" t="str">
        <f t="shared" si="1480"/>
        <v>n/a</v>
      </c>
      <c r="S342" s="186">
        <f t="shared" si="1480"/>
        <v>0</v>
      </c>
      <c r="T342" s="186">
        <f t="shared" si="1480"/>
        <v>0</v>
      </c>
      <c r="U342" s="186">
        <f t="shared" si="1480"/>
        <v>0</v>
      </c>
      <c r="V342" s="186">
        <f t="shared" si="1480"/>
        <v>0</v>
      </c>
      <c r="W342" s="186">
        <f t="shared" si="1480"/>
        <v>0</v>
      </c>
      <c r="X342" s="186">
        <f t="shared" si="1480"/>
        <v>0</v>
      </c>
      <c r="Y342" s="186">
        <f t="shared" si="1480"/>
        <v>0</v>
      </c>
      <c r="Z342" s="186">
        <f t="shared" si="1480"/>
        <v>0</v>
      </c>
      <c r="AA342" s="186">
        <f t="shared" si="1480"/>
        <v>0</v>
      </c>
      <c r="AB342" s="186">
        <f t="shared" si="1480"/>
        <v>0</v>
      </c>
      <c r="AC342" s="186">
        <f t="shared" si="1480"/>
        <v>0</v>
      </c>
      <c r="AD342" s="186">
        <f t="shared" si="1480"/>
        <v>0</v>
      </c>
      <c r="AE342" s="186">
        <f t="shared" si="1480"/>
        <v>0</v>
      </c>
      <c r="AF342" s="186">
        <f t="shared" ref="AF342:AG342" si="1481">+IFERROR(AF162/(AF$238*1000),"n/a")</f>
        <v>0</v>
      </c>
      <c r="AG342" s="186">
        <f t="shared" si="1481"/>
        <v>0</v>
      </c>
      <c r="AH342" s="186">
        <f t="shared" ref="AH342:AI342" si="1482">+IFERROR(AH162/(AH$238*1000),"n/a")</f>
        <v>0</v>
      </c>
      <c r="AI342" s="186">
        <f t="shared" si="1482"/>
        <v>0</v>
      </c>
      <c r="AJ342" s="186">
        <f t="shared" ref="AJ342:AM342" si="1483">+IFERROR(AJ162/(AJ$238*1000),"n/a")</f>
        <v>0</v>
      </c>
      <c r="AK342" s="186">
        <f t="shared" si="1483"/>
        <v>0</v>
      </c>
      <c r="AL342" s="186">
        <f t="shared" si="1483"/>
        <v>0</v>
      </c>
      <c r="AM342" s="186">
        <f t="shared" si="1483"/>
        <v>0</v>
      </c>
      <c r="AO342" s="186" t="str">
        <f t="shared" ref="AO342:AW342" si="1484">+IFERROR(AO162/(AO$238*1000),"n/a")</f>
        <v>n/a</v>
      </c>
      <c r="AP342" s="186" t="str">
        <f t="shared" si="1484"/>
        <v>n/a</v>
      </c>
      <c r="AQ342" s="186" t="str">
        <f t="shared" si="1484"/>
        <v>n/a</v>
      </c>
      <c r="AR342" s="186" t="str">
        <f t="shared" si="1484"/>
        <v>n/a</v>
      </c>
      <c r="AS342" s="186">
        <f t="shared" si="1484"/>
        <v>0</v>
      </c>
      <c r="AT342" s="186">
        <f t="shared" si="1484"/>
        <v>0</v>
      </c>
      <c r="AU342" s="186">
        <f t="shared" si="1484"/>
        <v>0</v>
      </c>
      <c r="AV342" s="186">
        <f t="shared" si="1484"/>
        <v>0</v>
      </c>
      <c r="AW342" s="186">
        <f t="shared" si="1484"/>
        <v>0</v>
      </c>
      <c r="AX342" s="186">
        <f t="shared" ref="AX342" si="1485">+IFERROR(AX162/(AX$238*1000),"n/a")</f>
        <v>0</v>
      </c>
    </row>
    <row r="343" spans="2:50" ht="12" x14ac:dyDescent="0.35">
      <c r="B343" s="184" t="s">
        <v>227</v>
      </c>
      <c r="H343" s="187" t="str">
        <f t="shared" ref="H343:AE343" si="1486">+IFERROR(H163/(H$238*1000),"n/a")</f>
        <v>n/a</v>
      </c>
      <c r="I343" s="187" t="str">
        <f t="shared" si="1486"/>
        <v>n/a</v>
      </c>
      <c r="J343" s="187" t="str">
        <f t="shared" si="1486"/>
        <v>n/a</v>
      </c>
      <c r="K343" s="187" t="str">
        <f t="shared" si="1486"/>
        <v>n/a</v>
      </c>
      <c r="L343" s="187" t="str">
        <f t="shared" si="1486"/>
        <v>n/a</v>
      </c>
      <c r="M343" s="187" t="str">
        <f t="shared" si="1486"/>
        <v>n/a</v>
      </c>
      <c r="N343" s="187" t="str">
        <f t="shared" si="1486"/>
        <v>n/a</v>
      </c>
      <c r="O343" s="187" t="str">
        <f t="shared" si="1486"/>
        <v>n/a</v>
      </c>
      <c r="P343" s="187" t="str">
        <f t="shared" si="1486"/>
        <v>n/a</v>
      </c>
      <c r="Q343" s="187" t="str">
        <f t="shared" si="1486"/>
        <v>n/a</v>
      </c>
      <c r="R343" s="187" t="str">
        <f t="shared" si="1486"/>
        <v>n/a</v>
      </c>
      <c r="S343" s="187">
        <f t="shared" si="1486"/>
        <v>0.14117647058823529</v>
      </c>
      <c r="T343" s="187">
        <f t="shared" si="1486"/>
        <v>0.14117647058823529</v>
      </c>
      <c r="U343" s="187">
        <f t="shared" si="1486"/>
        <v>0.14117647058823529</v>
      </c>
      <c r="V343" s="187">
        <f t="shared" si="1486"/>
        <v>0.14117647058823529</v>
      </c>
      <c r="W343" s="187">
        <f t="shared" si="1486"/>
        <v>0.14117647058823529</v>
      </c>
      <c r="X343" s="187">
        <f t="shared" si="1486"/>
        <v>0.13529411764705884</v>
      </c>
      <c r="Y343" s="187">
        <f t="shared" si="1486"/>
        <v>0.12470588235294118</v>
      </c>
      <c r="Z343" s="187">
        <f t="shared" si="1486"/>
        <v>0.13058823529411764</v>
      </c>
      <c r="AA343" s="187">
        <f t="shared" si="1486"/>
        <v>0.14000000000000001</v>
      </c>
      <c r="AB343" s="187">
        <f t="shared" si="1486"/>
        <v>0.16000000000000003</v>
      </c>
      <c r="AC343" s="187">
        <f t="shared" si="1486"/>
        <v>0.15058823529411763</v>
      </c>
      <c r="AD343" s="187">
        <f t="shared" si="1486"/>
        <v>0.15529411764705883</v>
      </c>
      <c r="AE343" s="187">
        <f t="shared" si="1486"/>
        <v>0.1588235294117647</v>
      </c>
      <c r="AF343" s="187">
        <f t="shared" ref="AF343:AG343" si="1487">+IFERROR(AF163/(AF$238*1000),"n/a")</f>
        <v>0.15882352941176472</v>
      </c>
      <c r="AG343" s="187">
        <f t="shared" si="1487"/>
        <v>0.15882352941176472</v>
      </c>
      <c r="AH343" s="187">
        <f t="shared" ref="AH343:AI343" si="1488">+IFERROR(AH163/(AH$238*1000),"n/a")</f>
        <v>0.15882352941176472</v>
      </c>
      <c r="AI343" s="187">
        <f t="shared" si="1488"/>
        <v>0.1588235294117647</v>
      </c>
      <c r="AJ343" s="187">
        <f t="shared" ref="AJ343:AM343" si="1489">+IFERROR(AJ163/(AJ$238*1000),"n/a")</f>
        <v>0.15882352941176472</v>
      </c>
      <c r="AK343" s="187">
        <f t="shared" si="1489"/>
        <v>0.15882352941176472</v>
      </c>
      <c r="AL343" s="187">
        <f t="shared" si="1489"/>
        <v>0.15882352941176472</v>
      </c>
      <c r="AM343" s="187">
        <f t="shared" si="1489"/>
        <v>0.15882352941176472</v>
      </c>
      <c r="AO343" s="187" t="str">
        <f t="shared" ref="AO343:AW343" si="1490">+IFERROR(AO163/(AO$238*1000),"n/a")</f>
        <v>n/a</v>
      </c>
      <c r="AP343" s="187" t="str">
        <f t="shared" si="1490"/>
        <v>n/a</v>
      </c>
      <c r="AQ343" s="187" t="str">
        <f t="shared" si="1490"/>
        <v>n/a</v>
      </c>
      <c r="AR343" s="187" t="str">
        <f t="shared" si="1490"/>
        <v>n/a</v>
      </c>
      <c r="AS343" s="187">
        <f t="shared" si="1490"/>
        <v>0.14117647058823529</v>
      </c>
      <c r="AT343" s="187">
        <f t="shared" si="1490"/>
        <v>0.14117647058823529</v>
      </c>
      <c r="AU343" s="187">
        <f t="shared" si="1490"/>
        <v>0.13264833021943592</v>
      </c>
      <c r="AV343" s="187">
        <f t="shared" si="1490"/>
        <v>0.15609339753227872</v>
      </c>
      <c r="AW343" s="187">
        <f t="shared" si="1490"/>
        <v>0.15882352941176472</v>
      </c>
      <c r="AX343" s="187">
        <f t="shared" ref="AX343" si="1491">+IFERROR(AX163/(AX$238*1000),"n/a")</f>
        <v>0.15882352941176472</v>
      </c>
    </row>
    <row r="344" spans="2:50" s="1" customFormat="1" ht="10.15" x14ac:dyDescent="0.2">
      <c r="B344" s="38" t="s">
        <v>389</v>
      </c>
      <c r="H344" s="185" t="str">
        <f t="shared" ref="H344:AE344" si="1492">+IFERROR(H164/(H$238*1000),"n/a")</f>
        <v>n/a</v>
      </c>
      <c r="I344" s="185" t="str">
        <f t="shared" si="1492"/>
        <v>n/a</v>
      </c>
      <c r="J344" s="185" t="str">
        <f t="shared" si="1492"/>
        <v>n/a</v>
      </c>
      <c r="K344" s="185" t="str">
        <f t="shared" si="1492"/>
        <v>n/a</v>
      </c>
      <c r="L344" s="185" t="str">
        <f t="shared" si="1492"/>
        <v>n/a</v>
      </c>
      <c r="M344" s="185" t="str">
        <f t="shared" si="1492"/>
        <v>n/a</v>
      </c>
      <c r="N344" s="185" t="str">
        <f t="shared" si="1492"/>
        <v>n/a</v>
      </c>
      <c r="O344" s="185" t="str">
        <f t="shared" si="1492"/>
        <v>n/a</v>
      </c>
      <c r="P344" s="185" t="str">
        <f t="shared" si="1492"/>
        <v>n/a</v>
      </c>
      <c r="Q344" s="185" t="str">
        <f t="shared" si="1492"/>
        <v>n/a</v>
      </c>
      <c r="R344" s="185" t="str">
        <f t="shared" si="1492"/>
        <v>n/a</v>
      </c>
      <c r="S344" s="185">
        <f t="shared" si="1492"/>
        <v>0.14117647058823529</v>
      </c>
      <c r="T344" s="185">
        <f t="shared" si="1492"/>
        <v>0.14117647058823529</v>
      </c>
      <c r="U344" s="185">
        <f t="shared" si="1492"/>
        <v>0.14117647058823529</v>
      </c>
      <c r="V344" s="185">
        <f t="shared" si="1492"/>
        <v>0.14117647058823529</v>
      </c>
      <c r="W344" s="185">
        <f t="shared" si="1492"/>
        <v>0.14117647058823529</v>
      </c>
      <c r="X344" s="185">
        <f t="shared" si="1492"/>
        <v>0.13529411764705884</v>
      </c>
      <c r="Y344" s="185">
        <f t="shared" si="1492"/>
        <v>0.12470588235294118</v>
      </c>
      <c r="Z344" s="185">
        <f t="shared" si="1492"/>
        <v>0.13058823529411764</v>
      </c>
      <c r="AA344" s="185">
        <f t="shared" si="1492"/>
        <v>0.14000000000000001</v>
      </c>
      <c r="AB344" s="185">
        <f t="shared" si="1492"/>
        <v>0.16000000000000003</v>
      </c>
      <c r="AC344" s="185">
        <f t="shared" si="1492"/>
        <v>0.15058823529411763</v>
      </c>
      <c r="AD344" s="185">
        <f t="shared" si="1492"/>
        <v>0.15529411764705883</v>
      </c>
      <c r="AE344" s="185">
        <f t="shared" si="1492"/>
        <v>0.1588235294117647</v>
      </c>
      <c r="AF344" s="185">
        <f t="shared" ref="AF344:AG344" si="1493">+IFERROR(AF164/(AF$238*1000),"n/a")</f>
        <v>0.15882352941176472</v>
      </c>
      <c r="AG344" s="185">
        <f t="shared" si="1493"/>
        <v>0.15882352941176472</v>
      </c>
      <c r="AH344" s="185">
        <f t="shared" ref="AH344:AI344" si="1494">+IFERROR(AH164/(AH$238*1000),"n/a")</f>
        <v>0.15882352941176472</v>
      </c>
      <c r="AI344" s="185">
        <f t="shared" si="1494"/>
        <v>0.1588235294117647</v>
      </c>
      <c r="AJ344" s="185">
        <f t="shared" ref="AJ344:AM344" si="1495">+IFERROR(AJ164/(AJ$238*1000),"n/a")</f>
        <v>0.15882352941176472</v>
      </c>
      <c r="AK344" s="185">
        <f t="shared" si="1495"/>
        <v>0.15882352941176472</v>
      </c>
      <c r="AL344" s="185">
        <f t="shared" si="1495"/>
        <v>0.15882352941176472</v>
      </c>
      <c r="AM344" s="185">
        <f t="shared" si="1495"/>
        <v>0.15882352941176472</v>
      </c>
      <c r="AO344" s="185" t="str">
        <f t="shared" ref="AO344:AW344" si="1496">+IFERROR(AO164/(AO$238*1000),"n/a")</f>
        <v>n/a</v>
      </c>
      <c r="AP344" s="185" t="str">
        <f t="shared" si="1496"/>
        <v>n/a</v>
      </c>
      <c r="AQ344" s="185" t="str">
        <f t="shared" si="1496"/>
        <v>n/a</v>
      </c>
      <c r="AR344" s="185" t="str">
        <f t="shared" si="1496"/>
        <v>n/a</v>
      </c>
      <c r="AS344" s="185">
        <f t="shared" si="1496"/>
        <v>0.14117647058823529</v>
      </c>
      <c r="AT344" s="185">
        <f t="shared" si="1496"/>
        <v>0.14117647058823529</v>
      </c>
      <c r="AU344" s="185">
        <f t="shared" si="1496"/>
        <v>0.13264833021943592</v>
      </c>
      <c r="AV344" s="185">
        <f t="shared" si="1496"/>
        <v>0.15609339753227872</v>
      </c>
      <c r="AW344" s="185">
        <f t="shared" si="1496"/>
        <v>0.15882352941176472</v>
      </c>
      <c r="AX344" s="185">
        <f t="shared" ref="AX344" si="1497">+IFERROR(AX164/(AX$238*1000),"n/a")</f>
        <v>0.15882352941176472</v>
      </c>
    </row>
    <row r="345" spans="2:50" s="1" customFormat="1" ht="10.15" x14ac:dyDescent="0.2">
      <c r="B345" s="3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c r="AH345" s="48"/>
      <c r="AI345" s="48"/>
      <c r="AJ345" s="48"/>
      <c r="AK345" s="48"/>
      <c r="AL345" s="48"/>
      <c r="AM345" s="48"/>
    </row>
    <row r="346" spans="2:50" s="1" customFormat="1" ht="10.15" x14ac:dyDescent="0.2">
      <c r="B346" s="19" t="s">
        <v>86</v>
      </c>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c r="AH346" s="48"/>
      <c r="AI346" s="48"/>
      <c r="AJ346" s="48"/>
      <c r="AK346" s="48"/>
      <c r="AL346" s="48"/>
      <c r="AM346" s="48"/>
    </row>
    <row r="347" spans="2:50" s="1" customFormat="1" ht="10.15" x14ac:dyDescent="0.2">
      <c r="B347" s="20" t="s">
        <v>226</v>
      </c>
      <c r="H347" s="48"/>
      <c r="I347" s="48"/>
      <c r="J347" s="48"/>
      <c r="K347" s="48"/>
      <c r="L347" s="173" t="str">
        <f>+IFERROR(L342/H342-1,"n/a")</f>
        <v>n/a</v>
      </c>
      <c r="M347" s="173" t="str">
        <f t="shared" ref="M347:M349" si="1498">+IFERROR(M342/I342-1,"n/a")</f>
        <v>n/a</v>
      </c>
      <c r="N347" s="173" t="str">
        <f t="shared" ref="N347:N349" si="1499">+IFERROR(N342/J342-1,"n/a")</f>
        <v>n/a</v>
      </c>
      <c r="O347" s="173" t="str">
        <f t="shared" ref="O347:O349" si="1500">+IFERROR(O342/K342-1,"n/a")</f>
        <v>n/a</v>
      </c>
      <c r="P347" s="173" t="str">
        <f t="shared" ref="P347:P349" si="1501">+IFERROR(P342/L342-1,"n/a")</f>
        <v>n/a</v>
      </c>
      <c r="Q347" s="173" t="str">
        <f t="shared" ref="Q347:Q349" si="1502">+IFERROR(Q342/M342-1,"n/a")</f>
        <v>n/a</v>
      </c>
      <c r="R347" s="173" t="str">
        <f t="shared" ref="R347:R349" si="1503">+IFERROR(R342/N342-1,"n/a")</f>
        <v>n/a</v>
      </c>
      <c r="S347" s="173" t="str">
        <f t="shared" ref="S347:S349" si="1504">+IFERROR(S342/O342-1,"n/a")</f>
        <v>n/a</v>
      </c>
      <c r="T347" s="173" t="str">
        <f t="shared" ref="T347:T349" si="1505">+IFERROR(T342/P342-1,"n/a")</f>
        <v>n/a</v>
      </c>
      <c r="U347" s="173" t="str">
        <f t="shared" ref="U347:U349" si="1506">+IFERROR(U342/Q342-1,"n/a")</f>
        <v>n/a</v>
      </c>
      <c r="V347" s="173" t="str">
        <f t="shared" ref="V347:V349" si="1507">+IFERROR(V342/R342-1,"n/a")</f>
        <v>n/a</v>
      </c>
      <c r="W347" s="173" t="str">
        <f t="shared" ref="W347:W349" si="1508">+IFERROR(W342/S342-1,"n/a")</f>
        <v>n/a</v>
      </c>
      <c r="X347" s="173" t="str">
        <f t="shared" ref="X347:X349" si="1509">+IFERROR(X342/T342-1,"n/a")</f>
        <v>n/a</v>
      </c>
      <c r="Y347" s="173" t="str">
        <f t="shared" ref="Y347:Y349" si="1510">+IFERROR(Y342/U342-1,"n/a")</f>
        <v>n/a</v>
      </c>
      <c r="Z347" s="173" t="str">
        <f t="shared" ref="Z347:Z349" si="1511">+IFERROR(Z342/V342-1,"n/a")</f>
        <v>n/a</v>
      </c>
      <c r="AA347" s="173" t="str">
        <f t="shared" ref="AA347:AA349" si="1512">+IFERROR(AA342/W342-1,"n/a")</f>
        <v>n/a</v>
      </c>
      <c r="AB347" s="173" t="str">
        <f t="shared" ref="AB347:AB349" si="1513">+IFERROR(AB342/X342-1,"n/a")</f>
        <v>n/a</v>
      </c>
      <c r="AC347" s="173" t="str">
        <f t="shared" ref="AC347:AC349" si="1514">+IFERROR(AC342/Y342-1,"n/a")</f>
        <v>n/a</v>
      </c>
      <c r="AD347" s="173" t="str">
        <f t="shared" ref="AD347:AD349" si="1515">+IFERROR(AD342/Z342-1,"n/a")</f>
        <v>n/a</v>
      </c>
      <c r="AE347" s="173" t="str">
        <f t="shared" ref="AE347:AG349" si="1516">+IFERROR(AE342/AA342-1,"n/a")</f>
        <v>n/a</v>
      </c>
      <c r="AF347" s="173" t="str">
        <f t="shared" si="1516"/>
        <v>n/a</v>
      </c>
      <c r="AG347" s="173" t="str">
        <f t="shared" si="1516"/>
        <v>n/a</v>
      </c>
      <c r="AH347" s="173" t="str">
        <f t="shared" ref="AH347:AH349" si="1517">+IFERROR(AH342/AD342-1,"n/a")</f>
        <v>n/a</v>
      </c>
      <c r="AI347" s="173" t="str">
        <f t="shared" ref="AI347:AI349" si="1518">+IFERROR(AI342/AE342-1,"n/a")</f>
        <v>n/a</v>
      </c>
      <c r="AJ347" s="173" t="str">
        <f t="shared" ref="AJ347:AJ349" si="1519">+IFERROR(AJ342/AF342-1,"n/a")</f>
        <v>n/a</v>
      </c>
      <c r="AK347" s="173" t="str">
        <f t="shared" ref="AK347:AK349" si="1520">+IFERROR(AK342/AG342-1,"n/a")</f>
        <v>n/a</v>
      </c>
      <c r="AL347" s="173" t="str">
        <f t="shared" ref="AL347:AL349" si="1521">+IFERROR(AL342/AH342-1,"n/a")</f>
        <v>n/a</v>
      </c>
      <c r="AM347" s="173" t="str">
        <f t="shared" ref="AM347:AM349" si="1522">+IFERROR(AM342/AI342-1,"n/a")</f>
        <v>n/a</v>
      </c>
      <c r="AP347" s="173" t="str">
        <f>+IFERROR(AP342/AO342-1,"n/a")</f>
        <v>n/a</v>
      </c>
      <c r="AQ347" s="173" t="str">
        <f t="shared" ref="AQ347:AV347" si="1523">+IFERROR(AQ342/AP342-1,"n/a")</f>
        <v>n/a</v>
      </c>
      <c r="AR347" s="173" t="str">
        <f t="shared" si="1523"/>
        <v>n/a</v>
      </c>
      <c r="AS347" s="173" t="str">
        <f t="shared" si="1523"/>
        <v>n/a</v>
      </c>
      <c r="AT347" s="173" t="str">
        <f t="shared" si="1523"/>
        <v>n/a</v>
      </c>
      <c r="AU347" s="173" t="str">
        <f t="shared" si="1523"/>
        <v>n/a</v>
      </c>
      <c r="AV347" s="173" t="str">
        <f t="shared" si="1523"/>
        <v>n/a</v>
      </c>
      <c r="AW347" s="173" t="str">
        <f t="shared" ref="AW347:AX347" si="1524">+IFERROR(AW342/AV342-1,"n/a")</f>
        <v>n/a</v>
      </c>
      <c r="AX347" s="173" t="str">
        <f t="shared" si="1524"/>
        <v>n/a</v>
      </c>
    </row>
    <row r="348" spans="2:50" s="1" customFormat="1" ht="12" x14ac:dyDescent="0.35">
      <c r="B348" s="20" t="s">
        <v>227</v>
      </c>
      <c r="H348" s="48"/>
      <c r="I348" s="48"/>
      <c r="J348" s="48"/>
      <c r="K348" s="48"/>
      <c r="L348" s="180" t="str">
        <f t="shared" ref="L348:L349" si="1525">+IFERROR(L343/H343-1,"n/a")</f>
        <v>n/a</v>
      </c>
      <c r="M348" s="180" t="str">
        <f t="shared" si="1498"/>
        <v>n/a</v>
      </c>
      <c r="N348" s="180" t="str">
        <f t="shared" si="1499"/>
        <v>n/a</v>
      </c>
      <c r="O348" s="180" t="str">
        <f t="shared" si="1500"/>
        <v>n/a</v>
      </c>
      <c r="P348" s="180" t="str">
        <f t="shared" si="1501"/>
        <v>n/a</v>
      </c>
      <c r="Q348" s="180" t="str">
        <f t="shared" si="1502"/>
        <v>n/a</v>
      </c>
      <c r="R348" s="180" t="str">
        <f t="shared" si="1503"/>
        <v>n/a</v>
      </c>
      <c r="S348" s="180" t="str">
        <f t="shared" si="1504"/>
        <v>n/a</v>
      </c>
      <c r="T348" s="180" t="str">
        <f t="shared" si="1505"/>
        <v>n/a</v>
      </c>
      <c r="U348" s="180" t="str">
        <f t="shared" si="1506"/>
        <v>n/a</v>
      </c>
      <c r="V348" s="180" t="str">
        <f t="shared" si="1507"/>
        <v>n/a</v>
      </c>
      <c r="W348" s="180">
        <f t="shared" si="1508"/>
        <v>0</v>
      </c>
      <c r="X348" s="180">
        <f t="shared" si="1509"/>
        <v>-4.1666666666666519E-2</v>
      </c>
      <c r="Y348" s="180">
        <f t="shared" si="1510"/>
        <v>-0.11666666666666659</v>
      </c>
      <c r="Z348" s="180">
        <f t="shared" si="1511"/>
        <v>-7.4999999999999956E-2</v>
      </c>
      <c r="AA348" s="180">
        <f t="shared" si="1512"/>
        <v>-8.3333333333331927E-3</v>
      </c>
      <c r="AB348" s="180">
        <f t="shared" si="1513"/>
        <v>0.18260869565217397</v>
      </c>
      <c r="AC348" s="180">
        <f t="shared" si="1514"/>
        <v>0.20754716981132071</v>
      </c>
      <c r="AD348" s="180">
        <f t="shared" si="1515"/>
        <v>0.18918918918918926</v>
      </c>
      <c r="AE348" s="180">
        <f t="shared" si="1516"/>
        <v>0.13445378151260479</v>
      </c>
      <c r="AF348" s="180">
        <f t="shared" si="1516"/>
        <v>-7.3529411764706731E-3</v>
      </c>
      <c r="AG348" s="180">
        <f t="shared" si="1516"/>
        <v>5.4687500000000222E-2</v>
      </c>
      <c r="AH348" s="180">
        <f t="shared" si="1517"/>
        <v>2.2727272727272707E-2</v>
      </c>
      <c r="AI348" s="180">
        <f t="shared" si="1518"/>
        <v>0</v>
      </c>
      <c r="AJ348" s="180">
        <f t="shared" si="1519"/>
        <v>0</v>
      </c>
      <c r="AK348" s="180">
        <f t="shared" si="1520"/>
        <v>0</v>
      </c>
      <c r="AL348" s="180">
        <f t="shared" si="1521"/>
        <v>0</v>
      </c>
      <c r="AM348" s="180">
        <f t="shared" si="1522"/>
        <v>2.2204460492503131E-16</v>
      </c>
      <c r="AP348" s="180" t="str">
        <f t="shared" ref="AP348:AV348" si="1526">+IFERROR(AP343/AO343-1,"n/a")</f>
        <v>n/a</v>
      </c>
      <c r="AQ348" s="180" t="str">
        <f t="shared" si="1526"/>
        <v>n/a</v>
      </c>
      <c r="AR348" s="180" t="str">
        <f t="shared" si="1526"/>
        <v>n/a</v>
      </c>
      <c r="AS348" s="180" t="str">
        <f t="shared" si="1526"/>
        <v>n/a</v>
      </c>
      <c r="AT348" s="180">
        <f t="shared" si="1526"/>
        <v>0</v>
      </c>
      <c r="AU348" s="180">
        <f t="shared" si="1526"/>
        <v>-6.0407660945662189E-2</v>
      </c>
      <c r="AV348" s="180">
        <f t="shared" si="1526"/>
        <v>0.1767460417636495</v>
      </c>
      <c r="AW348" s="180">
        <f t="shared" ref="AW348:AX348" si="1527">+IFERROR(AW343/AV343-1,"n/a")</f>
        <v>1.749037385723784E-2</v>
      </c>
      <c r="AX348" s="180">
        <f t="shared" si="1527"/>
        <v>0</v>
      </c>
    </row>
    <row r="349" spans="2:50" s="1" customFormat="1" ht="10.15" x14ac:dyDescent="0.2">
      <c r="B349" s="30" t="s">
        <v>389</v>
      </c>
      <c r="H349" s="48"/>
      <c r="I349" s="48"/>
      <c r="J349" s="48"/>
      <c r="K349" s="48"/>
      <c r="L349" s="173" t="str">
        <f t="shared" si="1525"/>
        <v>n/a</v>
      </c>
      <c r="M349" s="173" t="str">
        <f t="shared" si="1498"/>
        <v>n/a</v>
      </c>
      <c r="N349" s="173" t="str">
        <f t="shared" si="1499"/>
        <v>n/a</v>
      </c>
      <c r="O349" s="173" t="str">
        <f t="shared" si="1500"/>
        <v>n/a</v>
      </c>
      <c r="P349" s="173" t="str">
        <f t="shared" si="1501"/>
        <v>n/a</v>
      </c>
      <c r="Q349" s="173" t="str">
        <f t="shared" si="1502"/>
        <v>n/a</v>
      </c>
      <c r="R349" s="173" t="str">
        <f t="shared" si="1503"/>
        <v>n/a</v>
      </c>
      <c r="S349" s="173" t="str">
        <f t="shared" si="1504"/>
        <v>n/a</v>
      </c>
      <c r="T349" s="173" t="str">
        <f t="shared" si="1505"/>
        <v>n/a</v>
      </c>
      <c r="U349" s="173" t="str">
        <f t="shared" si="1506"/>
        <v>n/a</v>
      </c>
      <c r="V349" s="173" t="str">
        <f t="shared" si="1507"/>
        <v>n/a</v>
      </c>
      <c r="W349" s="173">
        <f t="shared" si="1508"/>
        <v>0</v>
      </c>
      <c r="X349" s="173">
        <f t="shared" si="1509"/>
        <v>-4.1666666666666519E-2</v>
      </c>
      <c r="Y349" s="173">
        <f t="shared" si="1510"/>
        <v>-0.11666666666666659</v>
      </c>
      <c r="Z349" s="173">
        <f t="shared" si="1511"/>
        <v>-7.4999999999999956E-2</v>
      </c>
      <c r="AA349" s="173">
        <f t="shared" si="1512"/>
        <v>-8.3333333333331927E-3</v>
      </c>
      <c r="AB349" s="173">
        <f t="shared" si="1513"/>
        <v>0.18260869565217397</v>
      </c>
      <c r="AC349" s="173">
        <f t="shared" si="1514"/>
        <v>0.20754716981132071</v>
      </c>
      <c r="AD349" s="173">
        <f t="shared" si="1515"/>
        <v>0.18918918918918926</v>
      </c>
      <c r="AE349" s="173">
        <f t="shared" si="1516"/>
        <v>0.13445378151260479</v>
      </c>
      <c r="AF349" s="173">
        <f t="shared" si="1516"/>
        <v>-7.3529411764706731E-3</v>
      </c>
      <c r="AG349" s="173">
        <f t="shared" si="1516"/>
        <v>5.4687500000000222E-2</v>
      </c>
      <c r="AH349" s="173">
        <f t="shared" si="1517"/>
        <v>2.2727272727272707E-2</v>
      </c>
      <c r="AI349" s="173">
        <f t="shared" si="1518"/>
        <v>0</v>
      </c>
      <c r="AJ349" s="173">
        <f t="shared" si="1519"/>
        <v>0</v>
      </c>
      <c r="AK349" s="173">
        <f t="shared" si="1520"/>
        <v>0</v>
      </c>
      <c r="AL349" s="173">
        <f t="shared" si="1521"/>
        <v>0</v>
      </c>
      <c r="AM349" s="173">
        <f t="shared" si="1522"/>
        <v>2.2204460492503131E-16</v>
      </c>
      <c r="AP349" s="173" t="str">
        <f t="shared" ref="AP349:AV349" si="1528">+IFERROR(AP344/AO344-1,"n/a")</f>
        <v>n/a</v>
      </c>
      <c r="AQ349" s="173" t="str">
        <f t="shared" si="1528"/>
        <v>n/a</v>
      </c>
      <c r="AR349" s="173" t="str">
        <f t="shared" si="1528"/>
        <v>n/a</v>
      </c>
      <c r="AS349" s="173" t="str">
        <f t="shared" si="1528"/>
        <v>n/a</v>
      </c>
      <c r="AT349" s="173">
        <f t="shared" si="1528"/>
        <v>0</v>
      </c>
      <c r="AU349" s="173">
        <f t="shared" si="1528"/>
        <v>-6.0407660945662189E-2</v>
      </c>
      <c r="AV349" s="173">
        <f t="shared" si="1528"/>
        <v>0.1767460417636495</v>
      </c>
      <c r="AW349" s="173">
        <f t="shared" ref="AW349:AX349" si="1529">+IFERROR(AW344/AV344-1,"n/a")</f>
        <v>1.749037385723784E-2</v>
      </c>
      <c r="AX349" s="173">
        <f t="shared" si="1529"/>
        <v>0</v>
      </c>
    </row>
    <row r="350" spans="2:50" s="1" customFormat="1" ht="10.15" x14ac:dyDescent="0.2">
      <c r="B350" s="30"/>
      <c r="H350" s="48"/>
      <c r="I350" s="48"/>
      <c r="J350" s="48"/>
      <c r="K350" s="48"/>
      <c r="L350" s="173"/>
      <c r="M350" s="173"/>
      <c r="N350" s="173"/>
      <c r="O350" s="173"/>
      <c r="P350" s="173"/>
      <c r="Q350" s="173"/>
      <c r="R350" s="173"/>
      <c r="S350" s="173"/>
      <c r="T350" s="173"/>
      <c r="U350" s="173"/>
      <c r="V350" s="173"/>
      <c r="W350" s="173"/>
      <c r="X350" s="173"/>
      <c r="Y350" s="173"/>
      <c r="Z350" s="173"/>
      <c r="AA350" s="173"/>
      <c r="AB350" s="173"/>
      <c r="AC350" s="173"/>
      <c r="AD350" s="173"/>
      <c r="AE350" s="173"/>
      <c r="AF350" s="173"/>
      <c r="AG350" s="173"/>
      <c r="AH350" s="173"/>
      <c r="AI350" s="173"/>
      <c r="AJ350" s="173"/>
      <c r="AK350" s="173"/>
      <c r="AL350" s="173"/>
      <c r="AM350" s="173"/>
      <c r="AP350" s="173"/>
      <c r="AQ350" s="173"/>
      <c r="AR350" s="173"/>
      <c r="AS350" s="173"/>
      <c r="AT350" s="173"/>
      <c r="AU350" s="173"/>
      <c r="AV350" s="173"/>
      <c r="AW350" s="173"/>
      <c r="AX350" s="173"/>
    </row>
    <row r="351" spans="2:50" s="1" customFormat="1" ht="10.15" x14ac:dyDescent="0.2">
      <c r="B351" s="19" t="s">
        <v>262</v>
      </c>
      <c r="H351" s="48"/>
      <c r="I351" s="48"/>
      <c r="J351" s="48"/>
      <c r="K351" s="48"/>
      <c r="L351" s="173"/>
      <c r="M351" s="173"/>
      <c r="N351" s="173"/>
      <c r="O351" s="173"/>
      <c r="P351" s="173"/>
      <c r="Q351" s="173"/>
      <c r="R351" s="173"/>
      <c r="S351" s="173"/>
      <c r="T351" s="173"/>
      <c r="U351" s="173"/>
      <c r="V351" s="173"/>
      <c r="W351" s="173"/>
      <c r="X351" s="173"/>
      <c r="Y351" s="173"/>
      <c r="Z351" s="173"/>
      <c r="AA351" s="173"/>
      <c r="AB351" s="173"/>
      <c r="AC351" s="173"/>
      <c r="AD351" s="173"/>
      <c r="AE351" s="173"/>
      <c r="AF351" s="173"/>
      <c r="AG351" s="173"/>
      <c r="AH351" s="173"/>
      <c r="AI351" s="173"/>
      <c r="AJ351" s="173"/>
      <c r="AK351" s="173"/>
      <c r="AL351" s="173"/>
      <c r="AM351" s="173"/>
      <c r="AP351" s="173"/>
      <c r="AQ351" s="173"/>
      <c r="AR351" s="173"/>
      <c r="AS351" s="173"/>
      <c r="AT351" s="173"/>
      <c r="AU351" s="173"/>
      <c r="AV351" s="173"/>
      <c r="AW351" s="173"/>
      <c r="AX351" s="173"/>
    </row>
    <row r="352" spans="2:50" s="1" customFormat="1" ht="10.15" x14ac:dyDescent="0.2">
      <c r="B352" s="20" t="s">
        <v>226</v>
      </c>
      <c r="H352" s="48"/>
      <c r="I352" s="173" t="str">
        <f>+IFERROR(I342/H342-1,"n/a")</f>
        <v>n/a</v>
      </c>
      <c r="J352" s="173" t="str">
        <f t="shared" ref="J352:AG352" si="1530">+IFERROR(J342/I342-1,"n/a")</f>
        <v>n/a</v>
      </c>
      <c r="K352" s="173" t="str">
        <f t="shared" si="1530"/>
        <v>n/a</v>
      </c>
      <c r="L352" s="173" t="str">
        <f t="shared" si="1530"/>
        <v>n/a</v>
      </c>
      <c r="M352" s="173" t="str">
        <f t="shared" si="1530"/>
        <v>n/a</v>
      </c>
      <c r="N352" s="173" t="str">
        <f t="shared" si="1530"/>
        <v>n/a</v>
      </c>
      <c r="O352" s="173" t="str">
        <f t="shared" si="1530"/>
        <v>n/a</v>
      </c>
      <c r="P352" s="173" t="str">
        <f t="shared" si="1530"/>
        <v>n/a</v>
      </c>
      <c r="Q352" s="173" t="str">
        <f t="shared" si="1530"/>
        <v>n/a</v>
      </c>
      <c r="R352" s="173" t="str">
        <f t="shared" si="1530"/>
        <v>n/a</v>
      </c>
      <c r="S352" s="173" t="str">
        <f t="shared" si="1530"/>
        <v>n/a</v>
      </c>
      <c r="T352" s="173" t="str">
        <f t="shared" si="1530"/>
        <v>n/a</v>
      </c>
      <c r="U352" s="173" t="str">
        <f t="shared" si="1530"/>
        <v>n/a</v>
      </c>
      <c r="V352" s="173" t="str">
        <f t="shared" si="1530"/>
        <v>n/a</v>
      </c>
      <c r="W352" s="173" t="str">
        <f t="shared" si="1530"/>
        <v>n/a</v>
      </c>
      <c r="X352" s="173" t="str">
        <f t="shared" si="1530"/>
        <v>n/a</v>
      </c>
      <c r="Y352" s="173" t="str">
        <f t="shared" si="1530"/>
        <v>n/a</v>
      </c>
      <c r="Z352" s="173" t="str">
        <f t="shared" si="1530"/>
        <v>n/a</v>
      </c>
      <c r="AA352" s="173" t="str">
        <f t="shared" si="1530"/>
        <v>n/a</v>
      </c>
      <c r="AB352" s="173" t="str">
        <f t="shared" si="1530"/>
        <v>n/a</v>
      </c>
      <c r="AC352" s="173" t="str">
        <f t="shared" si="1530"/>
        <v>n/a</v>
      </c>
      <c r="AD352" s="173" t="str">
        <f t="shared" si="1530"/>
        <v>n/a</v>
      </c>
      <c r="AE352" s="173" t="str">
        <f t="shared" si="1530"/>
        <v>n/a</v>
      </c>
      <c r="AF352" s="173" t="str">
        <f t="shared" si="1530"/>
        <v>n/a</v>
      </c>
      <c r="AG352" s="173" t="str">
        <f t="shared" si="1530"/>
        <v>n/a</v>
      </c>
      <c r="AH352" s="173" t="str">
        <f t="shared" ref="AH352:AI352" si="1531">+IFERROR(AH342/AG342-1,"n/a")</f>
        <v>n/a</v>
      </c>
      <c r="AI352" s="173" t="str">
        <f t="shared" si="1531"/>
        <v>n/a</v>
      </c>
      <c r="AJ352" s="173" t="str">
        <f t="shared" ref="AJ352:AJ354" si="1532">+IFERROR(AJ342/AI342-1,"n/a")</f>
        <v>n/a</v>
      </c>
      <c r="AK352" s="173" t="str">
        <f t="shared" ref="AK352:AK354" si="1533">+IFERROR(AK342/AJ342-1,"n/a")</f>
        <v>n/a</v>
      </c>
      <c r="AL352" s="173" t="str">
        <f t="shared" ref="AL352:AL354" si="1534">+IFERROR(AL342/AK342-1,"n/a")</f>
        <v>n/a</v>
      </c>
      <c r="AM352" s="173" t="str">
        <f t="shared" ref="AM352:AM354" si="1535">+IFERROR(AM342/AL342-1,"n/a")</f>
        <v>n/a</v>
      </c>
      <c r="AP352" s="173"/>
      <c r="AQ352" s="173"/>
      <c r="AR352" s="173"/>
      <c r="AS352" s="173"/>
      <c r="AT352" s="173"/>
      <c r="AU352" s="173"/>
      <c r="AV352" s="173"/>
      <c r="AW352" s="173"/>
      <c r="AX352" s="173"/>
    </row>
    <row r="353" spans="2:50" s="1" customFormat="1" ht="12" x14ac:dyDescent="0.35">
      <c r="B353" s="20" t="s">
        <v>227</v>
      </c>
      <c r="H353" s="48"/>
      <c r="I353" s="180" t="str">
        <f t="shared" ref="I353:AG353" si="1536">+IFERROR(I343/H343-1,"n/a")</f>
        <v>n/a</v>
      </c>
      <c r="J353" s="180" t="str">
        <f t="shared" si="1536"/>
        <v>n/a</v>
      </c>
      <c r="K353" s="180" t="str">
        <f t="shared" si="1536"/>
        <v>n/a</v>
      </c>
      <c r="L353" s="180" t="str">
        <f t="shared" si="1536"/>
        <v>n/a</v>
      </c>
      <c r="M353" s="180" t="str">
        <f t="shared" si="1536"/>
        <v>n/a</v>
      </c>
      <c r="N353" s="180" t="str">
        <f t="shared" si="1536"/>
        <v>n/a</v>
      </c>
      <c r="O353" s="180" t="str">
        <f t="shared" si="1536"/>
        <v>n/a</v>
      </c>
      <c r="P353" s="180" t="str">
        <f t="shared" si="1536"/>
        <v>n/a</v>
      </c>
      <c r="Q353" s="180" t="str">
        <f t="shared" si="1536"/>
        <v>n/a</v>
      </c>
      <c r="R353" s="180" t="str">
        <f t="shared" si="1536"/>
        <v>n/a</v>
      </c>
      <c r="S353" s="180" t="str">
        <f t="shared" si="1536"/>
        <v>n/a</v>
      </c>
      <c r="T353" s="180">
        <f t="shared" si="1536"/>
        <v>0</v>
      </c>
      <c r="U353" s="180">
        <f t="shared" si="1536"/>
        <v>0</v>
      </c>
      <c r="V353" s="180">
        <f t="shared" si="1536"/>
        <v>0</v>
      </c>
      <c r="W353" s="180">
        <f t="shared" si="1536"/>
        <v>0</v>
      </c>
      <c r="X353" s="180">
        <f t="shared" si="1536"/>
        <v>-4.1666666666666519E-2</v>
      </c>
      <c r="Y353" s="180">
        <f t="shared" si="1536"/>
        <v>-7.8260869565217495E-2</v>
      </c>
      <c r="Z353" s="180">
        <f t="shared" si="1536"/>
        <v>4.7169811320754595E-2</v>
      </c>
      <c r="AA353" s="180">
        <f t="shared" si="1536"/>
        <v>7.2072072072072224E-2</v>
      </c>
      <c r="AB353" s="180">
        <f t="shared" si="1536"/>
        <v>0.14285714285714302</v>
      </c>
      <c r="AC353" s="180">
        <f t="shared" si="1536"/>
        <v>-5.8823529411764941E-2</v>
      </c>
      <c r="AD353" s="180">
        <f t="shared" si="1536"/>
        <v>3.1250000000000222E-2</v>
      </c>
      <c r="AE353" s="180">
        <f t="shared" si="1536"/>
        <v>2.2727272727272707E-2</v>
      </c>
      <c r="AF353" s="180">
        <f t="shared" si="1536"/>
        <v>2.2204460492503131E-16</v>
      </c>
      <c r="AG353" s="180">
        <f t="shared" si="1536"/>
        <v>0</v>
      </c>
      <c r="AH353" s="180">
        <f t="shared" ref="AH353:AI353" si="1537">+IFERROR(AH343/AG343-1,"n/a")</f>
        <v>0</v>
      </c>
      <c r="AI353" s="180">
        <f t="shared" si="1537"/>
        <v>-2.2204460492503131E-16</v>
      </c>
      <c r="AJ353" s="180">
        <f t="shared" si="1532"/>
        <v>2.2204460492503131E-16</v>
      </c>
      <c r="AK353" s="180">
        <f t="shared" si="1533"/>
        <v>0</v>
      </c>
      <c r="AL353" s="180">
        <f t="shared" si="1534"/>
        <v>0</v>
      </c>
      <c r="AM353" s="180">
        <f t="shared" si="1535"/>
        <v>0</v>
      </c>
      <c r="AP353" s="173"/>
      <c r="AQ353" s="173"/>
      <c r="AR353" s="173"/>
      <c r="AS353" s="173"/>
      <c r="AT353" s="173"/>
      <c r="AU353" s="173"/>
      <c r="AV353" s="173"/>
      <c r="AW353" s="173"/>
      <c r="AX353" s="173"/>
    </row>
    <row r="354" spans="2:50" s="1" customFormat="1" ht="10.15" x14ac:dyDescent="0.2">
      <c r="B354" s="30" t="s">
        <v>389</v>
      </c>
      <c r="H354" s="48"/>
      <c r="I354" s="173" t="str">
        <f t="shared" ref="I354:AG354" si="1538">+IFERROR(I344/H344-1,"n/a")</f>
        <v>n/a</v>
      </c>
      <c r="J354" s="173" t="str">
        <f t="shared" si="1538"/>
        <v>n/a</v>
      </c>
      <c r="K354" s="173" t="str">
        <f t="shared" si="1538"/>
        <v>n/a</v>
      </c>
      <c r="L354" s="173" t="str">
        <f t="shared" si="1538"/>
        <v>n/a</v>
      </c>
      <c r="M354" s="173" t="str">
        <f t="shared" si="1538"/>
        <v>n/a</v>
      </c>
      <c r="N354" s="173" t="str">
        <f t="shared" si="1538"/>
        <v>n/a</v>
      </c>
      <c r="O354" s="173" t="str">
        <f t="shared" si="1538"/>
        <v>n/a</v>
      </c>
      <c r="P354" s="173" t="str">
        <f t="shared" si="1538"/>
        <v>n/a</v>
      </c>
      <c r="Q354" s="173" t="str">
        <f t="shared" si="1538"/>
        <v>n/a</v>
      </c>
      <c r="R354" s="173" t="str">
        <f t="shared" si="1538"/>
        <v>n/a</v>
      </c>
      <c r="S354" s="173" t="str">
        <f t="shared" si="1538"/>
        <v>n/a</v>
      </c>
      <c r="T354" s="173">
        <f t="shared" si="1538"/>
        <v>0</v>
      </c>
      <c r="U354" s="173">
        <f t="shared" si="1538"/>
        <v>0</v>
      </c>
      <c r="V354" s="173">
        <f t="shared" si="1538"/>
        <v>0</v>
      </c>
      <c r="W354" s="173">
        <f t="shared" si="1538"/>
        <v>0</v>
      </c>
      <c r="X354" s="173">
        <f t="shared" si="1538"/>
        <v>-4.1666666666666519E-2</v>
      </c>
      <c r="Y354" s="173">
        <f t="shared" si="1538"/>
        <v>-7.8260869565217495E-2</v>
      </c>
      <c r="Z354" s="173">
        <f t="shared" si="1538"/>
        <v>4.7169811320754595E-2</v>
      </c>
      <c r="AA354" s="173">
        <f t="shared" si="1538"/>
        <v>7.2072072072072224E-2</v>
      </c>
      <c r="AB354" s="173">
        <f t="shared" si="1538"/>
        <v>0.14285714285714302</v>
      </c>
      <c r="AC354" s="173">
        <f t="shared" si="1538"/>
        <v>-5.8823529411764941E-2</v>
      </c>
      <c r="AD354" s="173">
        <f t="shared" si="1538"/>
        <v>3.1250000000000222E-2</v>
      </c>
      <c r="AE354" s="173">
        <f t="shared" si="1538"/>
        <v>2.2727272727272707E-2</v>
      </c>
      <c r="AF354" s="173">
        <f t="shared" si="1538"/>
        <v>2.2204460492503131E-16</v>
      </c>
      <c r="AG354" s="173">
        <f t="shared" si="1538"/>
        <v>0</v>
      </c>
      <c r="AH354" s="173">
        <f t="shared" ref="AH354:AI354" si="1539">+IFERROR(AH344/AG344-1,"n/a")</f>
        <v>0</v>
      </c>
      <c r="AI354" s="173">
        <f t="shared" si="1539"/>
        <v>-2.2204460492503131E-16</v>
      </c>
      <c r="AJ354" s="173">
        <f t="shared" si="1532"/>
        <v>2.2204460492503131E-16</v>
      </c>
      <c r="AK354" s="173">
        <f t="shared" si="1533"/>
        <v>0</v>
      </c>
      <c r="AL354" s="173">
        <f t="shared" si="1534"/>
        <v>0</v>
      </c>
      <c r="AM354" s="173">
        <f t="shared" si="1535"/>
        <v>0</v>
      </c>
      <c r="AP354" s="173"/>
      <c r="AQ354" s="173"/>
      <c r="AR354" s="173"/>
      <c r="AS354" s="173"/>
      <c r="AT354" s="173"/>
      <c r="AU354" s="173"/>
      <c r="AV354" s="173"/>
      <c r="AW354" s="173"/>
      <c r="AX354" s="173"/>
    </row>
    <row r="356" spans="2:50" ht="10.15" x14ac:dyDescent="0.2">
      <c r="B356" s="24" t="s">
        <v>372</v>
      </c>
    </row>
    <row r="357" spans="2:50" ht="10.15" x14ac:dyDescent="0.2">
      <c r="B357" s="184" t="s">
        <v>226</v>
      </c>
      <c r="H357" s="186" t="str">
        <f t="shared" ref="H357:AE357" si="1540">+IFERROR(H177/(H$240*1000),"n/a")</f>
        <v>n/a</v>
      </c>
      <c r="I357" s="186" t="str">
        <f t="shared" si="1540"/>
        <v>n/a</v>
      </c>
      <c r="J357" s="186" t="str">
        <f t="shared" si="1540"/>
        <v>n/a</v>
      </c>
      <c r="K357" s="186" t="str">
        <f t="shared" si="1540"/>
        <v>n/a</v>
      </c>
      <c r="L357" s="186" t="str">
        <f t="shared" si="1540"/>
        <v>n/a</v>
      </c>
      <c r="M357" s="186" t="str">
        <f t="shared" si="1540"/>
        <v>n/a</v>
      </c>
      <c r="N357" s="186" t="str">
        <f t="shared" si="1540"/>
        <v>n/a</v>
      </c>
      <c r="O357" s="186" t="str">
        <f t="shared" si="1540"/>
        <v>n/a</v>
      </c>
      <c r="P357" s="186" t="str">
        <f t="shared" si="1540"/>
        <v>n/a</v>
      </c>
      <c r="Q357" s="186" t="str">
        <f t="shared" si="1540"/>
        <v>n/a</v>
      </c>
      <c r="R357" s="186" t="str">
        <f t="shared" si="1540"/>
        <v>n/a</v>
      </c>
      <c r="S357" s="186" t="str">
        <f t="shared" si="1540"/>
        <v>n/a</v>
      </c>
      <c r="T357" s="186" t="str">
        <f t="shared" si="1540"/>
        <v>n/a</v>
      </c>
      <c r="U357" s="186" t="str">
        <f t="shared" si="1540"/>
        <v>n/a</v>
      </c>
      <c r="V357" s="186" t="str">
        <f t="shared" si="1540"/>
        <v>n/a</v>
      </c>
      <c r="W357" s="186" t="str">
        <f t="shared" si="1540"/>
        <v>n/a</v>
      </c>
      <c r="X357" s="186" t="str">
        <f t="shared" si="1540"/>
        <v>n/a</v>
      </c>
      <c r="Y357" s="186" t="str">
        <f t="shared" si="1540"/>
        <v>n/a</v>
      </c>
      <c r="Z357" s="186">
        <f t="shared" si="1540"/>
        <v>0</v>
      </c>
      <c r="AA357" s="186">
        <f t="shared" si="1540"/>
        <v>0</v>
      </c>
      <c r="AB357" s="186">
        <f t="shared" si="1540"/>
        <v>0</v>
      </c>
      <c r="AC357" s="186">
        <f t="shared" si="1540"/>
        <v>0</v>
      </c>
      <c r="AD357" s="186">
        <f t="shared" si="1540"/>
        <v>0</v>
      </c>
      <c r="AE357" s="186">
        <f t="shared" si="1540"/>
        <v>0</v>
      </c>
      <c r="AF357" s="186">
        <f t="shared" ref="AF357:AG357" si="1541">+IFERROR(AF177/(AF$240*1000),"n/a")</f>
        <v>0</v>
      </c>
      <c r="AG357" s="186">
        <f t="shared" si="1541"/>
        <v>0</v>
      </c>
      <c r="AH357" s="186">
        <f t="shared" ref="AH357:AI357" si="1542">+IFERROR(AH177/(AH$240*1000),"n/a")</f>
        <v>0</v>
      </c>
      <c r="AI357" s="186">
        <f t="shared" si="1542"/>
        <v>0</v>
      </c>
      <c r="AJ357" s="186">
        <f t="shared" ref="AJ357:AM357" si="1543">+IFERROR(AJ177/(AJ$240*1000),"n/a")</f>
        <v>0</v>
      </c>
      <c r="AK357" s="186">
        <f t="shared" si="1543"/>
        <v>0</v>
      </c>
      <c r="AL357" s="186">
        <f t="shared" si="1543"/>
        <v>0</v>
      </c>
      <c r="AM357" s="186">
        <f t="shared" si="1543"/>
        <v>0</v>
      </c>
      <c r="AO357" s="186" t="str">
        <f t="shared" ref="AO357:AW357" si="1544">+IFERROR(AO177/(AO$240*1000),"n/a")</f>
        <v>n/a</v>
      </c>
      <c r="AP357" s="186" t="str">
        <f t="shared" si="1544"/>
        <v>n/a</v>
      </c>
      <c r="AQ357" s="186" t="str">
        <f t="shared" si="1544"/>
        <v>n/a</v>
      </c>
      <c r="AR357" s="186" t="str">
        <f t="shared" si="1544"/>
        <v>n/a</v>
      </c>
      <c r="AS357" s="186" t="str">
        <f t="shared" si="1544"/>
        <v>n/a</v>
      </c>
      <c r="AT357" s="186" t="str">
        <f t="shared" si="1544"/>
        <v>n/a</v>
      </c>
      <c r="AU357" s="186">
        <f t="shared" si="1544"/>
        <v>0</v>
      </c>
      <c r="AV357" s="186">
        <f t="shared" si="1544"/>
        <v>0</v>
      </c>
      <c r="AW357" s="186">
        <f t="shared" si="1544"/>
        <v>0</v>
      </c>
      <c r="AX357" s="186">
        <f t="shared" ref="AX357" si="1545">+IFERROR(AX177/(AX$240*1000),"n/a")</f>
        <v>0</v>
      </c>
    </row>
    <row r="358" spans="2:50" ht="12" x14ac:dyDescent="0.35">
      <c r="B358" s="184" t="s">
        <v>227</v>
      </c>
      <c r="H358" s="187" t="str">
        <f t="shared" ref="H358:AE358" si="1546">+IFERROR(H178/(H$240*1000),"n/a")</f>
        <v>n/a</v>
      </c>
      <c r="I358" s="187" t="str">
        <f t="shared" si="1546"/>
        <v>n/a</v>
      </c>
      <c r="J358" s="187" t="str">
        <f t="shared" si="1546"/>
        <v>n/a</v>
      </c>
      <c r="K358" s="187" t="str">
        <f t="shared" si="1546"/>
        <v>n/a</v>
      </c>
      <c r="L358" s="187" t="str">
        <f t="shared" si="1546"/>
        <v>n/a</v>
      </c>
      <c r="M358" s="187" t="str">
        <f t="shared" si="1546"/>
        <v>n/a</v>
      </c>
      <c r="N358" s="187" t="str">
        <f t="shared" si="1546"/>
        <v>n/a</v>
      </c>
      <c r="O358" s="187" t="str">
        <f t="shared" si="1546"/>
        <v>n/a</v>
      </c>
      <c r="P358" s="187" t="str">
        <f t="shared" si="1546"/>
        <v>n/a</v>
      </c>
      <c r="Q358" s="187" t="str">
        <f t="shared" si="1546"/>
        <v>n/a</v>
      </c>
      <c r="R358" s="187" t="str">
        <f t="shared" si="1546"/>
        <v>n/a</v>
      </c>
      <c r="S358" s="187" t="str">
        <f t="shared" si="1546"/>
        <v>n/a</v>
      </c>
      <c r="T358" s="187" t="str">
        <f t="shared" si="1546"/>
        <v>n/a</v>
      </c>
      <c r="U358" s="187" t="str">
        <f t="shared" si="1546"/>
        <v>n/a</v>
      </c>
      <c r="V358" s="187" t="str">
        <f t="shared" si="1546"/>
        <v>n/a</v>
      </c>
      <c r="W358" s="187" t="str">
        <f t="shared" si="1546"/>
        <v>n/a</v>
      </c>
      <c r="X358" s="187" t="str">
        <f t="shared" si="1546"/>
        <v>n/a</v>
      </c>
      <c r="Y358" s="187" t="str">
        <f t="shared" si="1546"/>
        <v>n/a</v>
      </c>
      <c r="Z358" s="187">
        <f t="shared" si="1546"/>
        <v>0</v>
      </c>
      <c r="AA358" s="187">
        <f t="shared" si="1546"/>
        <v>0.24779300363015813</v>
      </c>
      <c r="AB358" s="187">
        <f t="shared" si="1546"/>
        <v>0.2932234691695112</v>
      </c>
      <c r="AC358" s="187">
        <f t="shared" si="1546"/>
        <v>0.26043384234753264</v>
      </c>
      <c r="AD358" s="187">
        <f t="shared" si="1546"/>
        <v>0.53175261190861689</v>
      </c>
      <c r="AE358" s="187">
        <f t="shared" si="1546"/>
        <v>0.52941176470588247</v>
      </c>
      <c r="AF358" s="187">
        <f t="shared" ref="AF358:AG358" si="1547">+IFERROR(AF178/(AF$240*1000),"n/a")</f>
        <v>0.58823529411764697</v>
      </c>
      <c r="AG358" s="187">
        <f t="shared" si="1547"/>
        <v>0.52941176470588236</v>
      </c>
      <c r="AH358" s="187">
        <f t="shared" ref="AH358:AI358" si="1548">+IFERROR(AH178/(AH$240*1000),"n/a")</f>
        <v>0.52941176470588247</v>
      </c>
      <c r="AI358" s="187">
        <f t="shared" si="1548"/>
        <v>0.52941176470588236</v>
      </c>
      <c r="AJ358" s="187">
        <f t="shared" ref="AJ358:AM358" si="1549">+IFERROR(AJ178/(AJ$240*1000),"n/a")</f>
        <v>0.52941176470588247</v>
      </c>
      <c r="AK358" s="187">
        <f t="shared" si="1549"/>
        <v>0.52941176470588247</v>
      </c>
      <c r="AL358" s="187">
        <f t="shared" si="1549"/>
        <v>0.52941176470588236</v>
      </c>
      <c r="AM358" s="187">
        <f t="shared" si="1549"/>
        <v>0.52941176470588236</v>
      </c>
      <c r="AO358" s="187" t="str">
        <f t="shared" ref="AO358:AW358" si="1550">+IFERROR(AO178/(AO$240*1000),"n/a")</f>
        <v>n/a</v>
      </c>
      <c r="AP358" s="187" t="str">
        <f t="shared" si="1550"/>
        <v>n/a</v>
      </c>
      <c r="AQ358" s="187" t="str">
        <f t="shared" si="1550"/>
        <v>n/a</v>
      </c>
      <c r="AR358" s="187" t="str">
        <f t="shared" si="1550"/>
        <v>n/a</v>
      </c>
      <c r="AS358" s="187" t="str">
        <f t="shared" si="1550"/>
        <v>n/a</v>
      </c>
      <c r="AT358" s="187" t="str">
        <f t="shared" si="1550"/>
        <v>n/a</v>
      </c>
      <c r="AU358" s="187">
        <f t="shared" si="1550"/>
        <v>0.24461995011810875</v>
      </c>
      <c r="AV358" s="187">
        <f t="shared" si="1550"/>
        <v>0.47655873142143118</v>
      </c>
      <c r="AW358" s="187">
        <f t="shared" si="1550"/>
        <v>0.54140547757375301</v>
      </c>
      <c r="AX358" s="187">
        <f t="shared" ref="AX358" si="1551">+IFERROR(AX178/(AX$240*1000),"n/a")</f>
        <v>0.52941176470588247</v>
      </c>
    </row>
    <row r="359" spans="2:50" s="1" customFormat="1" ht="10.15" x14ac:dyDescent="0.2">
      <c r="B359" s="38" t="s">
        <v>390</v>
      </c>
      <c r="H359" s="185" t="str">
        <f t="shared" ref="H359:AE359" si="1552">+IFERROR(H179/(H$240*1000),"n/a")</f>
        <v>n/a</v>
      </c>
      <c r="I359" s="185" t="str">
        <f t="shared" si="1552"/>
        <v>n/a</v>
      </c>
      <c r="J359" s="185" t="str">
        <f t="shared" si="1552"/>
        <v>n/a</v>
      </c>
      <c r="K359" s="185" t="str">
        <f t="shared" si="1552"/>
        <v>n/a</v>
      </c>
      <c r="L359" s="185" t="str">
        <f t="shared" si="1552"/>
        <v>n/a</v>
      </c>
      <c r="M359" s="185" t="str">
        <f t="shared" si="1552"/>
        <v>n/a</v>
      </c>
      <c r="N359" s="185" t="str">
        <f t="shared" si="1552"/>
        <v>n/a</v>
      </c>
      <c r="O359" s="185" t="str">
        <f t="shared" si="1552"/>
        <v>n/a</v>
      </c>
      <c r="P359" s="185" t="str">
        <f t="shared" si="1552"/>
        <v>n/a</v>
      </c>
      <c r="Q359" s="185" t="str">
        <f t="shared" si="1552"/>
        <v>n/a</v>
      </c>
      <c r="R359" s="185" t="str">
        <f t="shared" si="1552"/>
        <v>n/a</v>
      </c>
      <c r="S359" s="185" t="str">
        <f t="shared" si="1552"/>
        <v>n/a</v>
      </c>
      <c r="T359" s="185" t="str">
        <f t="shared" si="1552"/>
        <v>n/a</v>
      </c>
      <c r="U359" s="185" t="str">
        <f t="shared" si="1552"/>
        <v>n/a</v>
      </c>
      <c r="V359" s="185" t="str">
        <f t="shared" si="1552"/>
        <v>n/a</v>
      </c>
      <c r="W359" s="185" t="str">
        <f t="shared" si="1552"/>
        <v>n/a</v>
      </c>
      <c r="X359" s="185" t="str">
        <f t="shared" si="1552"/>
        <v>n/a</v>
      </c>
      <c r="Y359" s="185" t="str">
        <f t="shared" si="1552"/>
        <v>n/a</v>
      </c>
      <c r="Z359" s="185">
        <f t="shared" si="1552"/>
        <v>0</v>
      </c>
      <c r="AA359" s="185">
        <f t="shared" si="1552"/>
        <v>0.24779300363015813</v>
      </c>
      <c r="AB359" s="185">
        <f t="shared" si="1552"/>
        <v>0.2932234691695112</v>
      </c>
      <c r="AC359" s="185">
        <f t="shared" si="1552"/>
        <v>0.26043384234753264</v>
      </c>
      <c r="AD359" s="185">
        <f t="shared" si="1552"/>
        <v>0.53175261190861689</v>
      </c>
      <c r="AE359" s="185">
        <f t="shared" si="1552"/>
        <v>0.52941176470588247</v>
      </c>
      <c r="AF359" s="185">
        <f t="shared" ref="AF359:AG359" si="1553">+IFERROR(AF179/(AF$240*1000),"n/a")</f>
        <v>0.58823529411764697</v>
      </c>
      <c r="AG359" s="185">
        <f t="shared" si="1553"/>
        <v>0.52941176470588236</v>
      </c>
      <c r="AH359" s="185">
        <f t="shared" ref="AH359:AI359" si="1554">+IFERROR(AH179/(AH$240*1000),"n/a")</f>
        <v>0.52941176470588247</v>
      </c>
      <c r="AI359" s="185">
        <f t="shared" si="1554"/>
        <v>0.52941176470588236</v>
      </c>
      <c r="AJ359" s="185">
        <f t="shared" ref="AJ359:AM359" si="1555">+IFERROR(AJ179/(AJ$240*1000),"n/a")</f>
        <v>0.52941176470588247</v>
      </c>
      <c r="AK359" s="185">
        <f t="shared" si="1555"/>
        <v>0.52941176470588247</v>
      </c>
      <c r="AL359" s="185">
        <f t="shared" si="1555"/>
        <v>0.52941176470588236</v>
      </c>
      <c r="AM359" s="185">
        <f t="shared" si="1555"/>
        <v>0.52941176470588236</v>
      </c>
      <c r="AO359" s="185" t="str">
        <f t="shared" ref="AO359:AW359" si="1556">+IFERROR(AO179/(AO$240*1000),"n/a")</f>
        <v>n/a</v>
      </c>
      <c r="AP359" s="185" t="str">
        <f t="shared" si="1556"/>
        <v>n/a</v>
      </c>
      <c r="AQ359" s="185" t="str">
        <f t="shared" si="1556"/>
        <v>n/a</v>
      </c>
      <c r="AR359" s="185" t="str">
        <f t="shared" si="1556"/>
        <v>n/a</v>
      </c>
      <c r="AS359" s="185" t="str">
        <f t="shared" si="1556"/>
        <v>n/a</v>
      </c>
      <c r="AT359" s="185" t="str">
        <f t="shared" si="1556"/>
        <v>n/a</v>
      </c>
      <c r="AU359" s="185">
        <f t="shared" si="1556"/>
        <v>0.24461995011810875</v>
      </c>
      <c r="AV359" s="185">
        <f t="shared" si="1556"/>
        <v>0.47655873142143118</v>
      </c>
      <c r="AW359" s="185">
        <f t="shared" si="1556"/>
        <v>0.54140547757375301</v>
      </c>
      <c r="AX359" s="185">
        <f t="shared" ref="AX359" si="1557">+IFERROR(AX179/(AX$240*1000),"n/a")</f>
        <v>0.52941176470588247</v>
      </c>
    </row>
    <row r="360" spans="2:50" s="1" customFormat="1" ht="10.15" x14ac:dyDescent="0.2">
      <c r="B360" s="3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c r="AH360" s="48"/>
      <c r="AI360" s="48"/>
      <c r="AJ360" s="48"/>
      <c r="AK360" s="48"/>
      <c r="AL360" s="48"/>
      <c r="AM360" s="48"/>
    </row>
    <row r="361" spans="2:50" s="1" customFormat="1" ht="10.15" x14ac:dyDescent="0.2">
      <c r="B361" s="19" t="s">
        <v>86</v>
      </c>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c r="AH361" s="48"/>
      <c r="AI361" s="48"/>
      <c r="AJ361" s="48"/>
      <c r="AK361" s="48"/>
      <c r="AL361" s="48"/>
      <c r="AM361" s="48"/>
    </row>
    <row r="362" spans="2:50" s="1" customFormat="1" ht="10.15" x14ac:dyDescent="0.2">
      <c r="B362" s="20" t="s">
        <v>226</v>
      </c>
      <c r="H362" s="48"/>
      <c r="I362" s="48"/>
      <c r="J362" s="48"/>
      <c r="K362" s="48"/>
      <c r="L362" s="173" t="str">
        <f>+IFERROR(L357/H357-1,"n/a")</f>
        <v>n/a</v>
      </c>
      <c r="M362" s="173" t="str">
        <f t="shared" ref="M362:M364" si="1558">+IFERROR(M357/I357-1,"n/a")</f>
        <v>n/a</v>
      </c>
      <c r="N362" s="173" t="str">
        <f t="shared" ref="N362:N364" si="1559">+IFERROR(N357/J357-1,"n/a")</f>
        <v>n/a</v>
      </c>
      <c r="O362" s="173" t="str">
        <f t="shared" ref="O362:O364" si="1560">+IFERROR(O357/K357-1,"n/a")</f>
        <v>n/a</v>
      </c>
      <c r="P362" s="173" t="str">
        <f t="shared" ref="P362:P364" si="1561">+IFERROR(P357/L357-1,"n/a")</f>
        <v>n/a</v>
      </c>
      <c r="Q362" s="173" t="str">
        <f t="shared" ref="Q362:Q364" si="1562">+IFERROR(Q357/M357-1,"n/a")</f>
        <v>n/a</v>
      </c>
      <c r="R362" s="173" t="str">
        <f t="shared" ref="R362:R364" si="1563">+IFERROR(R357/N357-1,"n/a")</f>
        <v>n/a</v>
      </c>
      <c r="S362" s="173" t="str">
        <f t="shared" ref="S362:S364" si="1564">+IFERROR(S357/O357-1,"n/a")</f>
        <v>n/a</v>
      </c>
      <c r="T362" s="173" t="str">
        <f t="shared" ref="T362:T364" si="1565">+IFERROR(T357/P357-1,"n/a")</f>
        <v>n/a</v>
      </c>
      <c r="U362" s="173" t="str">
        <f t="shared" ref="U362:U364" si="1566">+IFERROR(U357/Q357-1,"n/a")</f>
        <v>n/a</v>
      </c>
      <c r="V362" s="173" t="str">
        <f t="shared" ref="V362:V364" si="1567">+IFERROR(V357/R357-1,"n/a")</f>
        <v>n/a</v>
      </c>
      <c r="W362" s="173" t="str">
        <f t="shared" ref="W362:W364" si="1568">+IFERROR(W357/S357-1,"n/a")</f>
        <v>n/a</v>
      </c>
      <c r="X362" s="173" t="str">
        <f t="shared" ref="X362:X364" si="1569">+IFERROR(X357/T357-1,"n/a")</f>
        <v>n/a</v>
      </c>
      <c r="Y362" s="173" t="str">
        <f t="shared" ref="Y362:Y364" si="1570">+IFERROR(Y357/U357-1,"n/a")</f>
        <v>n/a</v>
      </c>
      <c r="Z362" s="173" t="str">
        <f t="shared" ref="Z362:Z364" si="1571">+IFERROR(Z357/V357-1,"n/a")</f>
        <v>n/a</v>
      </c>
      <c r="AA362" s="173" t="str">
        <f t="shared" ref="AA362:AA364" si="1572">+IFERROR(AA357/W357-1,"n/a")</f>
        <v>n/a</v>
      </c>
      <c r="AB362" s="173" t="str">
        <f t="shared" ref="AB362:AB364" si="1573">+IFERROR(AB357/X357-1,"n/a")</f>
        <v>n/a</v>
      </c>
      <c r="AC362" s="173" t="str">
        <f t="shared" ref="AC362:AC364" si="1574">+IFERROR(AC357/Y357-1,"n/a")</f>
        <v>n/a</v>
      </c>
      <c r="AD362" s="173" t="str">
        <f t="shared" ref="AD362:AD364" si="1575">+IFERROR(AD357/Z357-1,"n/a")</f>
        <v>n/a</v>
      </c>
      <c r="AE362" s="173" t="str">
        <f t="shared" ref="AE362:AG364" si="1576">+IFERROR(AE357/AA357-1,"n/a")</f>
        <v>n/a</v>
      </c>
      <c r="AF362" s="173" t="str">
        <f t="shared" si="1576"/>
        <v>n/a</v>
      </c>
      <c r="AG362" s="173" t="str">
        <f t="shared" si="1576"/>
        <v>n/a</v>
      </c>
      <c r="AH362" s="173" t="str">
        <f t="shared" ref="AH362:AH364" si="1577">+IFERROR(AH357/AD357-1,"n/a")</f>
        <v>n/a</v>
      </c>
      <c r="AI362" s="173" t="str">
        <f t="shared" ref="AI362:AI364" si="1578">+IFERROR(AI357/AE357-1,"n/a")</f>
        <v>n/a</v>
      </c>
      <c r="AJ362" s="173" t="str">
        <f t="shared" ref="AJ362:AJ364" si="1579">+IFERROR(AJ357/AF357-1,"n/a")</f>
        <v>n/a</v>
      </c>
      <c r="AK362" s="173" t="str">
        <f t="shared" ref="AK362:AK364" si="1580">+IFERROR(AK357/AG357-1,"n/a")</f>
        <v>n/a</v>
      </c>
      <c r="AL362" s="173" t="str">
        <f t="shared" ref="AL362:AL364" si="1581">+IFERROR(AL357/AH357-1,"n/a")</f>
        <v>n/a</v>
      </c>
      <c r="AM362" s="173" t="str">
        <f t="shared" ref="AM362:AM364" si="1582">+IFERROR(AM357/AI357-1,"n/a")</f>
        <v>n/a</v>
      </c>
      <c r="AP362" s="173" t="str">
        <f>+IFERROR(AP357/AO357-1,"n/a")</f>
        <v>n/a</v>
      </c>
      <c r="AQ362" s="173" t="str">
        <f t="shared" ref="AQ362:AV362" si="1583">+IFERROR(AQ357/AP357-1,"n/a")</f>
        <v>n/a</v>
      </c>
      <c r="AR362" s="173" t="str">
        <f t="shared" si="1583"/>
        <v>n/a</v>
      </c>
      <c r="AS362" s="173" t="str">
        <f t="shared" si="1583"/>
        <v>n/a</v>
      </c>
      <c r="AT362" s="173" t="str">
        <f t="shared" si="1583"/>
        <v>n/a</v>
      </c>
      <c r="AU362" s="173" t="str">
        <f t="shared" si="1583"/>
        <v>n/a</v>
      </c>
      <c r="AV362" s="173" t="str">
        <f t="shared" si="1583"/>
        <v>n/a</v>
      </c>
      <c r="AW362" s="173" t="str">
        <f t="shared" ref="AW362:AX362" si="1584">+IFERROR(AW357/AV357-1,"n/a")</f>
        <v>n/a</v>
      </c>
      <c r="AX362" s="173" t="str">
        <f t="shared" si="1584"/>
        <v>n/a</v>
      </c>
    </row>
    <row r="363" spans="2:50" s="1" customFormat="1" ht="12" x14ac:dyDescent="0.35">
      <c r="B363" s="20" t="s">
        <v>227</v>
      </c>
      <c r="H363" s="48"/>
      <c r="I363" s="48"/>
      <c r="J363" s="48"/>
      <c r="K363" s="48"/>
      <c r="L363" s="180" t="str">
        <f t="shared" ref="L363:L364" si="1585">+IFERROR(L358/H358-1,"n/a")</f>
        <v>n/a</v>
      </c>
      <c r="M363" s="180" t="str">
        <f t="shared" si="1558"/>
        <v>n/a</v>
      </c>
      <c r="N363" s="180" t="str">
        <f t="shared" si="1559"/>
        <v>n/a</v>
      </c>
      <c r="O363" s="180" t="str">
        <f t="shared" si="1560"/>
        <v>n/a</v>
      </c>
      <c r="P363" s="180" t="str">
        <f t="shared" si="1561"/>
        <v>n/a</v>
      </c>
      <c r="Q363" s="180" t="str">
        <f t="shared" si="1562"/>
        <v>n/a</v>
      </c>
      <c r="R363" s="180" t="str">
        <f t="shared" si="1563"/>
        <v>n/a</v>
      </c>
      <c r="S363" s="180" t="str">
        <f t="shared" si="1564"/>
        <v>n/a</v>
      </c>
      <c r="T363" s="180" t="str">
        <f t="shared" si="1565"/>
        <v>n/a</v>
      </c>
      <c r="U363" s="180" t="str">
        <f t="shared" si="1566"/>
        <v>n/a</v>
      </c>
      <c r="V363" s="180" t="str">
        <f t="shared" si="1567"/>
        <v>n/a</v>
      </c>
      <c r="W363" s="180" t="str">
        <f t="shared" si="1568"/>
        <v>n/a</v>
      </c>
      <c r="X363" s="180" t="str">
        <f t="shared" si="1569"/>
        <v>n/a</v>
      </c>
      <c r="Y363" s="180" t="str">
        <f t="shared" si="1570"/>
        <v>n/a</v>
      </c>
      <c r="Z363" s="180" t="str">
        <f t="shared" si="1571"/>
        <v>n/a</v>
      </c>
      <c r="AA363" s="180" t="str">
        <f t="shared" si="1572"/>
        <v>n/a</v>
      </c>
      <c r="AB363" s="180" t="str">
        <f t="shared" si="1573"/>
        <v>n/a</v>
      </c>
      <c r="AC363" s="180" t="str">
        <f t="shared" si="1574"/>
        <v>n/a</v>
      </c>
      <c r="AD363" s="180" t="str">
        <f t="shared" si="1575"/>
        <v>n/a</v>
      </c>
      <c r="AE363" s="180">
        <f t="shared" si="1576"/>
        <v>1.1365081214966528</v>
      </c>
      <c r="AF363" s="180">
        <f t="shared" si="1576"/>
        <v>1.0060989517097307</v>
      </c>
      <c r="AG363" s="180">
        <f t="shared" si="1576"/>
        <v>1.0328071034616753</v>
      </c>
      <c r="AH363" s="180">
        <f t="shared" si="1577"/>
        <v>-4.4021357870390743E-3</v>
      </c>
      <c r="AI363" s="180">
        <f t="shared" si="1578"/>
        <v>-2.2204460492503131E-16</v>
      </c>
      <c r="AJ363" s="180">
        <f t="shared" si="1579"/>
        <v>-9.9999999999999645E-2</v>
      </c>
      <c r="AK363" s="180">
        <f t="shared" si="1580"/>
        <v>2.2204460492503131E-16</v>
      </c>
      <c r="AL363" s="180">
        <f t="shared" si="1581"/>
        <v>-2.2204460492503131E-16</v>
      </c>
      <c r="AM363" s="180">
        <f t="shared" si="1582"/>
        <v>0</v>
      </c>
      <c r="AP363" s="180" t="str">
        <f t="shared" ref="AP363:AV363" si="1586">+IFERROR(AP358/AO358-1,"n/a")</f>
        <v>n/a</v>
      </c>
      <c r="AQ363" s="180" t="str">
        <f t="shared" si="1586"/>
        <v>n/a</v>
      </c>
      <c r="AR363" s="180" t="str">
        <f t="shared" si="1586"/>
        <v>n/a</v>
      </c>
      <c r="AS363" s="180" t="str">
        <f t="shared" si="1586"/>
        <v>n/a</v>
      </c>
      <c r="AT363" s="180" t="str">
        <f t="shared" si="1586"/>
        <v>n/a</v>
      </c>
      <c r="AU363" s="180" t="str">
        <f t="shared" si="1586"/>
        <v>n/a</v>
      </c>
      <c r="AV363" s="180">
        <f t="shared" si="1586"/>
        <v>0.94815971138632182</v>
      </c>
      <c r="AW363" s="180">
        <f t="shared" ref="AW363:AX363" si="1587">+IFERROR(AW358/AV358-1,"n/a")</f>
        <v>0.13607293682124655</v>
      </c>
      <c r="AX363" s="180">
        <f t="shared" si="1587"/>
        <v>-2.2152921174013573E-2</v>
      </c>
    </row>
    <row r="364" spans="2:50" s="1" customFormat="1" ht="10.15" x14ac:dyDescent="0.2">
      <c r="B364" s="30" t="s">
        <v>390</v>
      </c>
      <c r="H364" s="48"/>
      <c r="I364" s="48"/>
      <c r="J364" s="48"/>
      <c r="K364" s="48"/>
      <c r="L364" s="173" t="str">
        <f t="shared" si="1585"/>
        <v>n/a</v>
      </c>
      <c r="M364" s="173" t="str">
        <f t="shared" si="1558"/>
        <v>n/a</v>
      </c>
      <c r="N364" s="173" t="str">
        <f t="shared" si="1559"/>
        <v>n/a</v>
      </c>
      <c r="O364" s="173" t="str">
        <f t="shared" si="1560"/>
        <v>n/a</v>
      </c>
      <c r="P364" s="173" t="str">
        <f t="shared" si="1561"/>
        <v>n/a</v>
      </c>
      <c r="Q364" s="173" t="str">
        <f t="shared" si="1562"/>
        <v>n/a</v>
      </c>
      <c r="R364" s="173" t="str">
        <f t="shared" si="1563"/>
        <v>n/a</v>
      </c>
      <c r="S364" s="173" t="str">
        <f t="shared" si="1564"/>
        <v>n/a</v>
      </c>
      <c r="T364" s="173" t="str">
        <f t="shared" si="1565"/>
        <v>n/a</v>
      </c>
      <c r="U364" s="173" t="str">
        <f t="shared" si="1566"/>
        <v>n/a</v>
      </c>
      <c r="V364" s="173" t="str">
        <f t="shared" si="1567"/>
        <v>n/a</v>
      </c>
      <c r="W364" s="173" t="str">
        <f t="shared" si="1568"/>
        <v>n/a</v>
      </c>
      <c r="X364" s="173" t="str">
        <f t="shared" si="1569"/>
        <v>n/a</v>
      </c>
      <c r="Y364" s="173" t="str">
        <f t="shared" si="1570"/>
        <v>n/a</v>
      </c>
      <c r="Z364" s="173" t="str">
        <f t="shared" si="1571"/>
        <v>n/a</v>
      </c>
      <c r="AA364" s="173" t="str">
        <f t="shared" si="1572"/>
        <v>n/a</v>
      </c>
      <c r="AB364" s="173" t="str">
        <f t="shared" si="1573"/>
        <v>n/a</v>
      </c>
      <c r="AC364" s="173" t="str">
        <f t="shared" si="1574"/>
        <v>n/a</v>
      </c>
      <c r="AD364" s="173" t="str">
        <f t="shared" si="1575"/>
        <v>n/a</v>
      </c>
      <c r="AE364" s="173">
        <f t="shared" si="1576"/>
        <v>1.1365081214966528</v>
      </c>
      <c r="AF364" s="173">
        <f t="shared" si="1576"/>
        <v>1.0060989517097307</v>
      </c>
      <c r="AG364" s="173">
        <f t="shared" si="1576"/>
        <v>1.0328071034616753</v>
      </c>
      <c r="AH364" s="173">
        <f t="shared" si="1577"/>
        <v>-4.4021357870390743E-3</v>
      </c>
      <c r="AI364" s="173">
        <f t="shared" si="1578"/>
        <v>-2.2204460492503131E-16</v>
      </c>
      <c r="AJ364" s="173">
        <f t="shared" si="1579"/>
        <v>-9.9999999999999645E-2</v>
      </c>
      <c r="AK364" s="173">
        <f t="shared" si="1580"/>
        <v>2.2204460492503131E-16</v>
      </c>
      <c r="AL364" s="173">
        <f t="shared" si="1581"/>
        <v>-2.2204460492503131E-16</v>
      </c>
      <c r="AM364" s="173">
        <f t="shared" si="1582"/>
        <v>0</v>
      </c>
      <c r="AP364" s="173" t="str">
        <f t="shared" ref="AP364:AV364" si="1588">+IFERROR(AP359/AO359-1,"n/a")</f>
        <v>n/a</v>
      </c>
      <c r="AQ364" s="173" t="str">
        <f t="shared" si="1588"/>
        <v>n/a</v>
      </c>
      <c r="AR364" s="173" t="str">
        <f t="shared" si="1588"/>
        <v>n/a</v>
      </c>
      <c r="AS364" s="173" t="str">
        <f t="shared" si="1588"/>
        <v>n/a</v>
      </c>
      <c r="AT364" s="173" t="str">
        <f t="shared" si="1588"/>
        <v>n/a</v>
      </c>
      <c r="AU364" s="173" t="str">
        <f t="shared" si="1588"/>
        <v>n/a</v>
      </c>
      <c r="AV364" s="173">
        <f t="shared" si="1588"/>
        <v>0.94815971138632182</v>
      </c>
      <c r="AW364" s="173">
        <f t="shared" ref="AW364:AX364" si="1589">+IFERROR(AW359/AV359-1,"n/a")</f>
        <v>0.13607293682124655</v>
      </c>
      <c r="AX364" s="173">
        <f t="shared" si="1589"/>
        <v>-2.2152921174013573E-2</v>
      </c>
    </row>
    <row r="365" spans="2:50" s="1" customFormat="1" ht="10.15" x14ac:dyDescent="0.2">
      <c r="B365" s="30"/>
      <c r="H365" s="48"/>
      <c r="I365" s="48"/>
      <c r="J365" s="48"/>
      <c r="K365" s="48"/>
      <c r="L365" s="173"/>
      <c r="M365" s="173"/>
      <c r="N365" s="173"/>
      <c r="O365" s="173"/>
      <c r="P365" s="173"/>
      <c r="Q365" s="173"/>
      <c r="R365" s="173"/>
      <c r="S365" s="173"/>
      <c r="T365" s="173"/>
      <c r="U365" s="173"/>
      <c r="V365" s="173"/>
      <c r="W365" s="173"/>
      <c r="X365" s="173"/>
      <c r="Y365" s="173"/>
      <c r="Z365" s="173"/>
      <c r="AA365" s="173"/>
      <c r="AB365" s="173"/>
      <c r="AC365" s="173"/>
      <c r="AD365" s="173"/>
      <c r="AE365" s="173"/>
      <c r="AF365" s="173"/>
      <c r="AG365" s="173"/>
      <c r="AH365" s="173"/>
      <c r="AI365" s="173"/>
      <c r="AJ365" s="173"/>
      <c r="AK365" s="173"/>
      <c r="AL365" s="173"/>
      <c r="AM365" s="173"/>
      <c r="AP365" s="173"/>
      <c r="AQ365" s="173"/>
      <c r="AR365" s="173"/>
      <c r="AS365" s="173"/>
      <c r="AT365" s="173"/>
      <c r="AU365" s="173"/>
      <c r="AV365" s="173"/>
      <c r="AW365" s="173"/>
      <c r="AX365" s="173"/>
    </row>
    <row r="366" spans="2:50" s="1" customFormat="1" ht="10.15" x14ac:dyDescent="0.2">
      <c r="B366" s="19" t="s">
        <v>262</v>
      </c>
      <c r="H366" s="48"/>
      <c r="I366" s="48"/>
      <c r="J366" s="48"/>
      <c r="K366" s="48"/>
      <c r="L366" s="173"/>
      <c r="M366" s="173"/>
      <c r="N366" s="173"/>
      <c r="O366" s="173"/>
      <c r="P366" s="173"/>
      <c r="Q366" s="173"/>
      <c r="R366" s="173"/>
      <c r="S366" s="173"/>
      <c r="T366" s="173"/>
      <c r="U366" s="173"/>
      <c r="V366" s="173"/>
      <c r="W366" s="173"/>
      <c r="X366" s="173"/>
      <c r="Y366" s="173"/>
      <c r="Z366" s="173"/>
      <c r="AA366" s="173"/>
      <c r="AB366" s="173"/>
      <c r="AC366" s="173"/>
      <c r="AD366" s="173"/>
      <c r="AE366" s="173"/>
      <c r="AF366" s="173"/>
      <c r="AG366" s="173"/>
      <c r="AH366" s="173"/>
      <c r="AI366" s="173"/>
      <c r="AJ366" s="173"/>
      <c r="AK366" s="173"/>
      <c r="AL366" s="173"/>
      <c r="AM366" s="173"/>
      <c r="AP366" s="173"/>
      <c r="AQ366" s="173"/>
      <c r="AR366" s="173"/>
      <c r="AS366" s="173"/>
      <c r="AT366" s="173"/>
      <c r="AU366" s="173"/>
      <c r="AV366" s="173"/>
      <c r="AW366" s="173"/>
      <c r="AX366" s="173"/>
    </row>
    <row r="367" spans="2:50" s="1" customFormat="1" ht="10.15" x14ac:dyDescent="0.2">
      <c r="B367" s="20" t="s">
        <v>226</v>
      </c>
      <c r="H367" s="48"/>
      <c r="I367" s="173" t="str">
        <f>+IFERROR(I357/H357-1,"n/a")</f>
        <v>n/a</v>
      </c>
      <c r="J367" s="173" t="str">
        <f t="shared" ref="J367:AG367" si="1590">+IFERROR(J357/I357-1,"n/a")</f>
        <v>n/a</v>
      </c>
      <c r="K367" s="173" t="str">
        <f t="shared" si="1590"/>
        <v>n/a</v>
      </c>
      <c r="L367" s="173" t="str">
        <f t="shared" si="1590"/>
        <v>n/a</v>
      </c>
      <c r="M367" s="173" t="str">
        <f t="shared" si="1590"/>
        <v>n/a</v>
      </c>
      <c r="N367" s="173" t="str">
        <f t="shared" si="1590"/>
        <v>n/a</v>
      </c>
      <c r="O367" s="173" t="str">
        <f t="shared" si="1590"/>
        <v>n/a</v>
      </c>
      <c r="P367" s="173" t="str">
        <f t="shared" si="1590"/>
        <v>n/a</v>
      </c>
      <c r="Q367" s="173" t="str">
        <f t="shared" si="1590"/>
        <v>n/a</v>
      </c>
      <c r="R367" s="173" t="str">
        <f t="shared" si="1590"/>
        <v>n/a</v>
      </c>
      <c r="S367" s="173" t="str">
        <f t="shared" si="1590"/>
        <v>n/a</v>
      </c>
      <c r="T367" s="173" t="str">
        <f t="shared" si="1590"/>
        <v>n/a</v>
      </c>
      <c r="U367" s="173" t="str">
        <f t="shared" si="1590"/>
        <v>n/a</v>
      </c>
      <c r="V367" s="173" t="str">
        <f t="shared" si="1590"/>
        <v>n/a</v>
      </c>
      <c r="W367" s="173" t="str">
        <f t="shared" si="1590"/>
        <v>n/a</v>
      </c>
      <c r="X367" s="173" t="str">
        <f t="shared" si="1590"/>
        <v>n/a</v>
      </c>
      <c r="Y367" s="173" t="str">
        <f t="shared" si="1590"/>
        <v>n/a</v>
      </c>
      <c r="Z367" s="173" t="str">
        <f t="shared" si="1590"/>
        <v>n/a</v>
      </c>
      <c r="AA367" s="173" t="str">
        <f t="shared" si="1590"/>
        <v>n/a</v>
      </c>
      <c r="AB367" s="173" t="str">
        <f t="shared" si="1590"/>
        <v>n/a</v>
      </c>
      <c r="AC367" s="173" t="str">
        <f t="shared" si="1590"/>
        <v>n/a</v>
      </c>
      <c r="AD367" s="173" t="str">
        <f t="shared" si="1590"/>
        <v>n/a</v>
      </c>
      <c r="AE367" s="173" t="str">
        <f t="shared" si="1590"/>
        <v>n/a</v>
      </c>
      <c r="AF367" s="173" t="str">
        <f t="shared" si="1590"/>
        <v>n/a</v>
      </c>
      <c r="AG367" s="173" t="str">
        <f t="shared" si="1590"/>
        <v>n/a</v>
      </c>
      <c r="AH367" s="173" t="str">
        <f t="shared" ref="AH367:AI367" si="1591">+IFERROR(AH357/AG357-1,"n/a")</f>
        <v>n/a</v>
      </c>
      <c r="AI367" s="173" t="str">
        <f t="shared" si="1591"/>
        <v>n/a</v>
      </c>
      <c r="AJ367" s="173" t="str">
        <f t="shared" ref="AJ367:AJ369" si="1592">+IFERROR(AJ357/AI357-1,"n/a")</f>
        <v>n/a</v>
      </c>
      <c r="AK367" s="173" t="str">
        <f t="shared" ref="AK367:AK369" si="1593">+IFERROR(AK357/AJ357-1,"n/a")</f>
        <v>n/a</v>
      </c>
      <c r="AL367" s="173" t="str">
        <f t="shared" ref="AL367:AL369" si="1594">+IFERROR(AL357/AK357-1,"n/a")</f>
        <v>n/a</v>
      </c>
      <c r="AM367" s="173" t="str">
        <f t="shared" ref="AM367:AM369" si="1595">+IFERROR(AM357/AL357-1,"n/a")</f>
        <v>n/a</v>
      </c>
      <c r="AP367" s="173"/>
      <c r="AQ367" s="173"/>
      <c r="AR367" s="173"/>
      <c r="AS367" s="173"/>
      <c r="AT367" s="173"/>
      <c r="AU367" s="173"/>
      <c r="AV367" s="173"/>
      <c r="AW367" s="173"/>
      <c r="AX367" s="173"/>
    </row>
    <row r="368" spans="2:50" s="1" customFormat="1" ht="12" x14ac:dyDescent="0.35">
      <c r="B368" s="20" t="s">
        <v>227</v>
      </c>
      <c r="H368" s="48"/>
      <c r="I368" s="180" t="str">
        <f t="shared" ref="I368:AG368" si="1596">+IFERROR(I358/H358-1,"n/a")</f>
        <v>n/a</v>
      </c>
      <c r="J368" s="180" t="str">
        <f t="shared" si="1596"/>
        <v>n/a</v>
      </c>
      <c r="K368" s="180" t="str">
        <f t="shared" si="1596"/>
        <v>n/a</v>
      </c>
      <c r="L368" s="180" t="str">
        <f t="shared" si="1596"/>
        <v>n/a</v>
      </c>
      <c r="M368" s="180" t="str">
        <f t="shared" si="1596"/>
        <v>n/a</v>
      </c>
      <c r="N368" s="180" t="str">
        <f t="shared" si="1596"/>
        <v>n/a</v>
      </c>
      <c r="O368" s="180" t="str">
        <f t="shared" si="1596"/>
        <v>n/a</v>
      </c>
      <c r="P368" s="180" t="str">
        <f t="shared" si="1596"/>
        <v>n/a</v>
      </c>
      <c r="Q368" s="180" t="str">
        <f t="shared" si="1596"/>
        <v>n/a</v>
      </c>
      <c r="R368" s="180" t="str">
        <f t="shared" si="1596"/>
        <v>n/a</v>
      </c>
      <c r="S368" s="180" t="str">
        <f t="shared" si="1596"/>
        <v>n/a</v>
      </c>
      <c r="T368" s="180" t="str">
        <f t="shared" si="1596"/>
        <v>n/a</v>
      </c>
      <c r="U368" s="180" t="str">
        <f t="shared" si="1596"/>
        <v>n/a</v>
      </c>
      <c r="V368" s="180" t="str">
        <f t="shared" si="1596"/>
        <v>n/a</v>
      </c>
      <c r="W368" s="180" t="str">
        <f t="shared" si="1596"/>
        <v>n/a</v>
      </c>
      <c r="X368" s="180" t="str">
        <f t="shared" si="1596"/>
        <v>n/a</v>
      </c>
      <c r="Y368" s="180" t="str">
        <f t="shared" si="1596"/>
        <v>n/a</v>
      </c>
      <c r="Z368" s="180" t="str">
        <f t="shared" si="1596"/>
        <v>n/a</v>
      </c>
      <c r="AA368" s="180" t="str">
        <f t="shared" si="1596"/>
        <v>n/a</v>
      </c>
      <c r="AB368" s="180">
        <f t="shared" si="1596"/>
        <v>0.18334038844438094</v>
      </c>
      <c r="AC368" s="180">
        <f t="shared" si="1596"/>
        <v>-0.11182470119069154</v>
      </c>
      <c r="AD368" s="180">
        <f t="shared" si="1596"/>
        <v>1.0417953639029229</v>
      </c>
      <c r="AE368" s="180">
        <f t="shared" si="1596"/>
        <v>-4.4021357870390743E-3</v>
      </c>
      <c r="AF368" s="180">
        <f t="shared" si="1596"/>
        <v>0.11111111111111072</v>
      </c>
      <c r="AG368" s="180">
        <f t="shared" si="1596"/>
        <v>-9.9999999999999867E-2</v>
      </c>
      <c r="AH368" s="180">
        <f t="shared" ref="AH368:AI368" si="1597">+IFERROR(AH358/AG358-1,"n/a")</f>
        <v>2.2204460492503131E-16</v>
      </c>
      <c r="AI368" s="180">
        <f t="shared" si="1597"/>
        <v>-2.2204460492503131E-16</v>
      </c>
      <c r="AJ368" s="180">
        <f t="shared" si="1592"/>
        <v>2.2204460492503131E-16</v>
      </c>
      <c r="AK368" s="180">
        <f t="shared" si="1593"/>
        <v>0</v>
      </c>
      <c r="AL368" s="180">
        <f t="shared" si="1594"/>
        <v>-2.2204460492503131E-16</v>
      </c>
      <c r="AM368" s="180">
        <f t="shared" si="1595"/>
        <v>0</v>
      </c>
      <c r="AP368" s="173"/>
      <c r="AQ368" s="173"/>
      <c r="AR368" s="173"/>
      <c r="AS368" s="173"/>
      <c r="AT368" s="173"/>
      <c r="AU368" s="173"/>
      <c r="AV368" s="173"/>
      <c r="AW368" s="173"/>
      <c r="AX368" s="173"/>
    </row>
    <row r="369" spans="2:51" s="1" customFormat="1" ht="10.15" x14ac:dyDescent="0.2">
      <c r="B369" s="30" t="s">
        <v>390</v>
      </c>
      <c r="H369" s="48"/>
      <c r="I369" s="173" t="str">
        <f t="shared" ref="I369:AG369" si="1598">+IFERROR(I359/H359-1,"n/a")</f>
        <v>n/a</v>
      </c>
      <c r="J369" s="173" t="str">
        <f t="shared" si="1598"/>
        <v>n/a</v>
      </c>
      <c r="K369" s="173" t="str">
        <f t="shared" si="1598"/>
        <v>n/a</v>
      </c>
      <c r="L369" s="173" t="str">
        <f t="shared" si="1598"/>
        <v>n/a</v>
      </c>
      <c r="M369" s="173" t="str">
        <f t="shared" si="1598"/>
        <v>n/a</v>
      </c>
      <c r="N369" s="173" t="str">
        <f t="shared" si="1598"/>
        <v>n/a</v>
      </c>
      <c r="O369" s="173" t="str">
        <f t="shared" si="1598"/>
        <v>n/a</v>
      </c>
      <c r="P369" s="173" t="str">
        <f t="shared" si="1598"/>
        <v>n/a</v>
      </c>
      <c r="Q369" s="173" t="str">
        <f t="shared" si="1598"/>
        <v>n/a</v>
      </c>
      <c r="R369" s="173" t="str">
        <f t="shared" si="1598"/>
        <v>n/a</v>
      </c>
      <c r="S369" s="173" t="str">
        <f t="shared" si="1598"/>
        <v>n/a</v>
      </c>
      <c r="T369" s="173" t="str">
        <f t="shared" si="1598"/>
        <v>n/a</v>
      </c>
      <c r="U369" s="173" t="str">
        <f t="shared" si="1598"/>
        <v>n/a</v>
      </c>
      <c r="V369" s="173" t="str">
        <f t="shared" si="1598"/>
        <v>n/a</v>
      </c>
      <c r="W369" s="173" t="str">
        <f t="shared" si="1598"/>
        <v>n/a</v>
      </c>
      <c r="X369" s="173" t="str">
        <f t="shared" si="1598"/>
        <v>n/a</v>
      </c>
      <c r="Y369" s="173" t="str">
        <f t="shared" si="1598"/>
        <v>n/a</v>
      </c>
      <c r="Z369" s="173" t="str">
        <f t="shared" si="1598"/>
        <v>n/a</v>
      </c>
      <c r="AA369" s="173" t="str">
        <f t="shared" si="1598"/>
        <v>n/a</v>
      </c>
      <c r="AB369" s="173">
        <f t="shared" si="1598"/>
        <v>0.18334038844438094</v>
      </c>
      <c r="AC369" s="173">
        <f t="shared" si="1598"/>
        <v>-0.11182470119069154</v>
      </c>
      <c r="AD369" s="173">
        <f t="shared" si="1598"/>
        <v>1.0417953639029229</v>
      </c>
      <c r="AE369" s="173">
        <f t="shared" si="1598"/>
        <v>-4.4021357870390743E-3</v>
      </c>
      <c r="AF369" s="173">
        <f t="shared" si="1598"/>
        <v>0.11111111111111072</v>
      </c>
      <c r="AG369" s="173">
        <f t="shared" si="1598"/>
        <v>-9.9999999999999867E-2</v>
      </c>
      <c r="AH369" s="173">
        <f t="shared" ref="AH369:AI369" si="1599">+IFERROR(AH359/AG359-1,"n/a")</f>
        <v>2.2204460492503131E-16</v>
      </c>
      <c r="AI369" s="173">
        <f t="shared" si="1599"/>
        <v>-2.2204460492503131E-16</v>
      </c>
      <c r="AJ369" s="173">
        <f t="shared" si="1592"/>
        <v>2.2204460492503131E-16</v>
      </c>
      <c r="AK369" s="173">
        <f t="shared" si="1593"/>
        <v>0</v>
      </c>
      <c r="AL369" s="173">
        <f t="shared" si="1594"/>
        <v>-2.2204460492503131E-16</v>
      </c>
      <c r="AM369" s="173">
        <f t="shared" si="1595"/>
        <v>0</v>
      </c>
      <c r="AP369" s="173"/>
      <c r="AQ369" s="173"/>
      <c r="AR369" s="173"/>
      <c r="AS369" s="173"/>
      <c r="AT369" s="173"/>
      <c r="AU369" s="173"/>
      <c r="AV369" s="173"/>
      <c r="AW369" s="173"/>
      <c r="AX369" s="173"/>
    </row>
    <row r="371" spans="2:51" ht="10.15" x14ac:dyDescent="0.2">
      <c r="B371" s="6" t="s">
        <v>408</v>
      </c>
      <c r="C371" s="5"/>
    </row>
    <row r="373" spans="2:51" ht="10.15" x14ac:dyDescent="0.2">
      <c r="B373" s="24" t="s">
        <v>439</v>
      </c>
      <c r="AE373" s="10"/>
    </row>
    <row r="374" spans="2:51" ht="10.15" x14ac:dyDescent="0.2">
      <c r="B374" s="184" t="s">
        <v>226</v>
      </c>
      <c r="H374" s="10">
        <f>+H141</f>
        <v>1108.0999999999999</v>
      </c>
      <c r="I374" s="10">
        <f t="shared" ref="I374:AI374" si="1600">+I141</f>
        <v>2370.9520000000002</v>
      </c>
      <c r="J374" s="10">
        <f t="shared" si="1600"/>
        <v>2974.145</v>
      </c>
      <c r="K374" s="10">
        <f t="shared" si="1600"/>
        <v>5062.3779999999997</v>
      </c>
      <c r="L374" s="10">
        <f t="shared" si="1600"/>
        <v>3948.4140000000002</v>
      </c>
      <c r="M374" s="10">
        <f t="shared" si="1600"/>
        <v>6467.0730000000003</v>
      </c>
      <c r="N374" s="10">
        <f t="shared" si="1600"/>
        <v>6711.4549999999999</v>
      </c>
      <c r="O374" s="10">
        <f t="shared" si="1600"/>
        <v>9686.6990000000005</v>
      </c>
      <c r="P374" s="10">
        <f t="shared" si="1600"/>
        <v>5492.27</v>
      </c>
      <c r="Q374" s="10">
        <f t="shared" si="1600"/>
        <v>11054.698</v>
      </c>
      <c r="R374" s="10">
        <f t="shared" si="1600"/>
        <v>12484.835999999999</v>
      </c>
      <c r="S374" s="10">
        <f t="shared" si="1600"/>
        <v>18921.974999999999</v>
      </c>
      <c r="T374" s="10">
        <f t="shared" si="1600"/>
        <v>14111.486000000001</v>
      </c>
      <c r="U374" s="10">
        <f t="shared" si="1600"/>
        <v>18080.419000000002</v>
      </c>
      <c r="V374" s="10">
        <f t="shared" si="1600"/>
        <v>17946.495999999999</v>
      </c>
      <c r="W374" s="10">
        <f t="shared" si="1600"/>
        <v>22425.001000000004</v>
      </c>
      <c r="X374" s="10">
        <f t="shared" si="1600"/>
        <v>18158.424999999999</v>
      </c>
      <c r="Y374" s="10">
        <f t="shared" si="1600"/>
        <v>25172.651000000002</v>
      </c>
      <c r="Z374" s="10">
        <f t="shared" si="1600"/>
        <v>28425.645</v>
      </c>
      <c r="AA374" s="10">
        <f t="shared" si="1600"/>
        <v>30965.202999999994</v>
      </c>
      <c r="AB374" s="10">
        <f t="shared" si="1600"/>
        <v>27244.425999999999</v>
      </c>
      <c r="AC374" s="10">
        <f t="shared" si="1600"/>
        <v>37932.830999999998</v>
      </c>
      <c r="AD374" s="10">
        <f t="shared" si="1600"/>
        <v>39687.678</v>
      </c>
      <c r="AE374" s="10">
        <f t="shared" si="1600"/>
        <v>48675.618000000002</v>
      </c>
      <c r="AF374" s="10">
        <f t="shared" ref="AF374:AG374" si="1601">+AF141</f>
        <v>42456.243000000002</v>
      </c>
      <c r="AG374" s="10">
        <f t="shared" si="1601"/>
        <v>49115.866000000002</v>
      </c>
      <c r="AH374" s="10">
        <f t="shared" si="1600"/>
        <v>48156.01129980883</v>
      </c>
      <c r="AI374" s="10">
        <f t="shared" si="1600"/>
        <v>57505.364976837387</v>
      </c>
      <c r="AJ374" s="10">
        <f t="shared" ref="AJ374:AM374" si="1602">+AJ141</f>
        <v>47730.348550340503</v>
      </c>
      <c r="AK374" s="10">
        <f t="shared" si="1602"/>
        <v>55788.38336061361</v>
      </c>
      <c r="AL374" s="10">
        <f t="shared" si="1602"/>
        <v>55273.899706789445</v>
      </c>
      <c r="AM374" s="10">
        <f t="shared" si="1602"/>
        <v>67927.652046612813</v>
      </c>
      <c r="AO374" s="10">
        <f>+AO141</f>
        <v>0</v>
      </c>
      <c r="AP374" s="10">
        <f t="shared" ref="AP374:AV374" si="1603">+AP141</f>
        <v>1209.2750000000001</v>
      </c>
      <c r="AQ374" s="10">
        <f t="shared" si="1603"/>
        <v>11515.575000000001</v>
      </c>
      <c r="AR374" s="10">
        <f t="shared" si="1603"/>
        <v>26813.641000000003</v>
      </c>
      <c r="AS374" s="10">
        <f t="shared" si="1603"/>
        <v>47953.778999999995</v>
      </c>
      <c r="AT374" s="10">
        <f t="shared" si="1603"/>
        <v>72563.402000000002</v>
      </c>
      <c r="AU374" s="10">
        <f t="shared" si="1603"/>
        <v>102721.924</v>
      </c>
      <c r="AV374" s="10">
        <f t="shared" si="1603"/>
        <v>153540.55300000001</v>
      </c>
      <c r="AW374" s="10">
        <f t="shared" ref="AW374" si="1604">+AW141</f>
        <v>197233.48527664621</v>
      </c>
      <c r="AX374" s="10">
        <f>+SUM(AJ374:AM374)</f>
        <v>226720.28366435636</v>
      </c>
    </row>
    <row r="375" spans="2:51" ht="12" x14ac:dyDescent="0.35">
      <c r="B375" s="184" t="s">
        <v>227</v>
      </c>
      <c r="H375" s="25">
        <f>+H142</f>
        <v>276.50400000000002</v>
      </c>
      <c r="I375" s="25">
        <f t="shared" ref="I375:AI375" si="1605">+I142</f>
        <v>338.09399999999999</v>
      </c>
      <c r="J375" s="25">
        <f t="shared" si="1605"/>
        <v>398.27300000000002</v>
      </c>
      <c r="K375" s="25">
        <f t="shared" si="1605"/>
        <v>591.54399999999998</v>
      </c>
      <c r="L375" s="25">
        <f t="shared" si="1605"/>
        <v>596.79</v>
      </c>
      <c r="M375" s="25">
        <f t="shared" si="1605"/>
        <v>822.93499999999995</v>
      </c>
      <c r="N375" s="25">
        <f t="shared" si="1605"/>
        <v>802.49300000000005</v>
      </c>
      <c r="O375" s="25">
        <f t="shared" si="1605"/>
        <v>1106.027</v>
      </c>
      <c r="P375" s="25">
        <f t="shared" si="1605"/>
        <v>1048.789</v>
      </c>
      <c r="Q375" s="25">
        <f t="shared" si="1605"/>
        <v>1138.617</v>
      </c>
      <c r="R375" s="25">
        <f t="shared" si="1605"/>
        <v>1332.124</v>
      </c>
      <c r="S375" s="25">
        <f t="shared" si="1605"/>
        <v>1692.9438235294119</v>
      </c>
      <c r="T375" s="25">
        <f t="shared" si="1605"/>
        <v>1352.9084007218755</v>
      </c>
      <c r="U375" s="25">
        <f t="shared" si="1605"/>
        <v>881.15089208644349</v>
      </c>
      <c r="V375" s="25">
        <f t="shared" si="1605"/>
        <v>449.47754937561649</v>
      </c>
      <c r="W375" s="25">
        <f t="shared" si="1605"/>
        <v>1205.007735664225</v>
      </c>
      <c r="X375" s="25">
        <f t="shared" si="1605"/>
        <v>1980.1140634747599</v>
      </c>
      <c r="Y375" s="25">
        <f t="shared" si="1605"/>
        <v>2239.6797706480288</v>
      </c>
      <c r="Z375" s="25">
        <f t="shared" si="1605"/>
        <v>2585.1710664412967</v>
      </c>
      <c r="AA375" s="25">
        <f t="shared" si="1605"/>
        <v>3550.3051652430222</v>
      </c>
      <c r="AB375" s="25">
        <f t="shared" si="1605"/>
        <v>3525.4706298110873</v>
      </c>
      <c r="AC375" s="25">
        <f t="shared" si="1605"/>
        <v>4125.0183173725454</v>
      </c>
      <c r="AD375" s="25">
        <f t="shared" si="1605"/>
        <v>3867.4952810965406</v>
      </c>
      <c r="AE375" s="25">
        <f t="shared" si="1605"/>
        <v>7222.9417342545385</v>
      </c>
      <c r="AF375" s="25">
        <f t="shared" ref="AF375:AG375" si="1606">+AF142</f>
        <v>5727.9505786294467</v>
      </c>
      <c r="AG375" s="25">
        <f t="shared" si="1606"/>
        <v>6005.7514862470198</v>
      </c>
      <c r="AH375" s="25">
        <f t="shared" si="1605"/>
        <v>4648.723518312614</v>
      </c>
      <c r="AI375" s="25">
        <f t="shared" si="1605"/>
        <v>4311.6583057941452</v>
      </c>
      <c r="AJ375" s="25">
        <f t="shared" ref="AJ375:AM375" si="1607">+AJ142</f>
        <v>3651.7791284701766</v>
      </c>
      <c r="AK375" s="25">
        <f t="shared" si="1607"/>
        <v>4143.9685255104432</v>
      </c>
      <c r="AL375" s="25">
        <f t="shared" si="1607"/>
        <v>4276.8256368476041</v>
      </c>
      <c r="AM375" s="25">
        <f t="shared" si="1607"/>
        <v>4958.4070516632664</v>
      </c>
      <c r="AO375" s="25">
        <f>+AO142</f>
        <v>48.276000000000003</v>
      </c>
      <c r="AP375" s="25">
        <f t="shared" ref="AP375:AV375" si="1608">+AP142</f>
        <v>531.41600000000005</v>
      </c>
      <c r="AQ375" s="25">
        <f t="shared" si="1608"/>
        <v>1604.415</v>
      </c>
      <c r="AR375" s="25">
        <f t="shared" si="1608"/>
        <v>3328.2449999999999</v>
      </c>
      <c r="AS375" s="25">
        <f t="shared" si="1608"/>
        <v>5212.4738235294117</v>
      </c>
      <c r="AT375" s="25">
        <f t="shared" si="1608"/>
        <v>3888.5445778481603</v>
      </c>
      <c r="AU375" s="25">
        <f t="shared" si="1608"/>
        <v>10355.270065807108</v>
      </c>
      <c r="AV375" s="25">
        <f t="shared" si="1608"/>
        <v>18740.925962534711</v>
      </c>
      <c r="AW375" s="25">
        <f t="shared" ref="AW375" si="1609">+AW142</f>
        <v>20694.083888983227</v>
      </c>
      <c r="AX375" s="25">
        <f t="shared" ref="AX375:AX382" si="1610">+SUM(AJ375:AM375)</f>
        <v>17030.98034249149</v>
      </c>
    </row>
    <row r="376" spans="2:51" s="1" customFormat="1" ht="10.15" x14ac:dyDescent="0.2">
      <c r="B376" s="38" t="s">
        <v>342</v>
      </c>
      <c r="H376" s="42">
        <f>+IFERROR(H374+H375,"n/a")</f>
        <v>1384.6039999999998</v>
      </c>
      <c r="I376" s="42">
        <f t="shared" ref="I376:AI376" si="1611">+IFERROR(I374+I375,"n/a")</f>
        <v>2709.0460000000003</v>
      </c>
      <c r="J376" s="42">
        <f t="shared" si="1611"/>
        <v>3372.4180000000001</v>
      </c>
      <c r="K376" s="42">
        <f t="shared" si="1611"/>
        <v>5653.9219999999996</v>
      </c>
      <c r="L376" s="42">
        <f t="shared" si="1611"/>
        <v>4545.2039999999997</v>
      </c>
      <c r="M376" s="42">
        <f t="shared" si="1611"/>
        <v>7290.0079999999998</v>
      </c>
      <c r="N376" s="42">
        <f t="shared" si="1611"/>
        <v>7513.9480000000003</v>
      </c>
      <c r="O376" s="42">
        <f t="shared" si="1611"/>
        <v>10792.726000000001</v>
      </c>
      <c r="P376" s="42">
        <f t="shared" si="1611"/>
        <v>6541.0590000000002</v>
      </c>
      <c r="Q376" s="42">
        <f t="shared" si="1611"/>
        <v>12193.315000000001</v>
      </c>
      <c r="R376" s="42">
        <f t="shared" si="1611"/>
        <v>13816.96</v>
      </c>
      <c r="S376" s="42">
        <f t="shared" si="1611"/>
        <v>20614.91882352941</v>
      </c>
      <c r="T376" s="42">
        <f t="shared" si="1611"/>
        <v>15464.394400721876</v>
      </c>
      <c r="U376" s="42">
        <f t="shared" si="1611"/>
        <v>18961.569892086445</v>
      </c>
      <c r="V376" s="42">
        <f t="shared" si="1611"/>
        <v>18395.973549375616</v>
      </c>
      <c r="W376" s="42">
        <f t="shared" si="1611"/>
        <v>23630.008735664229</v>
      </c>
      <c r="X376" s="42">
        <f t="shared" si="1611"/>
        <v>20138.53906347476</v>
      </c>
      <c r="Y376" s="42">
        <f t="shared" si="1611"/>
        <v>27412.33077064803</v>
      </c>
      <c r="Z376" s="42">
        <f t="shared" si="1611"/>
        <v>31010.816066441297</v>
      </c>
      <c r="AA376" s="42">
        <f t="shared" si="1611"/>
        <v>34515.508165243016</v>
      </c>
      <c r="AB376" s="42">
        <f t="shared" si="1611"/>
        <v>30769.896629811086</v>
      </c>
      <c r="AC376" s="42">
        <f t="shared" si="1611"/>
        <v>42057.849317372544</v>
      </c>
      <c r="AD376" s="42">
        <f t="shared" si="1611"/>
        <v>43555.17328109654</v>
      </c>
      <c r="AE376" s="42">
        <f t="shared" si="1611"/>
        <v>55898.559734254537</v>
      </c>
      <c r="AF376" s="42">
        <f t="shared" ref="AF376:AG376" si="1612">+IFERROR(AF374+AF375,"n/a")</f>
        <v>48184.193578629449</v>
      </c>
      <c r="AG376" s="42">
        <f t="shared" si="1612"/>
        <v>55121.617486247022</v>
      </c>
      <c r="AH376" s="42">
        <f t="shared" si="1611"/>
        <v>52804.734818121447</v>
      </c>
      <c r="AI376" s="42">
        <f t="shared" si="1611"/>
        <v>61817.023282631533</v>
      </c>
      <c r="AJ376" s="42">
        <f t="shared" ref="AJ376:AM376" si="1613">+IFERROR(AJ374+AJ375,"n/a")</f>
        <v>51382.127678810677</v>
      </c>
      <c r="AK376" s="42">
        <f t="shared" si="1613"/>
        <v>59932.351886124052</v>
      </c>
      <c r="AL376" s="42">
        <f t="shared" si="1613"/>
        <v>59550.725343637052</v>
      </c>
      <c r="AM376" s="42">
        <f t="shared" si="1613"/>
        <v>72886.059098276077</v>
      </c>
      <c r="AO376" s="42">
        <f>+IFERROR(AO374+AO375,"n/a")</f>
        <v>48.276000000000003</v>
      </c>
      <c r="AP376" s="42">
        <f t="shared" ref="AP376:AW376" si="1614">+IFERROR(AP374+AP375,"n/a")</f>
        <v>1740.6910000000003</v>
      </c>
      <c r="AQ376" s="42">
        <f t="shared" si="1614"/>
        <v>13119.990000000002</v>
      </c>
      <c r="AR376" s="42">
        <f t="shared" si="1614"/>
        <v>30141.886000000002</v>
      </c>
      <c r="AS376" s="42">
        <f t="shared" si="1614"/>
        <v>53166.252823529408</v>
      </c>
      <c r="AT376" s="42">
        <f t="shared" si="1614"/>
        <v>76451.946577848168</v>
      </c>
      <c r="AU376" s="42">
        <f t="shared" si="1614"/>
        <v>113077.19406580711</v>
      </c>
      <c r="AV376" s="42">
        <f t="shared" si="1614"/>
        <v>172281.47896253472</v>
      </c>
      <c r="AW376" s="42">
        <f t="shared" si="1614"/>
        <v>217927.56916562945</v>
      </c>
      <c r="AX376" s="42">
        <f t="shared" si="1610"/>
        <v>243751.26400684786</v>
      </c>
    </row>
    <row r="377" spans="2:51" ht="12" x14ac:dyDescent="0.35">
      <c r="B377" s="184" t="s">
        <v>343</v>
      </c>
      <c r="H377" s="25">
        <f>+H144</f>
        <v>0</v>
      </c>
      <c r="I377" s="25">
        <f t="shared" ref="I377:AI377" si="1615">+I144</f>
        <v>0</v>
      </c>
      <c r="J377" s="25">
        <f t="shared" si="1615"/>
        <v>0</v>
      </c>
      <c r="K377" s="25">
        <f t="shared" si="1615"/>
        <v>0</v>
      </c>
      <c r="L377" s="25">
        <f t="shared" si="1615"/>
        <v>0</v>
      </c>
      <c r="M377" s="25">
        <f t="shared" si="1615"/>
        <v>0</v>
      </c>
      <c r="N377" s="25">
        <f t="shared" si="1615"/>
        <v>0</v>
      </c>
      <c r="O377" s="25">
        <f t="shared" si="1615"/>
        <v>0</v>
      </c>
      <c r="P377" s="25">
        <f t="shared" si="1615"/>
        <v>0</v>
      </c>
      <c r="Q377" s="25">
        <f t="shared" si="1615"/>
        <v>0</v>
      </c>
      <c r="R377" s="25">
        <f t="shared" si="1615"/>
        <v>392.822</v>
      </c>
      <c r="S377" s="25">
        <f t="shared" si="1615"/>
        <v>5357.8490000000002</v>
      </c>
      <c r="T377" s="25">
        <f t="shared" si="1615"/>
        <v>5124.1379999999999</v>
      </c>
      <c r="U377" s="25">
        <f t="shared" si="1615"/>
        <v>1958.163</v>
      </c>
      <c r="V377" s="25">
        <f t="shared" si="1615"/>
        <v>82.114999999999995</v>
      </c>
      <c r="W377" s="25">
        <f t="shared" si="1615"/>
        <v>81.67200000000048</v>
      </c>
      <c r="X377" s="25">
        <f t="shared" si="1615"/>
        <v>43.856999999999999</v>
      </c>
      <c r="Y377" s="25">
        <f t="shared" si="1615"/>
        <v>50.71</v>
      </c>
      <c r="Z377" s="25">
        <f t="shared" si="1615"/>
        <v>56.406999999999996</v>
      </c>
      <c r="AA377" s="25">
        <f t="shared" si="1615"/>
        <v>58.197000000000003</v>
      </c>
      <c r="AB377" s="25">
        <f t="shared" si="1615"/>
        <v>0</v>
      </c>
      <c r="AC377" s="25">
        <f t="shared" si="1615"/>
        <v>0</v>
      </c>
      <c r="AD377" s="25">
        <f t="shared" si="1615"/>
        <v>0</v>
      </c>
      <c r="AE377" s="25">
        <f t="shared" si="1615"/>
        <v>0</v>
      </c>
      <c r="AF377" s="25">
        <f t="shared" ref="AF377:AG377" si="1616">+AF144</f>
        <v>0</v>
      </c>
      <c r="AG377" s="25">
        <f t="shared" si="1616"/>
        <v>0</v>
      </c>
      <c r="AH377" s="25">
        <f t="shared" si="1615"/>
        <v>0</v>
      </c>
      <c r="AI377" s="25">
        <f t="shared" si="1615"/>
        <v>0</v>
      </c>
      <c r="AJ377" s="25">
        <f t="shared" ref="AJ377:AM377" si="1617">+AJ144</f>
        <v>0</v>
      </c>
      <c r="AK377" s="25">
        <f t="shared" si="1617"/>
        <v>0</v>
      </c>
      <c r="AL377" s="25">
        <f t="shared" si="1617"/>
        <v>0</v>
      </c>
      <c r="AM377" s="25">
        <f t="shared" si="1617"/>
        <v>0</v>
      </c>
      <c r="AO377" s="25">
        <f>+AO144</f>
        <v>456.58800000000002</v>
      </c>
      <c r="AP377" s="25">
        <f t="shared" ref="AP377:AV377" si="1618">+AP144</f>
        <v>3.3849999999999998</v>
      </c>
      <c r="AQ377" s="25">
        <f t="shared" si="1618"/>
        <v>0</v>
      </c>
      <c r="AR377" s="25">
        <f t="shared" si="1618"/>
        <v>0</v>
      </c>
      <c r="AS377" s="25">
        <f t="shared" si="1618"/>
        <v>5750.6710000000003</v>
      </c>
      <c r="AT377" s="25">
        <f t="shared" si="1618"/>
        <v>7246.0879999999997</v>
      </c>
      <c r="AU377" s="25">
        <f t="shared" si="1618"/>
        <v>209.17099999999999</v>
      </c>
      <c r="AV377" s="25">
        <f t="shared" si="1618"/>
        <v>0</v>
      </c>
      <c r="AW377" s="25">
        <f t="shared" ref="AW377" si="1619">+AW144</f>
        <v>0</v>
      </c>
      <c r="AX377" s="25">
        <f t="shared" si="1610"/>
        <v>0</v>
      </c>
    </row>
    <row r="378" spans="2:51" ht="10.15" x14ac:dyDescent="0.2">
      <c r="B378" s="4" t="s">
        <v>379</v>
      </c>
      <c r="H378" s="10">
        <f>+IFERROR(H376+H377,"n/a")</f>
        <v>1384.6039999999998</v>
      </c>
      <c r="I378" s="10">
        <f t="shared" ref="I378:AI378" si="1620">+IFERROR(I376+I377,"n/a")</f>
        <v>2709.0460000000003</v>
      </c>
      <c r="J378" s="10">
        <f t="shared" si="1620"/>
        <v>3372.4180000000001</v>
      </c>
      <c r="K378" s="10">
        <f t="shared" si="1620"/>
        <v>5653.9219999999996</v>
      </c>
      <c r="L378" s="10">
        <f t="shared" si="1620"/>
        <v>4545.2039999999997</v>
      </c>
      <c r="M378" s="10">
        <f t="shared" si="1620"/>
        <v>7290.0079999999998</v>
      </c>
      <c r="N378" s="10">
        <f t="shared" si="1620"/>
        <v>7513.9480000000003</v>
      </c>
      <c r="O378" s="10">
        <f t="shared" si="1620"/>
        <v>10792.726000000001</v>
      </c>
      <c r="P378" s="10">
        <f t="shared" si="1620"/>
        <v>6541.0590000000002</v>
      </c>
      <c r="Q378" s="10">
        <f t="shared" si="1620"/>
        <v>12193.315000000001</v>
      </c>
      <c r="R378" s="10">
        <f t="shared" si="1620"/>
        <v>14209.781999999999</v>
      </c>
      <c r="S378" s="10">
        <f t="shared" si="1620"/>
        <v>25972.767823529408</v>
      </c>
      <c r="T378" s="10">
        <f t="shared" si="1620"/>
        <v>20588.532400721877</v>
      </c>
      <c r="U378" s="10">
        <f t="shared" si="1620"/>
        <v>20919.732892086446</v>
      </c>
      <c r="V378" s="10">
        <f t="shared" si="1620"/>
        <v>18478.088549375618</v>
      </c>
      <c r="W378" s="10">
        <f t="shared" si="1620"/>
        <v>23711.680735664231</v>
      </c>
      <c r="X378" s="10">
        <f t="shared" si="1620"/>
        <v>20182.39606347476</v>
      </c>
      <c r="Y378" s="10">
        <f t="shared" si="1620"/>
        <v>27463.040770648029</v>
      </c>
      <c r="Z378" s="10">
        <f t="shared" si="1620"/>
        <v>31067.223066441296</v>
      </c>
      <c r="AA378" s="10">
        <f t="shared" si="1620"/>
        <v>34573.705165243016</v>
      </c>
      <c r="AB378" s="10">
        <f t="shared" si="1620"/>
        <v>30769.896629811086</v>
      </c>
      <c r="AC378" s="10">
        <f t="shared" si="1620"/>
        <v>42057.849317372544</v>
      </c>
      <c r="AD378" s="10">
        <f t="shared" si="1620"/>
        <v>43555.17328109654</v>
      </c>
      <c r="AE378" s="10">
        <f t="shared" si="1620"/>
        <v>55898.559734254537</v>
      </c>
      <c r="AF378" s="10">
        <f t="shared" ref="AF378:AG378" si="1621">+IFERROR(AF376+AF377,"n/a")</f>
        <v>48184.193578629449</v>
      </c>
      <c r="AG378" s="10">
        <f t="shared" si="1621"/>
        <v>55121.617486247022</v>
      </c>
      <c r="AH378" s="10">
        <f t="shared" si="1620"/>
        <v>52804.734818121447</v>
      </c>
      <c r="AI378" s="10">
        <f t="shared" si="1620"/>
        <v>61817.023282631533</v>
      </c>
      <c r="AJ378" s="10">
        <f t="shared" ref="AJ378:AM378" si="1622">+IFERROR(AJ376+AJ377,"n/a")</f>
        <v>51382.127678810677</v>
      </c>
      <c r="AK378" s="10">
        <f t="shared" si="1622"/>
        <v>59932.351886124052</v>
      </c>
      <c r="AL378" s="10">
        <f t="shared" si="1622"/>
        <v>59550.725343637052</v>
      </c>
      <c r="AM378" s="10">
        <f t="shared" si="1622"/>
        <v>72886.059098276077</v>
      </c>
      <c r="AO378" s="10">
        <f>+IFERROR(AO376+AO377,"n/a")</f>
        <v>504.86400000000003</v>
      </c>
      <c r="AP378" s="10">
        <f t="shared" ref="AP378:AW378" si="1623">+IFERROR(AP376+AP377,"n/a")</f>
        <v>1744.0760000000002</v>
      </c>
      <c r="AQ378" s="10">
        <f t="shared" si="1623"/>
        <v>13119.990000000002</v>
      </c>
      <c r="AR378" s="10">
        <f t="shared" si="1623"/>
        <v>30141.886000000002</v>
      </c>
      <c r="AS378" s="10">
        <f t="shared" si="1623"/>
        <v>58916.923823529411</v>
      </c>
      <c r="AT378" s="10">
        <f t="shared" si="1623"/>
        <v>83698.034577848171</v>
      </c>
      <c r="AU378" s="10">
        <f t="shared" si="1623"/>
        <v>113286.36506580711</v>
      </c>
      <c r="AV378" s="10">
        <f t="shared" si="1623"/>
        <v>172281.47896253472</v>
      </c>
      <c r="AW378" s="10">
        <f t="shared" si="1623"/>
        <v>217927.56916562945</v>
      </c>
      <c r="AX378" s="10">
        <f t="shared" si="1610"/>
        <v>243751.26400684786</v>
      </c>
    </row>
    <row r="379" spans="2:51" ht="12" x14ac:dyDescent="0.35">
      <c r="B379" s="184" t="s">
        <v>378</v>
      </c>
      <c r="H379" s="25">
        <f>+H164</f>
        <v>0</v>
      </c>
      <c r="I379" s="25">
        <f t="shared" ref="I379:AI379" si="1624">+I164</f>
        <v>0</v>
      </c>
      <c r="J379" s="25">
        <f t="shared" si="1624"/>
        <v>0</v>
      </c>
      <c r="K379" s="25">
        <f t="shared" si="1624"/>
        <v>0</v>
      </c>
      <c r="L379" s="25">
        <f t="shared" si="1624"/>
        <v>0</v>
      </c>
      <c r="M379" s="25">
        <f t="shared" si="1624"/>
        <v>0</v>
      </c>
      <c r="N379" s="25">
        <f t="shared" si="1624"/>
        <v>0</v>
      </c>
      <c r="O379" s="25">
        <f t="shared" si="1624"/>
        <v>0</v>
      </c>
      <c r="P379" s="25">
        <f t="shared" si="1624"/>
        <v>0</v>
      </c>
      <c r="Q379" s="25">
        <f t="shared" si="1624"/>
        <v>0</v>
      </c>
      <c r="R379" s="25">
        <f t="shared" si="1624"/>
        <v>0</v>
      </c>
      <c r="S379" s="25">
        <f t="shared" si="1624"/>
        <v>574.94117647058818</v>
      </c>
      <c r="T379" s="25">
        <f t="shared" si="1624"/>
        <v>1578.5665992781244</v>
      </c>
      <c r="U379" s="25">
        <f t="shared" si="1624"/>
        <v>2126.4871079135564</v>
      </c>
      <c r="V379" s="25">
        <f t="shared" si="1624"/>
        <v>3027.6694506243834</v>
      </c>
      <c r="W379" s="25">
        <f t="shared" si="1624"/>
        <v>3519.1812643357771</v>
      </c>
      <c r="X379" s="25">
        <f t="shared" si="1624"/>
        <v>3611.2929365252403</v>
      </c>
      <c r="Y379" s="25">
        <f t="shared" si="1624"/>
        <v>3976.5272293519715</v>
      </c>
      <c r="Z379" s="25">
        <f t="shared" si="1624"/>
        <v>4437.0809335587037</v>
      </c>
      <c r="AA379" s="25">
        <f t="shared" si="1624"/>
        <v>4811.0627662550633</v>
      </c>
      <c r="AB379" s="25">
        <f t="shared" si="1624"/>
        <v>5418.6757051778295</v>
      </c>
      <c r="AC379" s="25">
        <f t="shared" si="1624"/>
        <v>5744.3168131018429</v>
      </c>
      <c r="AD379" s="25">
        <f t="shared" si="1624"/>
        <v>6311.441280872139</v>
      </c>
      <c r="AE379" s="25">
        <f t="shared" si="1624"/>
        <v>6409.6165192835188</v>
      </c>
      <c r="AF379" s="25">
        <f t="shared" ref="AF379:AG379" si="1625">+AF164</f>
        <v>5960.0812789969023</v>
      </c>
      <c r="AG379" s="25">
        <f t="shared" si="1625"/>
        <v>6352.9411764705892</v>
      </c>
      <c r="AH379" s="25">
        <f t="shared" si="1624"/>
        <v>7100.3714409811582</v>
      </c>
      <c r="AI379" s="25">
        <f t="shared" si="1624"/>
        <v>7050.5781712118705</v>
      </c>
      <c r="AJ379" s="25">
        <f t="shared" ref="AJ379:AM379" si="1626">+AJ164</f>
        <v>6556.0894068965936</v>
      </c>
      <c r="AK379" s="25">
        <f t="shared" si="1626"/>
        <v>6988.2352941176487</v>
      </c>
      <c r="AL379" s="25">
        <f t="shared" si="1626"/>
        <v>7810.4085850792744</v>
      </c>
      <c r="AM379" s="25">
        <f t="shared" si="1626"/>
        <v>7755.6359883330588</v>
      </c>
      <c r="AO379" s="25">
        <f>+AO164</f>
        <v>0</v>
      </c>
      <c r="AP379" s="25">
        <f t="shared" ref="AP379:AV379" si="1627">+AP164</f>
        <v>0</v>
      </c>
      <c r="AQ379" s="25">
        <f t="shared" si="1627"/>
        <v>0</v>
      </c>
      <c r="AR379" s="25">
        <f t="shared" si="1627"/>
        <v>0</v>
      </c>
      <c r="AS379" s="25">
        <f t="shared" si="1627"/>
        <v>574.94117647058818</v>
      </c>
      <c r="AT379" s="25">
        <f t="shared" si="1627"/>
        <v>10251.904422151842</v>
      </c>
      <c r="AU379" s="25">
        <f t="shared" si="1627"/>
        <v>16835.963865690981</v>
      </c>
      <c r="AV379" s="25">
        <f t="shared" si="1627"/>
        <v>23884.050318435329</v>
      </c>
      <c r="AW379" s="25">
        <f t="shared" ref="AW379" si="1628">+AW164</f>
        <v>26463.972067660521</v>
      </c>
      <c r="AX379" s="25">
        <f t="shared" si="1610"/>
        <v>29110.369274426575</v>
      </c>
    </row>
    <row r="380" spans="2:51" s="1" customFormat="1" ht="10.15" x14ac:dyDescent="0.2">
      <c r="B380" s="38" t="s">
        <v>340</v>
      </c>
      <c r="H380" s="42">
        <f>+IFERROR(H378+H379,"n/a")</f>
        <v>1384.6039999999998</v>
      </c>
      <c r="I380" s="42">
        <f t="shared" ref="I380:AI380" si="1629">+IFERROR(I378+I379,"n/a")</f>
        <v>2709.0460000000003</v>
      </c>
      <c r="J380" s="42">
        <f t="shared" si="1629"/>
        <v>3372.4180000000001</v>
      </c>
      <c r="K380" s="42">
        <f t="shared" si="1629"/>
        <v>5653.9219999999996</v>
      </c>
      <c r="L380" s="42">
        <f t="shared" si="1629"/>
        <v>4545.2039999999997</v>
      </c>
      <c r="M380" s="42">
        <f t="shared" si="1629"/>
        <v>7290.0079999999998</v>
      </c>
      <c r="N380" s="42">
        <f t="shared" si="1629"/>
        <v>7513.9480000000003</v>
      </c>
      <c r="O380" s="42">
        <f t="shared" si="1629"/>
        <v>10792.726000000001</v>
      </c>
      <c r="P380" s="42">
        <f t="shared" si="1629"/>
        <v>6541.0590000000002</v>
      </c>
      <c r="Q380" s="42">
        <f t="shared" si="1629"/>
        <v>12193.315000000001</v>
      </c>
      <c r="R380" s="42">
        <f t="shared" si="1629"/>
        <v>14209.781999999999</v>
      </c>
      <c r="S380" s="42">
        <f t="shared" si="1629"/>
        <v>26547.708999999995</v>
      </c>
      <c r="T380" s="42">
        <f t="shared" si="1629"/>
        <v>22167.099000000002</v>
      </c>
      <c r="U380" s="42">
        <f t="shared" si="1629"/>
        <v>23046.22</v>
      </c>
      <c r="V380" s="42">
        <f t="shared" si="1629"/>
        <v>21505.758000000002</v>
      </c>
      <c r="W380" s="42">
        <f t="shared" si="1629"/>
        <v>27230.862000000008</v>
      </c>
      <c r="X380" s="42">
        <f t="shared" si="1629"/>
        <v>23793.688999999998</v>
      </c>
      <c r="Y380" s="42">
        <f t="shared" si="1629"/>
        <v>31439.567999999999</v>
      </c>
      <c r="Z380" s="42">
        <f t="shared" si="1629"/>
        <v>35504.304000000004</v>
      </c>
      <c r="AA380" s="42">
        <f t="shared" si="1629"/>
        <v>39384.767931498078</v>
      </c>
      <c r="AB380" s="42">
        <f t="shared" si="1629"/>
        <v>36188.572334988916</v>
      </c>
      <c r="AC380" s="42">
        <f t="shared" si="1629"/>
        <v>47802.16613047439</v>
      </c>
      <c r="AD380" s="42">
        <f t="shared" si="1629"/>
        <v>49866.614561968679</v>
      </c>
      <c r="AE380" s="42">
        <f t="shared" si="1629"/>
        <v>62308.176253538055</v>
      </c>
      <c r="AF380" s="42">
        <f t="shared" ref="AF380:AG380" si="1630">+IFERROR(AF378+AF379,"n/a")</f>
        <v>54144.274857626355</v>
      </c>
      <c r="AG380" s="42">
        <f t="shared" si="1630"/>
        <v>61474.558662717609</v>
      </c>
      <c r="AH380" s="42">
        <f t="shared" si="1629"/>
        <v>59905.106259102606</v>
      </c>
      <c r="AI380" s="42">
        <f t="shared" si="1629"/>
        <v>68867.60145384341</v>
      </c>
      <c r="AJ380" s="42">
        <f t="shared" ref="AJ380:AM380" si="1631">+IFERROR(AJ378+AJ379,"n/a")</f>
        <v>57938.217085707271</v>
      </c>
      <c r="AK380" s="42">
        <f t="shared" si="1631"/>
        <v>66920.587180241695</v>
      </c>
      <c r="AL380" s="42">
        <f t="shared" si="1631"/>
        <v>67361.133928716328</v>
      </c>
      <c r="AM380" s="42">
        <f t="shared" si="1631"/>
        <v>80641.695086609136</v>
      </c>
      <c r="AO380" s="42">
        <f>+IFERROR(AO378+AO379,"n/a")</f>
        <v>504.86400000000003</v>
      </c>
      <c r="AP380" s="42">
        <f t="shared" ref="AP380:AW380" si="1632">+IFERROR(AP378+AP379,"n/a")</f>
        <v>1744.0760000000002</v>
      </c>
      <c r="AQ380" s="42">
        <f t="shared" si="1632"/>
        <v>13119.990000000002</v>
      </c>
      <c r="AR380" s="42">
        <f t="shared" si="1632"/>
        <v>30141.886000000002</v>
      </c>
      <c r="AS380" s="42">
        <f t="shared" si="1632"/>
        <v>59491.864999999998</v>
      </c>
      <c r="AT380" s="42">
        <f t="shared" si="1632"/>
        <v>93949.939000000013</v>
      </c>
      <c r="AU380" s="42">
        <f t="shared" si="1632"/>
        <v>130122.32893149809</v>
      </c>
      <c r="AV380" s="42">
        <f t="shared" si="1632"/>
        <v>196165.52928097005</v>
      </c>
      <c r="AW380" s="42">
        <f t="shared" si="1632"/>
        <v>244391.54123328999</v>
      </c>
      <c r="AX380" s="42">
        <f t="shared" si="1610"/>
        <v>272861.63328127447</v>
      </c>
    </row>
    <row r="381" spans="2:51" s="1" customFormat="1" ht="12" x14ac:dyDescent="0.35">
      <c r="B381" t="s">
        <v>341</v>
      </c>
      <c r="H381" s="25">
        <f t="shared" ref="H381:AI381" si="1633">+H179</f>
        <v>0</v>
      </c>
      <c r="I381" s="25">
        <f t="shared" si="1633"/>
        <v>0</v>
      </c>
      <c r="J381" s="25">
        <f t="shared" si="1633"/>
        <v>0</v>
      </c>
      <c r="K381" s="25">
        <f t="shared" si="1633"/>
        <v>0</v>
      </c>
      <c r="L381" s="25">
        <f t="shared" si="1633"/>
        <v>0</v>
      </c>
      <c r="M381" s="25">
        <f t="shared" si="1633"/>
        <v>0</v>
      </c>
      <c r="N381" s="25">
        <f t="shared" si="1633"/>
        <v>0</v>
      </c>
      <c r="O381" s="25">
        <f t="shared" si="1633"/>
        <v>0</v>
      </c>
      <c r="P381" s="25">
        <f t="shared" si="1633"/>
        <v>0</v>
      </c>
      <c r="Q381" s="25">
        <f t="shared" si="1633"/>
        <v>0</v>
      </c>
      <c r="R381" s="25">
        <f t="shared" si="1633"/>
        <v>0</v>
      </c>
      <c r="S381" s="25">
        <f t="shared" si="1633"/>
        <v>0</v>
      </c>
      <c r="T381" s="25">
        <f t="shared" si="1633"/>
        <v>0</v>
      </c>
      <c r="U381" s="25">
        <f t="shared" si="1633"/>
        <v>0</v>
      </c>
      <c r="V381" s="25">
        <f t="shared" si="1633"/>
        <v>0</v>
      </c>
      <c r="W381" s="25">
        <f t="shared" si="1633"/>
        <v>0</v>
      </c>
      <c r="X381" s="25">
        <f t="shared" si="1633"/>
        <v>0</v>
      </c>
      <c r="Y381" s="25">
        <f t="shared" si="1633"/>
        <v>0</v>
      </c>
      <c r="Z381" s="25">
        <f t="shared" si="1633"/>
        <v>0</v>
      </c>
      <c r="AA381" s="25">
        <f t="shared" si="1633"/>
        <v>435.26006850191163</v>
      </c>
      <c r="AB381" s="25">
        <f t="shared" si="1633"/>
        <v>1448.477665011083</v>
      </c>
      <c r="AC381" s="25">
        <f t="shared" si="1633"/>
        <v>4478.5818695256112</v>
      </c>
      <c r="AD381" s="25">
        <f t="shared" si="1633"/>
        <v>18973.75643803132</v>
      </c>
      <c r="AE381" s="25">
        <f t="shared" si="1633"/>
        <v>26572.859746461942</v>
      </c>
      <c r="AF381" s="25">
        <f t="shared" ref="AF381:AG381" si="1634">+AF179</f>
        <v>32667.784142373654</v>
      </c>
      <c r="AG381" s="25">
        <f t="shared" si="1634"/>
        <v>35584.972337282394</v>
      </c>
      <c r="AH381" s="25">
        <f t="shared" si="1633"/>
        <v>37720.070677519339</v>
      </c>
      <c r="AI381" s="25">
        <f t="shared" si="1633"/>
        <v>41492.077745271279</v>
      </c>
      <c r="AJ381" s="25">
        <f t="shared" ref="AJ381:AM381" si="1635">+AJ179</f>
        <v>38221.307446577186</v>
      </c>
      <c r="AK381" s="25">
        <f t="shared" si="1635"/>
        <v>46260.464038467115</v>
      </c>
      <c r="AL381" s="25">
        <f t="shared" si="1635"/>
        <v>49036.091880775137</v>
      </c>
      <c r="AM381" s="25">
        <f t="shared" si="1635"/>
        <v>53939.701068852664</v>
      </c>
      <c r="AN381" s="16"/>
      <c r="AO381" s="25">
        <f>+AO179</f>
        <v>0</v>
      </c>
      <c r="AP381" s="25">
        <f>+AP179</f>
        <v>0</v>
      </c>
      <c r="AQ381" s="25">
        <f>+SUM(H381:K381)</f>
        <v>0</v>
      </c>
      <c r="AR381" s="25">
        <f>+SUM(L381:O381)</f>
        <v>0</v>
      </c>
      <c r="AS381" s="25">
        <f>+SUM(P381:S381)</f>
        <v>0</v>
      </c>
      <c r="AT381" s="25">
        <f>+SUM(T381:W381)</f>
        <v>0</v>
      </c>
      <c r="AU381" s="25">
        <f>+SUM(X381:AA381)</f>
        <v>435.26006850191163</v>
      </c>
      <c r="AV381" s="25">
        <f>+SUM(AB381:AE381)</f>
        <v>51473.675719029954</v>
      </c>
      <c r="AW381" s="25">
        <f>+SUM(AF381:AI381)</f>
        <v>147464.90490244667</v>
      </c>
      <c r="AX381" s="25">
        <f t="shared" si="1610"/>
        <v>187457.56443467212</v>
      </c>
      <c r="AY381" s="42"/>
    </row>
    <row r="382" spans="2:51" s="1" customFormat="1" ht="10.15" x14ac:dyDescent="0.2">
      <c r="B382" s="38" t="s">
        <v>225</v>
      </c>
      <c r="H382" s="42">
        <f>+IFERROR(H380+H381,"n/a")</f>
        <v>1384.6039999999998</v>
      </c>
      <c r="I382" s="42">
        <f t="shared" ref="I382:AO382" si="1636">+IFERROR(I380+I381,"n/a")</f>
        <v>2709.0460000000003</v>
      </c>
      <c r="J382" s="42">
        <f t="shared" si="1636"/>
        <v>3372.4180000000001</v>
      </c>
      <c r="K382" s="42">
        <f t="shared" si="1636"/>
        <v>5653.9219999999996</v>
      </c>
      <c r="L382" s="42">
        <f t="shared" si="1636"/>
        <v>4545.2039999999997</v>
      </c>
      <c r="M382" s="42">
        <f t="shared" si="1636"/>
        <v>7290.0079999999998</v>
      </c>
      <c r="N382" s="42">
        <f t="shared" si="1636"/>
        <v>7513.9480000000003</v>
      </c>
      <c r="O382" s="42">
        <f t="shared" si="1636"/>
        <v>10792.726000000001</v>
      </c>
      <c r="P382" s="42">
        <f t="shared" si="1636"/>
        <v>6541.0590000000002</v>
      </c>
      <c r="Q382" s="42">
        <f t="shared" si="1636"/>
        <v>12193.315000000001</v>
      </c>
      <c r="R382" s="42">
        <f t="shared" si="1636"/>
        <v>14209.781999999999</v>
      </c>
      <c r="S382" s="42">
        <f t="shared" si="1636"/>
        <v>26547.708999999995</v>
      </c>
      <c r="T382" s="42">
        <f t="shared" si="1636"/>
        <v>22167.099000000002</v>
      </c>
      <c r="U382" s="42">
        <f t="shared" si="1636"/>
        <v>23046.22</v>
      </c>
      <c r="V382" s="42">
        <f t="shared" si="1636"/>
        <v>21505.758000000002</v>
      </c>
      <c r="W382" s="42">
        <f t="shared" si="1636"/>
        <v>27230.862000000008</v>
      </c>
      <c r="X382" s="42">
        <f t="shared" si="1636"/>
        <v>23793.688999999998</v>
      </c>
      <c r="Y382" s="42">
        <f t="shared" si="1636"/>
        <v>31439.567999999999</v>
      </c>
      <c r="Z382" s="42">
        <f t="shared" si="1636"/>
        <v>35504.304000000004</v>
      </c>
      <c r="AA382" s="42">
        <f t="shared" si="1636"/>
        <v>39820.027999999991</v>
      </c>
      <c r="AB382" s="42">
        <f t="shared" si="1636"/>
        <v>37637.049999999996</v>
      </c>
      <c r="AC382" s="42">
        <f t="shared" si="1636"/>
        <v>52280.748</v>
      </c>
      <c r="AD382" s="42">
        <f t="shared" si="1636"/>
        <v>68840.370999999999</v>
      </c>
      <c r="AE382" s="42">
        <f t="shared" si="1636"/>
        <v>88881.035999999993</v>
      </c>
      <c r="AF382" s="42">
        <f t="shared" ref="AF382:AG382" si="1637">+IFERROR(AF380+AF381,"n/a")</f>
        <v>86812.059000000008</v>
      </c>
      <c r="AG382" s="42">
        <f t="shared" si="1637"/>
        <v>97059.531000000003</v>
      </c>
      <c r="AH382" s="42">
        <f t="shared" si="1636"/>
        <v>97625.176936621952</v>
      </c>
      <c r="AI382" s="42">
        <f t="shared" si="1636"/>
        <v>110359.67919911469</v>
      </c>
      <c r="AJ382" s="42">
        <f t="shared" ref="AJ382:AM382" si="1638">+IFERROR(AJ380+AJ381,"n/a")</f>
        <v>96159.524532284457</v>
      </c>
      <c r="AK382" s="42">
        <f t="shared" si="1638"/>
        <v>113181.0512187088</v>
      </c>
      <c r="AL382" s="42">
        <f t="shared" si="1638"/>
        <v>116397.22580949147</v>
      </c>
      <c r="AM382" s="42">
        <f t="shared" si="1638"/>
        <v>134581.39615546179</v>
      </c>
      <c r="AO382" s="42">
        <f t="shared" si="1636"/>
        <v>504.86400000000003</v>
      </c>
      <c r="AP382" s="42">
        <f t="shared" ref="AP382" si="1639">+IFERROR(AP380+AP381,"n/a")</f>
        <v>1744.0760000000002</v>
      </c>
      <c r="AQ382" s="42">
        <f>+SUM(H382:K382)</f>
        <v>13119.99</v>
      </c>
      <c r="AR382" s="42">
        <f>+SUM(L382:O382)</f>
        <v>30141.885999999999</v>
      </c>
      <c r="AS382" s="42">
        <f>+SUM(P382:S382)</f>
        <v>59491.864999999998</v>
      </c>
      <c r="AT382" s="42">
        <f>+SUM(T382:W382)</f>
        <v>93949.939000000013</v>
      </c>
      <c r="AU382" s="42">
        <f>+SUM(X382:AA382)</f>
        <v>130557.58899999999</v>
      </c>
      <c r="AV382" s="42">
        <f>+SUM(AB382:AE382)</f>
        <v>247639.20499999999</v>
      </c>
      <c r="AW382" s="42">
        <f>+SUM(AF382:AI382)</f>
        <v>391856.44613573665</v>
      </c>
      <c r="AX382" s="42">
        <f t="shared" si="1610"/>
        <v>460319.19771594653</v>
      </c>
    </row>
    <row r="383" spans="2:51" ht="10.15" x14ac:dyDescent="0.2">
      <c r="B383" s="38"/>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c r="AH383" s="42"/>
      <c r="AI383" s="42"/>
      <c r="AJ383" s="42"/>
      <c r="AK383" s="42"/>
      <c r="AL383" s="42"/>
      <c r="AM383" s="42"/>
    </row>
    <row r="384" spans="2:51" ht="10.15" x14ac:dyDescent="0.2">
      <c r="B384" s="19" t="s">
        <v>86</v>
      </c>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c r="AH384" s="42"/>
      <c r="AI384" s="42"/>
      <c r="AJ384" s="42"/>
      <c r="AK384" s="42"/>
      <c r="AL384" s="42"/>
      <c r="AM384" s="42"/>
    </row>
    <row r="385" spans="2:50" ht="10.15" x14ac:dyDescent="0.2">
      <c r="B385" s="20" t="s">
        <v>226</v>
      </c>
      <c r="H385" s="42"/>
      <c r="I385" s="42"/>
      <c r="J385" s="42"/>
      <c r="K385" s="42"/>
      <c r="L385" s="173">
        <f t="shared" ref="L385:U391" si="1640">IFERROR(L374/H374-1,"n/a")</f>
        <v>2.5632289504557355</v>
      </c>
      <c r="M385" s="173">
        <f t="shared" si="1640"/>
        <v>1.7276271303678858</v>
      </c>
      <c r="N385" s="173">
        <f t="shared" si="1640"/>
        <v>1.2565997959077313</v>
      </c>
      <c r="O385" s="173">
        <f t="shared" si="1640"/>
        <v>0.91346813691115147</v>
      </c>
      <c r="P385" s="173">
        <f t="shared" si="1640"/>
        <v>0.39100661683399962</v>
      </c>
      <c r="Q385" s="173">
        <f t="shared" si="1640"/>
        <v>0.7093819723389545</v>
      </c>
      <c r="R385" s="173">
        <f t="shared" si="1640"/>
        <v>0.86022792375125801</v>
      </c>
      <c r="S385" s="173">
        <f t="shared" si="1640"/>
        <v>0.95339764351096257</v>
      </c>
      <c r="T385" s="173">
        <f t="shared" si="1640"/>
        <v>1.5693358119684575</v>
      </c>
      <c r="U385" s="173">
        <f t="shared" si="1640"/>
        <v>0.63554164935125335</v>
      </c>
      <c r="V385" s="173">
        <f t="shared" ref="V385:AG391" si="1641">IFERROR(V374/R374-1,"n/a")</f>
        <v>0.43746349571592291</v>
      </c>
      <c r="W385" s="173">
        <f t="shared" si="1641"/>
        <v>0.18513004060094174</v>
      </c>
      <c r="X385" s="173">
        <f t="shared" si="1641"/>
        <v>0.28678333380339938</v>
      </c>
      <c r="Y385" s="173">
        <f t="shared" si="1641"/>
        <v>0.39226037847906059</v>
      </c>
      <c r="Z385" s="173">
        <f t="shared" si="1641"/>
        <v>0.58391058622251402</v>
      </c>
      <c r="AA385" s="173">
        <f t="shared" si="1641"/>
        <v>0.3808339629505475</v>
      </c>
      <c r="AB385" s="173">
        <f t="shared" si="1641"/>
        <v>0.50037384850282995</v>
      </c>
      <c r="AC385" s="173">
        <f t="shared" si="1641"/>
        <v>0.50690648354835566</v>
      </c>
      <c r="AD385" s="173">
        <f t="shared" si="1641"/>
        <v>0.39619269852979588</v>
      </c>
      <c r="AE385" s="173">
        <f t="shared" si="1641"/>
        <v>0.57194570951141555</v>
      </c>
      <c r="AF385" s="173">
        <f t="shared" si="1641"/>
        <v>0.55834602644959386</v>
      </c>
      <c r="AG385" s="173">
        <f t="shared" si="1641"/>
        <v>0.29481150510490517</v>
      </c>
      <c r="AH385" s="173">
        <f t="shared" ref="AH385:AI391" si="1642">IFERROR(AH374/AD374-1,"n/a")</f>
        <v>0.21337437024682648</v>
      </c>
      <c r="AI385" s="173">
        <f t="shared" si="1642"/>
        <v>0.18139979192123223</v>
      </c>
      <c r="AJ385" s="173">
        <f t="shared" ref="AJ385:AJ391" si="1643">IFERROR(AJ374/AF374-1,"n/a")</f>
        <v>0.12422449980655381</v>
      </c>
      <c r="AK385" s="173">
        <f t="shared" ref="AK385:AK391" si="1644">IFERROR(AK374/AG374-1,"n/a")</f>
        <v>0.13585258499999986</v>
      </c>
      <c r="AL385" s="173">
        <f t="shared" ref="AL385:AL391" si="1645">IFERROR(AL374/AH374-1,"n/a")</f>
        <v>0.14780892799999967</v>
      </c>
      <c r="AM385" s="173">
        <f t="shared" ref="AM385:AM391" si="1646">IFERROR(AM374/AI374-1,"n/a")</f>
        <v>0.18124025599999971</v>
      </c>
      <c r="AP385" s="173" t="str">
        <f t="shared" ref="AP385:AP391" si="1647">IFERROR(AP374/AO374-1,"n/a")</f>
        <v>n/a</v>
      </c>
      <c r="AQ385" s="173">
        <f t="shared" ref="AQ385:AV385" si="1648">IFERROR(AQ374/AP374-1,"n/a")</f>
        <v>8.5227098881561272</v>
      </c>
      <c r="AR385" s="173">
        <f t="shared" si="1648"/>
        <v>1.3284674017580538</v>
      </c>
      <c r="AS385" s="173">
        <f t="shared" si="1648"/>
        <v>0.78840982468587506</v>
      </c>
      <c r="AT385" s="173">
        <f t="shared" si="1648"/>
        <v>0.51319465354336335</v>
      </c>
      <c r="AU385" s="173">
        <f t="shared" si="1648"/>
        <v>0.41561615316768075</v>
      </c>
      <c r="AV385" s="173">
        <f t="shared" si="1648"/>
        <v>0.49472037731692042</v>
      </c>
      <c r="AW385" s="173">
        <f t="shared" ref="AW385:AX385" si="1649">IFERROR(AW374/AV374-1,"n/a")</f>
        <v>0.28456932988020567</v>
      </c>
      <c r="AX385" s="173">
        <f t="shared" si="1649"/>
        <v>0.14950198921015367</v>
      </c>
    </row>
    <row r="386" spans="2:50" ht="12" x14ac:dyDescent="0.35">
      <c r="B386" s="20" t="s">
        <v>227</v>
      </c>
      <c r="H386" s="42"/>
      <c r="I386" s="42"/>
      <c r="J386" s="42"/>
      <c r="K386" s="42"/>
      <c r="L386" s="180">
        <f t="shared" si="1640"/>
        <v>1.1583412898185919</v>
      </c>
      <c r="M386" s="180">
        <f t="shared" si="1640"/>
        <v>1.4340420119848325</v>
      </c>
      <c r="N386" s="180">
        <f t="shared" si="1640"/>
        <v>1.014931968775187</v>
      </c>
      <c r="O386" s="180">
        <f t="shared" si="1640"/>
        <v>0.86972904805052553</v>
      </c>
      <c r="P386" s="180">
        <f t="shared" si="1640"/>
        <v>0.75738366929740786</v>
      </c>
      <c r="Q386" s="180">
        <f t="shared" si="1640"/>
        <v>0.38360502348302128</v>
      </c>
      <c r="R386" s="180">
        <f t="shared" si="1640"/>
        <v>0.65998208084058052</v>
      </c>
      <c r="S386" s="180">
        <f t="shared" si="1640"/>
        <v>0.53065325125825313</v>
      </c>
      <c r="T386" s="180">
        <f t="shared" si="1640"/>
        <v>0.28997195882286664</v>
      </c>
      <c r="U386" s="180">
        <f t="shared" si="1640"/>
        <v>-0.22612178451011755</v>
      </c>
      <c r="V386" s="180">
        <f t="shared" si="1641"/>
        <v>-0.66258580329187344</v>
      </c>
      <c r="W386" s="180">
        <f t="shared" si="1641"/>
        <v>-0.28821753036550768</v>
      </c>
      <c r="X386" s="180">
        <f t="shared" si="1641"/>
        <v>0.4635980251273657</v>
      </c>
      <c r="Y386" s="180">
        <f t="shared" si="1641"/>
        <v>1.5417664451825916</v>
      </c>
      <c r="Z386" s="180">
        <f t="shared" si="1641"/>
        <v>4.751502094003226</v>
      </c>
      <c r="AA386" s="180">
        <f t="shared" si="1641"/>
        <v>1.9462924263187582</v>
      </c>
      <c r="AB386" s="180">
        <f t="shared" si="1641"/>
        <v>0.78043815497400804</v>
      </c>
      <c r="AC386" s="180">
        <f t="shared" si="1641"/>
        <v>0.84178933588305482</v>
      </c>
      <c r="AD386" s="180">
        <f t="shared" si="1641"/>
        <v>0.49603070036694707</v>
      </c>
      <c r="AE386" s="180">
        <f t="shared" si="1641"/>
        <v>1.0344565883986823</v>
      </c>
      <c r="AF386" s="180">
        <f t="shared" si="1641"/>
        <v>0.62473359732297062</v>
      </c>
      <c r="AG386" s="180">
        <f t="shared" si="1641"/>
        <v>0.45593328906050012</v>
      </c>
      <c r="AH386" s="180">
        <f t="shared" si="1642"/>
        <v>0.20199849784808888</v>
      </c>
      <c r="AI386" s="180">
        <f t="shared" si="1642"/>
        <v>-0.40306062759079686</v>
      </c>
      <c r="AJ386" s="180">
        <f t="shared" si="1643"/>
        <v>-0.36246322688350519</v>
      </c>
      <c r="AK386" s="180">
        <f t="shared" si="1644"/>
        <v>-0.31000000000000005</v>
      </c>
      <c r="AL386" s="180">
        <f t="shared" si="1645"/>
        <v>-8.0000000000000182E-2</v>
      </c>
      <c r="AM386" s="180">
        <f t="shared" si="1646"/>
        <v>0.14999999999999991</v>
      </c>
      <c r="AP386" s="180">
        <f t="shared" si="1647"/>
        <v>10.007871406081698</v>
      </c>
      <c r="AQ386" s="180">
        <f t="shared" ref="AQ386:AV391" si="1650">IFERROR(AQ375/AP375-1,"n/a")</f>
        <v>2.0191319041955826</v>
      </c>
      <c r="AR386" s="180">
        <f t="shared" si="1650"/>
        <v>1.0744289974850645</v>
      </c>
      <c r="AS386" s="180">
        <f t="shared" si="1650"/>
        <v>0.56613284885259696</v>
      </c>
      <c r="AT386" s="180">
        <f t="shared" si="1650"/>
        <v>-0.25399249770904508</v>
      </c>
      <c r="AU386" s="180">
        <f t="shared" si="1650"/>
        <v>1.6630195072978946</v>
      </c>
      <c r="AV386" s="180">
        <f t="shared" si="1650"/>
        <v>0.80979596316052338</v>
      </c>
      <c r="AW386" s="180">
        <f t="shared" ref="AW386:AX386" si="1651">IFERROR(AW375/AV375-1,"n/a")</f>
        <v>0.10421885932173813</v>
      </c>
      <c r="AX386" s="180">
        <f t="shared" si="1651"/>
        <v>-0.1770121144836877</v>
      </c>
    </row>
    <row r="387" spans="2:50" ht="10.15" x14ac:dyDescent="0.2">
      <c r="B387" s="30" t="s">
        <v>224</v>
      </c>
      <c r="H387" s="42"/>
      <c r="I387" s="42"/>
      <c r="J387" s="42"/>
      <c r="K387" s="42"/>
      <c r="L387" s="173">
        <f t="shared" si="1640"/>
        <v>2.2826743242111105</v>
      </c>
      <c r="M387" s="173">
        <f t="shared" si="1640"/>
        <v>1.6909871593173387</v>
      </c>
      <c r="N387" s="173">
        <f t="shared" si="1640"/>
        <v>1.228059511009608</v>
      </c>
      <c r="O387" s="173">
        <f t="shared" si="1640"/>
        <v>0.90889191608939801</v>
      </c>
      <c r="P387" s="173">
        <f t="shared" si="1640"/>
        <v>0.4391123038701894</v>
      </c>
      <c r="Q387" s="173">
        <f t="shared" si="1640"/>
        <v>0.67260653211903199</v>
      </c>
      <c r="R387" s="173">
        <f t="shared" si="1640"/>
        <v>0.83884157835534645</v>
      </c>
      <c r="S387" s="173">
        <f t="shared" si="1640"/>
        <v>0.91007525100974562</v>
      </c>
      <c r="T387" s="173">
        <f t="shared" si="1640"/>
        <v>1.3642034723615666</v>
      </c>
      <c r="U387" s="173">
        <f t="shared" si="1640"/>
        <v>0.55507914722833318</v>
      </c>
      <c r="V387" s="173">
        <f t="shared" si="1641"/>
        <v>0.33140528375095668</v>
      </c>
      <c r="W387" s="173">
        <f t="shared" si="1641"/>
        <v>0.14625766601096002</v>
      </c>
      <c r="X387" s="173">
        <f t="shared" si="1641"/>
        <v>0.30225203403598488</v>
      </c>
      <c r="Y387" s="173">
        <f t="shared" si="1641"/>
        <v>0.44567833394894607</v>
      </c>
      <c r="Z387" s="173">
        <f t="shared" si="1641"/>
        <v>0.68573932677207217</v>
      </c>
      <c r="AA387" s="173">
        <f t="shared" si="1641"/>
        <v>0.46066421520824719</v>
      </c>
      <c r="AB387" s="173">
        <f t="shared" si="1641"/>
        <v>0.527911063102805</v>
      </c>
      <c r="AC387" s="173">
        <f t="shared" si="1641"/>
        <v>0.53426754073777327</v>
      </c>
      <c r="AD387" s="173">
        <f t="shared" si="1641"/>
        <v>0.4045155466976007</v>
      </c>
      <c r="AE387" s="173">
        <f t="shared" si="1641"/>
        <v>0.61952011445522248</v>
      </c>
      <c r="AF387" s="173">
        <f t="shared" si="1641"/>
        <v>0.56595240336123553</v>
      </c>
      <c r="AG387" s="173">
        <f t="shared" si="1641"/>
        <v>0.31061427012812848</v>
      </c>
      <c r="AH387" s="173">
        <f t="shared" si="1642"/>
        <v>0.21236424608691262</v>
      </c>
      <c r="AI387" s="173">
        <f t="shared" si="1642"/>
        <v>0.10587864117633372</v>
      </c>
      <c r="AJ387" s="173">
        <f t="shared" si="1643"/>
        <v>6.6368945138880031E-2</v>
      </c>
      <c r="AK387" s="173">
        <f t="shared" si="1644"/>
        <v>8.727491353237804E-2</v>
      </c>
      <c r="AL387" s="173">
        <f t="shared" si="1645"/>
        <v>0.12775351583056382</v>
      </c>
      <c r="AM387" s="173">
        <f t="shared" si="1646"/>
        <v>0.17906128810240785</v>
      </c>
      <c r="AP387" s="173">
        <f t="shared" si="1647"/>
        <v>35.057067694092304</v>
      </c>
      <c r="AQ387" s="173">
        <f t="shared" si="1650"/>
        <v>6.5372309042788181</v>
      </c>
      <c r="AR387" s="173">
        <f t="shared" si="1650"/>
        <v>1.2974015986292673</v>
      </c>
      <c r="AS387" s="173">
        <f t="shared" si="1650"/>
        <v>0.76386616363453186</v>
      </c>
      <c r="AT387" s="173">
        <f t="shared" si="1650"/>
        <v>0.43797884029196377</v>
      </c>
      <c r="AU387" s="173">
        <f t="shared" si="1650"/>
        <v>0.47906232774158108</v>
      </c>
      <c r="AV387" s="173">
        <f t="shared" si="1650"/>
        <v>0.52357405386512079</v>
      </c>
      <c r="AW387" s="173">
        <f t="shared" ref="AW387:AX387" si="1652">IFERROR(AW376/AV376-1,"n/a")</f>
        <v>0.26495065214190072</v>
      </c>
      <c r="AX387" s="173">
        <f t="shared" si="1652"/>
        <v>0.11849668649124356</v>
      </c>
    </row>
    <row r="388" spans="2:50" ht="12" x14ac:dyDescent="0.35">
      <c r="B388" s="20" t="s">
        <v>223</v>
      </c>
      <c r="H388" s="42"/>
      <c r="I388" s="42"/>
      <c r="J388" s="42"/>
      <c r="K388" s="42"/>
      <c r="L388" s="180" t="str">
        <f t="shared" si="1640"/>
        <v>n/a</v>
      </c>
      <c r="M388" s="180" t="str">
        <f t="shared" si="1640"/>
        <v>n/a</v>
      </c>
      <c r="N388" s="180" t="str">
        <f t="shared" si="1640"/>
        <v>n/a</v>
      </c>
      <c r="O388" s="180" t="str">
        <f t="shared" si="1640"/>
        <v>n/a</v>
      </c>
      <c r="P388" s="180" t="str">
        <f t="shared" si="1640"/>
        <v>n/a</v>
      </c>
      <c r="Q388" s="180" t="str">
        <f t="shared" si="1640"/>
        <v>n/a</v>
      </c>
      <c r="R388" s="180" t="str">
        <f t="shared" si="1640"/>
        <v>n/a</v>
      </c>
      <c r="S388" s="180" t="str">
        <f t="shared" si="1640"/>
        <v>n/a</v>
      </c>
      <c r="T388" s="180" t="str">
        <f t="shared" si="1640"/>
        <v>n/a</v>
      </c>
      <c r="U388" s="180" t="str">
        <f t="shared" si="1640"/>
        <v>n/a</v>
      </c>
      <c r="V388" s="180">
        <f t="shared" si="1641"/>
        <v>-0.79096130053815727</v>
      </c>
      <c r="W388" s="180">
        <f t="shared" si="1641"/>
        <v>-0.98475656928741362</v>
      </c>
      <c r="X388" s="180">
        <f t="shared" si="1641"/>
        <v>-0.99144109701963534</v>
      </c>
      <c r="Y388" s="180">
        <f t="shared" si="1641"/>
        <v>-0.9741032794511999</v>
      </c>
      <c r="Z388" s="180">
        <f t="shared" si="1641"/>
        <v>-0.31307312914814589</v>
      </c>
      <c r="AA388" s="180">
        <f t="shared" si="1641"/>
        <v>-0.28743020863943991</v>
      </c>
      <c r="AB388" s="180">
        <f t="shared" si="1641"/>
        <v>-1</v>
      </c>
      <c r="AC388" s="180">
        <f t="shared" si="1641"/>
        <v>-1</v>
      </c>
      <c r="AD388" s="180">
        <f t="shared" si="1641"/>
        <v>-1</v>
      </c>
      <c r="AE388" s="180">
        <f t="shared" si="1641"/>
        <v>-1</v>
      </c>
      <c r="AF388" s="180" t="str">
        <f t="shared" si="1641"/>
        <v>n/a</v>
      </c>
      <c r="AG388" s="180" t="str">
        <f t="shared" si="1641"/>
        <v>n/a</v>
      </c>
      <c r="AH388" s="180" t="str">
        <f t="shared" si="1642"/>
        <v>n/a</v>
      </c>
      <c r="AI388" s="180" t="str">
        <f t="shared" si="1642"/>
        <v>n/a</v>
      </c>
      <c r="AJ388" s="180" t="str">
        <f t="shared" si="1643"/>
        <v>n/a</v>
      </c>
      <c r="AK388" s="180" t="str">
        <f t="shared" si="1644"/>
        <v>n/a</v>
      </c>
      <c r="AL388" s="180" t="str">
        <f t="shared" si="1645"/>
        <v>n/a</v>
      </c>
      <c r="AM388" s="180" t="str">
        <f t="shared" si="1646"/>
        <v>n/a</v>
      </c>
      <c r="AP388" s="180">
        <f t="shared" si="1647"/>
        <v>-0.99258631413878595</v>
      </c>
      <c r="AQ388" s="180">
        <f t="shared" si="1650"/>
        <v>-1</v>
      </c>
      <c r="AR388" s="180" t="str">
        <f t="shared" si="1650"/>
        <v>n/a</v>
      </c>
      <c r="AS388" s="180" t="str">
        <f t="shared" si="1650"/>
        <v>n/a</v>
      </c>
      <c r="AT388" s="180">
        <f t="shared" si="1650"/>
        <v>0.26004217594781531</v>
      </c>
      <c r="AU388" s="180">
        <f t="shared" si="1650"/>
        <v>-0.97113325148687124</v>
      </c>
      <c r="AV388" s="180">
        <f t="shared" si="1650"/>
        <v>-1</v>
      </c>
      <c r="AW388" s="180" t="str">
        <f t="shared" ref="AW388:AX388" si="1653">IFERROR(AW377/AV377-1,"n/a")</f>
        <v>n/a</v>
      </c>
      <c r="AX388" s="180" t="str">
        <f t="shared" si="1653"/>
        <v>n/a</v>
      </c>
    </row>
    <row r="389" spans="2:50" ht="10.15" x14ac:dyDescent="0.2">
      <c r="B389" s="30" t="s">
        <v>379</v>
      </c>
      <c r="H389" s="42"/>
      <c r="I389" s="42"/>
      <c r="J389" s="42"/>
      <c r="K389" s="42"/>
      <c r="L389" s="173">
        <f t="shared" si="1640"/>
        <v>2.2826743242111105</v>
      </c>
      <c r="M389" s="173">
        <f t="shared" si="1640"/>
        <v>1.6909871593173387</v>
      </c>
      <c r="N389" s="173">
        <f t="shared" si="1640"/>
        <v>1.228059511009608</v>
      </c>
      <c r="O389" s="173">
        <f t="shared" si="1640"/>
        <v>0.90889191608939801</v>
      </c>
      <c r="P389" s="173">
        <f t="shared" si="1640"/>
        <v>0.4391123038701894</v>
      </c>
      <c r="Q389" s="173">
        <f t="shared" si="1640"/>
        <v>0.67260653211903199</v>
      </c>
      <c r="R389" s="173">
        <f t="shared" si="1640"/>
        <v>0.89112061994573266</v>
      </c>
      <c r="S389" s="173">
        <f t="shared" si="1640"/>
        <v>1.4065067364379868</v>
      </c>
      <c r="T389" s="173">
        <f t="shared" si="1640"/>
        <v>2.1475839616676562</v>
      </c>
      <c r="U389" s="173">
        <f t="shared" si="1640"/>
        <v>0.71567230831701178</v>
      </c>
      <c r="V389" s="173">
        <f t="shared" si="1641"/>
        <v>0.30037804586837558</v>
      </c>
      <c r="W389" s="173">
        <f t="shared" si="1641"/>
        <v>-8.7056069773849831E-2</v>
      </c>
      <c r="X389" s="173">
        <f t="shared" si="1641"/>
        <v>-1.9726337426210994E-2</v>
      </c>
      <c r="Y389" s="173">
        <f t="shared" si="1641"/>
        <v>0.31278161687412354</v>
      </c>
      <c r="Z389" s="173">
        <f t="shared" si="1641"/>
        <v>0.6813006920832767</v>
      </c>
      <c r="AA389" s="173">
        <f t="shared" si="1641"/>
        <v>0.45808749496367196</v>
      </c>
      <c r="AB389" s="173">
        <f t="shared" si="1641"/>
        <v>0.52459086290042301</v>
      </c>
      <c r="AC389" s="173">
        <f t="shared" si="1641"/>
        <v>0.53143454392432643</v>
      </c>
      <c r="AD389" s="173">
        <f t="shared" si="1641"/>
        <v>0.40196544724799321</v>
      </c>
      <c r="AE389" s="173">
        <f t="shared" si="1641"/>
        <v>0.61679401924354416</v>
      </c>
      <c r="AF389" s="173">
        <f t="shared" si="1641"/>
        <v>0.56595240336123553</v>
      </c>
      <c r="AG389" s="173">
        <f t="shared" si="1641"/>
        <v>0.31061427012812848</v>
      </c>
      <c r="AH389" s="173">
        <f t="shared" si="1642"/>
        <v>0.21236424608691262</v>
      </c>
      <c r="AI389" s="173">
        <f t="shared" si="1642"/>
        <v>0.10587864117633372</v>
      </c>
      <c r="AJ389" s="173">
        <f t="shared" si="1643"/>
        <v>6.6368945138880031E-2</v>
      </c>
      <c r="AK389" s="173">
        <f t="shared" si="1644"/>
        <v>8.727491353237804E-2</v>
      </c>
      <c r="AL389" s="173">
        <f t="shared" si="1645"/>
        <v>0.12775351583056382</v>
      </c>
      <c r="AM389" s="173">
        <f t="shared" si="1646"/>
        <v>0.17906128810240785</v>
      </c>
      <c r="AP389" s="173">
        <f t="shared" si="1647"/>
        <v>2.4545461748114348</v>
      </c>
      <c r="AQ389" s="173">
        <f t="shared" si="1650"/>
        <v>6.5226022260497825</v>
      </c>
      <c r="AR389" s="173">
        <f t="shared" si="1650"/>
        <v>1.2974015986292673</v>
      </c>
      <c r="AS389" s="173">
        <f t="shared" si="1650"/>
        <v>0.95465286490465151</v>
      </c>
      <c r="AT389" s="173">
        <f t="shared" si="1650"/>
        <v>0.42061107651418195</v>
      </c>
      <c r="AU389" s="173">
        <f t="shared" si="1650"/>
        <v>0.35351284695267982</v>
      </c>
      <c r="AV389" s="173">
        <f t="shared" si="1650"/>
        <v>0.5207609394339543</v>
      </c>
      <c r="AW389" s="173">
        <f t="shared" ref="AW389:AX389" si="1654">IFERROR(AW378/AV378-1,"n/a")</f>
        <v>0.26495065214190072</v>
      </c>
      <c r="AX389" s="173">
        <f t="shared" si="1654"/>
        <v>0.11849668649124356</v>
      </c>
    </row>
    <row r="390" spans="2:50" ht="12" x14ac:dyDescent="0.35">
      <c r="B390" s="20" t="s">
        <v>378</v>
      </c>
      <c r="H390" s="42"/>
      <c r="I390" s="42"/>
      <c r="J390" s="42"/>
      <c r="K390" s="42"/>
      <c r="L390" s="180" t="str">
        <f t="shared" si="1640"/>
        <v>n/a</v>
      </c>
      <c r="M390" s="180" t="str">
        <f t="shared" si="1640"/>
        <v>n/a</v>
      </c>
      <c r="N390" s="180" t="str">
        <f t="shared" si="1640"/>
        <v>n/a</v>
      </c>
      <c r="O390" s="180" t="str">
        <f t="shared" si="1640"/>
        <v>n/a</v>
      </c>
      <c r="P390" s="180" t="str">
        <f t="shared" si="1640"/>
        <v>n/a</v>
      </c>
      <c r="Q390" s="180" t="str">
        <f t="shared" si="1640"/>
        <v>n/a</v>
      </c>
      <c r="R390" s="180" t="str">
        <f t="shared" si="1640"/>
        <v>n/a</v>
      </c>
      <c r="S390" s="180" t="str">
        <f t="shared" si="1640"/>
        <v>n/a</v>
      </c>
      <c r="T390" s="180" t="str">
        <f t="shared" si="1640"/>
        <v>n/a</v>
      </c>
      <c r="U390" s="180" t="str">
        <f t="shared" si="1640"/>
        <v>n/a</v>
      </c>
      <c r="V390" s="180" t="str">
        <f t="shared" si="1641"/>
        <v>n/a</v>
      </c>
      <c r="W390" s="180">
        <f t="shared" si="1641"/>
        <v>5.1209414255891366</v>
      </c>
      <c r="X390" s="180">
        <f t="shared" si="1641"/>
        <v>1.2877038815952888</v>
      </c>
      <c r="Y390" s="180">
        <f t="shared" si="1641"/>
        <v>0.86999827770111304</v>
      </c>
      <c r="Z390" s="180">
        <f t="shared" si="1641"/>
        <v>0.4655103557106155</v>
      </c>
      <c r="AA390" s="180">
        <f t="shared" si="1641"/>
        <v>0.36709717541733977</v>
      </c>
      <c r="AB390" s="180">
        <f t="shared" si="1641"/>
        <v>0.50048079743750717</v>
      </c>
      <c r="AC390" s="180">
        <f t="shared" si="1641"/>
        <v>0.44455613699845231</v>
      </c>
      <c r="AD390" s="180">
        <f t="shared" si="1641"/>
        <v>0.42243095751019544</v>
      </c>
      <c r="AE390" s="180">
        <f t="shared" si="1641"/>
        <v>0.33226624359190637</v>
      </c>
      <c r="AF390" s="180">
        <f t="shared" si="1641"/>
        <v>9.9914739924688911E-2</v>
      </c>
      <c r="AG390" s="180">
        <f t="shared" si="1641"/>
        <v>0.10595243667281262</v>
      </c>
      <c r="AH390" s="180">
        <f t="shared" si="1642"/>
        <v>0.12500000000000022</v>
      </c>
      <c r="AI390" s="180">
        <f t="shared" si="1642"/>
        <v>0.10000000000000009</v>
      </c>
      <c r="AJ390" s="180">
        <f t="shared" si="1643"/>
        <v>0.10000000000000009</v>
      </c>
      <c r="AK390" s="180">
        <f t="shared" si="1644"/>
        <v>0.10000000000000009</v>
      </c>
      <c r="AL390" s="180">
        <f t="shared" si="1645"/>
        <v>0.10000000000000009</v>
      </c>
      <c r="AM390" s="180">
        <f t="shared" si="1646"/>
        <v>0.10000000000000009</v>
      </c>
      <c r="AP390" s="180" t="str">
        <f t="shared" si="1647"/>
        <v>n/a</v>
      </c>
      <c r="AQ390" s="180" t="str">
        <f t="shared" si="1650"/>
        <v>n/a</v>
      </c>
      <c r="AR390" s="180" t="str">
        <f t="shared" si="1650"/>
        <v>n/a</v>
      </c>
      <c r="AS390" s="180" t="str">
        <f t="shared" si="1650"/>
        <v>n/a</v>
      </c>
      <c r="AT390" s="180">
        <f t="shared" si="1650"/>
        <v>16.831223161098968</v>
      </c>
      <c r="AU390" s="180">
        <f t="shared" si="1650"/>
        <v>0.64222793857818328</v>
      </c>
      <c r="AV390" s="180">
        <f t="shared" si="1650"/>
        <v>0.41863278568251316</v>
      </c>
      <c r="AW390" s="180">
        <f t="shared" ref="AW390:AX390" si="1655">IFERROR(AW379/AV379-1,"n/a")</f>
        <v>0.10801860299355637</v>
      </c>
      <c r="AX390" s="180">
        <f t="shared" si="1655"/>
        <v>0.10000000000000009</v>
      </c>
    </row>
    <row r="391" spans="2:50" ht="10.15" x14ac:dyDescent="0.2">
      <c r="B391" s="30" t="s">
        <v>340</v>
      </c>
      <c r="H391" s="42"/>
      <c r="I391" s="42"/>
      <c r="J391" s="42"/>
      <c r="K391" s="42"/>
      <c r="L391" s="173">
        <f t="shared" si="1640"/>
        <v>2.2826743242111105</v>
      </c>
      <c r="M391" s="173">
        <f t="shared" si="1640"/>
        <v>1.6909871593173387</v>
      </c>
      <c r="N391" s="173">
        <f t="shared" si="1640"/>
        <v>1.228059511009608</v>
      </c>
      <c r="O391" s="173">
        <f t="shared" si="1640"/>
        <v>0.90889191608939801</v>
      </c>
      <c r="P391" s="173">
        <f t="shared" si="1640"/>
        <v>0.4391123038701894</v>
      </c>
      <c r="Q391" s="173">
        <f t="shared" si="1640"/>
        <v>0.67260653211903199</v>
      </c>
      <c r="R391" s="173">
        <f t="shared" si="1640"/>
        <v>0.89112061994573266</v>
      </c>
      <c r="S391" s="173">
        <f t="shared" si="1640"/>
        <v>1.4597779096773138</v>
      </c>
      <c r="T391" s="173">
        <f t="shared" si="1640"/>
        <v>2.388915923247291</v>
      </c>
      <c r="U391" s="173">
        <f t="shared" si="1640"/>
        <v>0.89007009168548512</v>
      </c>
      <c r="V391" s="173">
        <f t="shared" si="1641"/>
        <v>0.51344742656854292</v>
      </c>
      <c r="W391" s="173">
        <f t="shared" si="1641"/>
        <v>2.5733030296513082E-2</v>
      </c>
      <c r="X391" s="173">
        <f t="shared" si="1641"/>
        <v>7.3378568842048075E-2</v>
      </c>
      <c r="Y391" s="173">
        <f t="shared" si="1641"/>
        <v>0.36419629770088102</v>
      </c>
      <c r="Z391" s="173">
        <f t="shared" si="1641"/>
        <v>0.65092083710790383</v>
      </c>
      <c r="AA391" s="173">
        <f t="shared" si="1641"/>
        <v>0.44632835829795137</v>
      </c>
      <c r="AB391" s="173">
        <f t="shared" si="1641"/>
        <v>0.52093155184927054</v>
      </c>
      <c r="AC391" s="173">
        <f t="shared" si="1641"/>
        <v>0.52044602300115539</v>
      </c>
      <c r="AD391" s="173">
        <f t="shared" si="1641"/>
        <v>0.40452308435531292</v>
      </c>
      <c r="AE391" s="173">
        <f t="shared" si="1641"/>
        <v>0.58203741004417386</v>
      </c>
      <c r="AF391" s="173">
        <f t="shared" si="1641"/>
        <v>0.49617051362031694</v>
      </c>
      <c r="AG391" s="173">
        <f t="shared" si="1641"/>
        <v>0.28602035512208568</v>
      </c>
      <c r="AH391" s="173">
        <f t="shared" si="1642"/>
        <v>0.20130686202206904</v>
      </c>
      <c r="AI391" s="173">
        <f t="shared" si="1642"/>
        <v>0.10527390777117929</v>
      </c>
      <c r="AJ391" s="173">
        <f t="shared" si="1643"/>
        <v>7.0070976812547148E-2</v>
      </c>
      <c r="AK391" s="173">
        <f t="shared" si="1644"/>
        <v>8.8589957146401277E-2</v>
      </c>
      <c r="AL391" s="173">
        <f t="shared" si="1645"/>
        <v>0.12446397536404974</v>
      </c>
      <c r="AM391" s="173">
        <f t="shared" si="1646"/>
        <v>0.17096709314984615</v>
      </c>
      <c r="AP391" s="173">
        <f t="shared" si="1647"/>
        <v>2.4545461748114348</v>
      </c>
      <c r="AQ391" s="173">
        <f t="shared" si="1650"/>
        <v>6.5226022260497825</v>
      </c>
      <c r="AR391" s="173">
        <f t="shared" si="1650"/>
        <v>1.2974015986292673</v>
      </c>
      <c r="AS391" s="173">
        <f t="shared" si="1650"/>
        <v>0.97372735733921867</v>
      </c>
      <c r="AT391" s="173">
        <f t="shared" si="1650"/>
        <v>0.57920648478577719</v>
      </c>
      <c r="AU391" s="173">
        <f t="shared" si="1650"/>
        <v>0.38501770534942104</v>
      </c>
      <c r="AV391" s="173">
        <f t="shared" si="1650"/>
        <v>0.50754702049822598</v>
      </c>
      <c r="AW391" s="173">
        <f t="shared" ref="AW391:AX391" si="1656">IFERROR(AW380/AV380-1,"n/a")</f>
        <v>0.24584345745701985</v>
      </c>
      <c r="AX391" s="173">
        <f t="shared" si="1656"/>
        <v>0.11649377021935314</v>
      </c>
    </row>
    <row r="392" spans="2:50" ht="12" x14ac:dyDescent="0.35">
      <c r="B392" s="20" t="s">
        <v>341</v>
      </c>
      <c r="L392" s="180" t="str">
        <f t="shared" ref="L392:AI392" si="1657">+IFERROR(L381/H381-1,"n/a")</f>
        <v>n/a</v>
      </c>
      <c r="M392" s="180" t="str">
        <f t="shared" si="1657"/>
        <v>n/a</v>
      </c>
      <c r="N392" s="180" t="str">
        <f t="shared" si="1657"/>
        <v>n/a</v>
      </c>
      <c r="O392" s="180" t="str">
        <f t="shared" si="1657"/>
        <v>n/a</v>
      </c>
      <c r="P392" s="180" t="str">
        <f t="shared" si="1657"/>
        <v>n/a</v>
      </c>
      <c r="Q392" s="180" t="str">
        <f t="shared" si="1657"/>
        <v>n/a</v>
      </c>
      <c r="R392" s="180" t="str">
        <f t="shared" si="1657"/>
        <v>n/a</v>
      </c>
      <c r="S392" s="180" t="str">
        <f t="shared" si="1657"/>
        <v>n/a</v>
      </c>
      <c r="T392" s="180" t="str">
        <f t="shared" si="1657"/>
        <v>n/a</v>
      </c>
      <c r="U392" s="180" t="str">
        <f t="shared" si="1657"/>
        <v>n/a</v>
      </c>
      <c r="V392" s="180" t="str">
        <f t="shared" si="1657"/>
        <v>n/a</v>
      </c>
      <c r="W392" s="180" t="str">
        <f t="shared" si="1657"/>
        <v>n/a</v>
      </c>
      <c r="X392" s="180" t="str">
        <f t="shared" si="1657"/>
        <v>n/a</v>
      </c>
      <c r="Y392" s="180" t="str">
        <f t="shared" si="1657"/>
        <v>n/a</v>
      </c>
      <c r="Z392" s="180" t="str">
        <f t="shared" si="1657"/>
        <v>n/a</v>
      </c>
      <c r="AA392" s="180" t="str">
        <f t="shared" si="1657"/>
        <v>n/a</v>
      </c>
      <c r="AB392" s="180" t="str">
        <f t="shared" si="1657"/>
        <v>n/a</v>
      </c>
      <c r="AC392" s="180" t="str">
        <f t="shared" si="1657"/>
        <v>n/a</v>
      </c>
      <c r="AD392" s="180" t="str">
        <f t="shared" si="1657"/>
        <v>n/a</v>
      </c>
      <c r="AE392" s="180">
        <f t="shared" si="1657"/>
        <v>60.050534311408434</v>
      </c>
      <c r="AF392" s="180">
        <f t="shared" si="1657"/>
        <v>21.553184582327471</v>
      </c>
      <c r="AG392" s="180">
        <f t="shared" si="1657"/>
        <v>6.9455893347444135</v>
      </c>
      <c r="AH392" s="180">
        <f t="shared" si="1657"/>
        <v>0.98801280077110021</v>
      </c>
      <c r="AI392" s="180">
        <f t="shared" si="1657"/>
        <v>0.56144570592541387</v>
      </c>
      <c r="AJ392" s="180">
        <f t="shared" ref="AJ392" si="1658">+IFERROR(AJ381/AF381-1,"n/a")</f>
        <v>0.17000000000000037</v>
      </c>
      <c r="AK392" s="180">
        <f t="shared" ref="AK392" si="1659">+IFERROR(AK381/AG381-1,"n/a")</f>
        <v>0.30000000000000004</v>
      </c>
      <c r="AL392" s="180">
        <f t="shared" ref="AL392" si="1660">+IFERROR(AL381/AH381-1,"n/a")</f>
        <v>0.29999999999999982</v>
      </c>
      <c r="AM392" s="180">
        <f t="shared" ref="AM392" si="1661">+IFERROR(AM381/AI381-1,"n/a")</f>
        <v>0.30000000000000004</v>
      </c>
      <c r="AP392" s="180" t="str">
        <f t="shared" ref="AP392:AX392" si="1662">+IFERROR(AP381/AO381-1,"n/a")</f>
        <v>n/a</v>
      </c>
      <c r="AQ392" s="180" t="str">
        <f t="shared" si="1662"/>
        <v>n/a</v>
      </c>
      <c r="AR392" s="180" t="str">
        <f t="shared" si="1662"/>
        <v>n/a</v>
      </c>
      <c r="AS392" s="180" t="str">
        <f t="shared" si="1662"/>
        <v>n/a</v>
      </c>
      <c r="AT392" s="180" t="str">
        <f t="shared" si="1662"/>
        <v>n/a</v>
      </c>
      <c r="AU392" s="180" t="str">
        <f t="shared" si="1662"/>
        <v>n/a</v>
      </c>
      <c r="AV392" s="180">
        <f t="shared" si="1662"/>
        <v>117.25958649547904</v>
      </c>
      <c r="AW392" s="180">
        <f t="shared" si="1662"/>
        <v>1.8648605883012257</v>
      </c>
      <c r="AX392" s="180">
        <f t="shared" si="1662"/>
        <v>0.27120120247378199</v>
      </c>
    </row>
    <row r="393" spans="2:50" ht="10.15" x14ac:dyDescent="0.2">
      <c r="B393" s="30" t="s">
        <v>225</v>
      </c>
      <c r="H393" s="42"/>
      <c r="I393" s="42"/>
      <c r="J393" s="42"/>
      <c r="K393" s="42"/>
      <c r="L393" s="173">
        <f t="shared" ref="L393:AI393" si="1663">IFERROR(L382/H382-1,"n/a")</f>
        <v>2.2826743242111105</v>
      </c>
      <c r="M393" s="173">
        <f t="shared" si="1663"/>
        <v>1.6909871593173387</v>
      </c>
      <c r="N393" s="173">
        <f t="shared" si="1663"/>
        <v>1.228059511009608</v>
      </c>
      <c r="O393" s="173">
        <f t="shared" si="1663"/>
        <v>0.90889191608939801</v>
      </c>
      <c r="P393" s="173">
        <f t="shared" si="1663"/>
        <v>0.4391123038701894</v>
      </c>
      <c r="Q393" s="173">
        <f t="shared" si="1663"/>
        <v>0.67260653211903199</v>
      </c>
      <c r="R393" s="173">
        <f t="shared" si="1663"/>
        <v>0.89112061994573266</v>
      </c>
      <c r="S393" s="173">
        <f t="shared" si="1663"/>
        <v>1.4597779096773138</v>
      </c>
      <c r="T393" s="173">
        <f t="shared" si="1663"/>
        <v>2.388915923247291</v>
      </c>
      <c r="U393" s="173">
        <f t="shared" si="1663"/>
        <v>0.89007009168548512</v>
      </c>
      <c r="V393" s="173">
        <f t="shared" si="1663"/>
        <v>0.51344742656854292</v>
      </c>
      <c r="W393" s="173">
        <f t="shared" si="1663"/>
        <v>2.5733030296513082E-2</v>
      </c>
      <c r="X393" s="173">
        <f t="shared" si="1663"/>
        <v>7.3378568842048075E-2</v>
      </c>
      <c r="Y393" s="173">
        <f t="shared" si="1663"/>
        <v>0.36419629770088102</v>
      </c>
      <c r="Z393" s="173">
        <f t="shared" si="1663"/>
        <v>0.65092083710790383</v>
      </c>
      <c r="AA393" s="173">
        <f t="shared" si="1663"/>
        <v>0.46231243065313099</v>
      </c>
      <c r="AB393" s="173">
        <f t="shared" si="1663"/>
        <v>0.5818081004589073</v>
      </c>
      <c r="AC393" s="173">
        <f t="shared" si="1663"/>
        <v>0.66289651308185915</v>
      </c>
      <c r="AD393" s="173">
        <f t="shared" si="1663"/>
        <v>0.93893030546381051</v>
      </c>
      <c r="AE393" s="173">
        <f t="shared" si="1663"/>
        <v>1.2320686464610224</v>
      </c>
      <c r="AF393" s="173">
        <f t="shared" si="1663"/>
        <v>1.3065585373986544</v>
      </c>
      <c r="AG393" s="173">
        <f t="shared" si="1663"/>
        <v>0.85650616552004966</v>
      </c>
      <c r="AH393" s="173">
        <f t="shared" si="1663"/>
        <v>0.41813844868183447</v>
      </c>
      <c r="AI393" s="173">
        <f t="shared" si="1663"/>
        <v>0.2416560850968783</v>
      </c>
      <c r="AJ393" s="173">
        <f t="shared" ref="AJ393" si="1664">IFERROR(AJ382/AF382-1,"n/a")</f>
        <v>0.10767473597515353</v>
      </c>
      <c r="AK393" s="173">
        <f t="shared" ref="AK393" si="1665">IFERROR(AK382/AG382-1,"n/a")</f>
        <v>0.16609930063137024</v>
      </c>
      <c r="AL393" s="173">
        <f t="shared" ref="AL393" si="1666">IFERROR(AL382/AH382-1,"n/a")</f>
        <v>0.19228696389514655</v>
      </c>
      <c r="AM393" s="173">
        <f t="shared" ref="AM393" si="1667">IFERROR(AM382/AI382-1,"n/a")</f>
        <v>0.2194797695329056</v>
      </c>
      <c r="AP393" s="173">
        <f t="shared" ref="AP393:AV393" si="1668">IFERROR(AP382/AO382-1,"n/a")</f>
        <v>2.4545461748114348</v>
      </c>
      <c r="AQ393" s="173">
        <f t="shared" si="1668"/>
        <v>6.5226022260497807</v>
      </c>
      <c r="AR393" s="173">
        <f t="shared" si="1668"/>
        <v>1.2974015986292673</v>
      </c>
      <c r="AS393" s="173">
        <f t="shared" si="1668"/>
        <v>0.97372735733921889</v>
      </c>
      <c r="AT393" s="173">
        <f t="shared" si="1668"/>
        <v>0.57920648478577719</v>
      </c>
      <c r="AU393" s="173">
        <f t="shared" si="1668"/>
        <v>0.38965059892162324</v>
      </c>
      <c r="AV393" s="173">
        <f t="shared" si="1668"/>
        <v>0.89678138893940518</v>
      </c>
      <c r="AW393" s="173">
        <f t="shared" ref="AW393:AX393" si="1669">IFERROR(AW382/AV382-1,"n/a")</f>
        <v>0.58236837392422047</v>
      </c>
      <c r="AX393" s="173">
        <f t="shared" si="1669"/>
        <v>0.17471385823903174</v>
      </c>
    </row>
    <row r="394" spans="2:50" ht="10.15" x14ac:dyDescent="0.2">
      <c r="B394" s="30"/>
      <c r="H394" s="42"/>
      <c r="I394" s="42"/>
      <c r="J394" s="42"/>
      <c r="K394" s="42"/>
      <c r="L394" s="173"/>
      <c r="M394" s="173"/>
      <c r="N394" s="173"/>
      <c r="O394" s="173"/>
      <c r="P394" s="173"/>
      <c r="Q394" s="173"/>
      <c r="R394" s="173"/>
      <c r="S394" s="173"/>
      <c r="T394" s="173"/>
      <c r="U394" s="173"/>
      <c r="V394" s="173"/>
      <c r="W394" s="173"/>
      <c r="X394" s="173"/>
      <c r="Y394" s="173"/>
      <c r="Z394" s="173"/>
      <c r="AA394" s="173"/>
      <c r="AB394" s="173"/>
      <c r="AC394" s="173"/>
      <c r="AD394" s="173"/>
      <c r="AE394" s="173"/>
      <c r="AF394" s="173"/>
      <c r="AG394" s="173"/>
      <c r="AH394" s="173"/>
      <c r="AI394" s="173"/>
      <c r="AJ394" s="173"/>
      <c r="AK394" s="173"/>
      <c r="AL394" s="173"/>
      <c r="AM394" s="173"/>
      <c r="AP394" s="173"/>
      <c r="AQ394" s="173"/>
      <c r="AR394" s="173"/>
      <c r="AS394" s="173"/>
      <c r="AT394" s="173"/>
      <c r="AU394" s="173"/>
      <c r="AV394" s="173"/>
      <c r="AW394" s="173"/>
      <c r="AX394" s="173"/>
    </row>
    <row r="395" spans="2:50" ht="10.15" x14ac:dyDescent="0.2">
      <c r="B395" s="24" t="s">
        <v>87</v>
      </c>
      <c r="H395" s="42"/>
      <c r="I395" s="42"/>
      <c r="J395" s="42"/>
      <c r="K395" s="42"/>
      <c r="L395" s="173"/>
      <c r="M395" s="173"/>
      <c r="N395" s="173"/>
      <c r="O395" s="173"/>
      <c r="P395" s="173"/>
      <c r="Q395" s="173"/>
      <c r="R395" s="173"/>
      <c r="S395" s="173"/>
      <c r="T395" s="173"/>
      <c r="U395" s="173"/>
      <c r="V395" s="173"/>
      <c r="W395" s="173"/>
      <c r="X395" s="173"/>
      <c r="Y395" s="173"/>
      <c r="Z395" s="173"/>
      <c r="AA395" s="173"/>
      <c r="AB395" s="173"/>
      <c r="AC395" s="173"/>
      <c r="AD395" s="173"/>
      <c r="AE395" s="173"/>
      <c r="AF395" s="173"/>
      <c r="AG395" s="173"/>
      <c r="AH395" s="173"/>
      <c r="AI395" s="173"/>
      <c r="AJ395" s="173"/>
      <c r="AK395" s="173"/>
      <c r="AL395" s="173"/>
      <c r="AM395" s="173"/>
      <c r="AP395" s="173"/>
      <c r="AQ395" s="173"/>
      <c r="AR395" s="173"/>
      <c r="AS395" s="173"/>
      <c r="AT395" s="173"/>
      <c r="AU395" s="173"/>
      <c r="AV395" s="173"/>
      <c r="AW395" s="173"/>
      <c r="AX395" s="173"/>
    </row>
    <row r="396" spans="2:50" ht="10.15" x14ac:dyDescent="0.2">
      <c r="B396" s="184" t="s">
        <v>226</v>
      </c>
      <c r="H396" s="10">
        <f>+IFERROR(H398-H397,"n/a")</f>
        <v>955.60239999999976</v>
      </c>
      <c r="I396" s="10">
        <f t="shared" ref="I396:K396" si="1670">+IFERROR(I398-I397,"n/a")</f>
        <v>2186.4894000000004</v>
      </c>
      <c r="J396" s="10">
        <f t="shared" si="1670"/>
        <v>2438.9838000000004</v>
      </c>
      <c r="K396" s="10">
        <f t="shared" si="1670"/>
        <v>3995.3874000000001</v>
      </c>
      <c r="L396" s="10">
        <f t="shared" ref="L396" si="1671">+IFERROR(L398-L397,"n/a")</f>
        <v>3341.3692000000001</v>
      </c>
      <c r="M396" s="10">
        <f t="shared" ref="M396" si="1672">+IFERROR(M398-M397,"n/a")</f>
        <v>5224.4036999999998</v>
      </c>
      <c r="N396" s="10">
        <f t="shared" ref="N396" si="1673">+IFERROR(N398-N397,"n/a")</f>
        <v>5246.9337999999998</v>
      </c>
      <c r="O396" s="10">
        <f t="shared" ref="O396" si="1674">+IFERROR(O398-O397,"n/a")</f>
        <v>8165.7893000000004</v>
      </c>
      <c r="P396" s="10">
        <f t="shared" ref="P396" si="1675">+IFERROR(P398-P397,"n/a")</f>
        <v>4068.0578999999998</v>
      </c>
      <c r="Q396" s="10">
        <f t="shared" ref="Q396" si="1676">+IFERROR(Q398-Q397,"n/a")</f>
        <v>8845.0933000000005</v>
      </c>
      <c r="R396" s="10">
        <f t="shared" ref="R396" si="1677">+IFERROR(R398-R397,"n/a")</f>
        <v>10023.199499999999</v>
      </c>
      <c r="S396" s="10">
        <f t="shared" ref="M396:AI397" si="1678">+(S374-O374)*S418+O396</f>
        <v>16015.773899999998</v>
      </c>
      <c r="T396" s="10">
        <f t="shared" ref="T396" si="1679">+(T374-P374)*T418+P396</f>
        <v>11394.3915</v>
      </c>
      <c r="U396" s="10">
        <f t="shared" ref="U396" si="1680">+(U374-Q374)*U418+Q396</f>
        <v>14816.956150000002</v>
      </c>
      <c r="V396" s="10">
        <f t="shared" ref="V396" si="1681">+(V374-R374)*V418+R396</f>
        <v>14665.610499999999</v>
      </c>
      <c r="W396" s="10">
        <f t="shared" ref="W396" si="1682">+(W374-S374)*W418+S396</f>
        <v>18993.346000000001</v>
      </c>
      <c r="X396" s="10">
        <f t="shared" ref="X396" si="1683">+(X374-T374)*X418+T396</f>
        <v>14834.289649999999</v>
      </c>
      <c r="Y396" s="10">
        <f t="shared" ref="Y396" si="1684">+(Y374-U374)*Y418+U396</f>
        <v>20845.353350000001</v>
      </c>
      <c r="Z396" s="10">
        <f t="shared" ref="Z396" si="1685">+(Z374-V374)*Z418+V396</f>
        <v>25144.7595</v>
      </c>
      <c r="AA396" s="10">
        <f t="shared" ref="AA396" si="1686">+(AA374-W374)*AA418+W396</f>
        <v>27533.547999999992</v>
      </c>
      <c r="AB396" s="10">
        <f t="shared" ref="AB396" si="1687">+(AB374-X374)*AB418+X396</f>
        <v>23920.290649999999</v>
      </c>
      <c r="AC396" s="10">
        <f t="shared" ref="AC396" si="1688">+(AC374-Y374)*AC418+Y396</f>
        <v>33605.533349999998</v>
      </c>
      <c r="AD396" s="10">
        <f t="shared" ref="AD396" si="1689">+(AD374-Z374)*AD418+Z396</f>
        <v>35280.589200000002</v>
      </c>
      <c r="AE396" s="10">
        <f t="shared" ref="AE396:AG396" si="1690">+(AE374-AA374)*AE418+AA396</f>
        <v>43472.921499999997</v>
      </c>
      <c r="AF396" s="10">
        <f t="shared" si="1690"/>
        <v>37610.925950000004</v>
      </c>
      <c r="AG396" s="10">
        <f t="shared" si="1690"/>
        <v>42551.961349999998</v>
      </c>
      <c r="AH396" s="10">
        <f t="shared" ref="AH396" si="1691">+(AH374-AD374)*AH418+AD396</f>
        <v>42055.255839847065</v>
      </c>
      <c r="AI396" s="10">
        <f t="shared" ref="AI396" si="1692">+(AI374-AE374)*AI418+AE396</f>
        <v>50536.719081469906</v>
      </c>
      <c r="AJ396" s="10">
        <f t="shared" ref="AJ396:AJ397" si="1693">+(AJ374-AF374)*AJ418+AF396</f>
        <v>41830.210390272405</v>
      </c>
      <c r="AK396" s="10">
        <f t="shared" ref="AK396:AK397" si="1694">+(AK374-AG374)*AK418+AG396</f>
        <v>47889.975238490886</v>
      </c>
      <c r="AL396" s="10">
        <f t="shared" ref="AL396:AL397" si="1695">+(AL374-AH374)*AL418+AH396</f>
        <v>47749.56656543156</v>
      </c>
      <c r="AM396" s="10">
        <f t="shared" ref="AM396:AM397" si="1696">+(AM374-AI374)*AM418+AI396</f>
        <v>58874.54873729025</v>
      </c>
      <c r="AO396" s="10">
        <f>+IFERROR(AO398-AO397,"n/a")</f>
        <v>-72.728999999999999</v>
      </c>
      <c r="AP396" s="10">
        <f>+IFERROR(AP398-AP397,"n/a")</f>
        <v>1022.0420000000003</v>
      </c>
      <c r="AQ396" s="14">
        <f t="shared" ref="AQ396:AQ404" si="1697">+SUM(H396:K396)</f>
        <v>9576.4629999999997</v>
      </c>
      <c r="AR396" s="14">
        <f t="shared" ref="AR396:AR404" si="1698">+SUM(L396:O396)</f>
        <v>21978.495999999999</v>
      </c>
      <c r="AS396" s="14">
        <f t="shared" ref="AS396:AS404" si="1699">+SUM(P396:S396)</f>
        <v>38952.124599999996</v>
      </c>
      <c r="AT396" s="14">
        <f t="shared" ref="AT396:AT404" si="1700">+SUM(T396:W396)</f>
        <v>59870.304150000011</v>
      </c>
      <c r="AU396" s="14">
        <f t="shared" ref="AU396:AU404" si="1701">+SUM(X396:AA396)</f>
        <v>88357.950499999992</v>
      </c>
      <c r="AV396" s="14">
        <f t="shared" ref="AV396:AV404" si="1702">+SUM(AB396:AE396)</f>
        <v>136279.33470000001</v>
      </c>
      <c r="AW396" s="14">
        <f t="shared" ref="AW396:AW404" si="1703">+SUM(AF396:AI396)</f>
        <v>172754.86222131696</v>
      </c>
      <c r="AX396" s="10">
        <f>+SUM(AJ396:AM396)</f>
        <v>196344.30093148511</v>
      </c>
    </row>
    <row r="397" spans="2:50" ht="12" x14ac:dyDescent="0.35">
      <c r="B397" s="184" t="s">
        <v>227</v>
      </c>
      <c r="H397" s="25">
        <f>+IFERROR(H408*H375,"n/a")</f>
        <v>110.60160000000002</v>
      </c>
      <c r="I397" s="25">
        <f t="shared" ref="I397:K397" si="1704">+IFERROR(I408*I375,"n/a")</f>
        <v>135.23760000000001</v>
      </c>
      <c r="J397" s="25">
        <f t="shared" si="1704"/>
        <v>159.30920000000003</v>
      </c>
      <c r="K397" s="25">
        <f t="shared" si="1704"/>
        <v>236.61760000000001</v>
      </c>
      <c r="L397" s="25">
        <f>+(L375-H375)*L419+H397</f>
        <v>334.80179999999996</v>
      </c>
      <c r="M397" s="25">
        <f t="shared" si="1678"/>
        <v>474.62630000000001</v>
      </c>
      <c r="N397" s="25">
        <f t="shared" si="1678"/>
        <v>442.26320000000004</v>
      </c>
      <c r="O397" s="25">
        <f t="shared" si="1678"/>
        <v>596.75570000000005</v>
      </c>
      <c r="P397" s="25">
        <f t="shared" si="1678"/>
        <v>651.2011</v>
      </c>
      <c r="Q397" s="25">
        <f t="shared" si="1678"/>
        <v>695.6037</v>
      </c>
      <c r="R397" s="25">
        <f t="shared" si="1678"/>
        <v>813.00490000000002</v>
      </c>
      <c r="S397" s="25">
        <f t="shared" si="1678"/>
        <v>1007.5974764705884</v>
      </c>
      <c r="T397" s="25">
        <f t="shared" si="1678"/>
        <v>864.08468050531292</v>
      </c>
      <c r="U397" s="25">
        <f t="shared" si="1678"/>
        <v>515.3774244605105</v>
      </c>
      <c r="V397" s="25">
        <f t="shared" si="1678"/>
        <v>195.15238456293162</v>
      </c>
      <c r="W397" s="25">
        <f t="shared" si="1678"/>
        <v>666.04221496495757</v>
      </c>
      <c r="X397" s="25">
        <f t="shared" si="1678"/>
        <v>1303.1286444323318</v>
      </c>
      <c r="Y397" s="25">
        <f t="shared" si="1678"/>
        <v>1466.3476394536201</v>
      </c>
      <c r="Z397" s="25">
        <f t="shared" si="1678"/>
        <v>1690.1378465089078</v>
      </c>
      <c r="AA397" s="25">
        <f t="shared" si="1678"/>
        <v>2307.7504156701152</v>
      </c>
      <c r="AB397" s="25">
        <f t="shared" si="1678"/>
        <v>2384.8782408677607</v>
      </c>
      <c r="AC397" s="25">
        <f t="shared" si="1678"/>
        <v>2786.0846221607817</v>
      </c>
      <c r="AD397" s="25">
        <f t="shared" si="1678"/>
        <v>2587.7647967675784</v>
      </c>
      <c r="AE397" s="25">
        <f t="shared" si="1678"/>
        <v>4878.5960139781764</v>
      </c>
      <c r="AF397" s="25">
        <f t="shared" si="1678"/>
        <v>3926.6142050406124</v>
      </c>
      <c r="AG397" s="25">
        <f t="shared" si="1678"/>
        <v>4102.5978403729132</v>
      </c>
      <c r="AH397" s="25">
        <f t="shared" si="1678"/>
        <v>3134.6245628188299</v>
      </c>
      <c r="AI397" s="25">
        <f t="shared" si="1678"/>
        <v>2840.6976140559013</v>
      </c>
      <c r="AJ397" s="25">
        <f t="shared" si="1693"/>
        <v>2473.2941899291236</v>
      </c>
      <c r="AK397" s="25">
        <f t="shared" si="1694"/>
        <v>2799.3497678573094</v>
      </c>
      <c r="AL397" s="25">
        <f t="shared" si="1695"/>
        <v>2874.2960457933227</v>
      </c>
      <c r="AM397" s="25">
        <f t="shared" si="1696"/>
        <v>3293.4217361642859</v>
      </c>
      <c r="AO397" s="25">
        <f>+IFERROR(AO408*AO375,"n/a")</f>
        <v>0</v>
      </c>
      <c r="AP397" s="25">
        <f>+IFERROR(AP408*AP375,"n/a")</f>
        <v>0</v>
      </c>
      <c r="AQ397" s="15">
        <f t="shared" si="1697"/>
        <v>641.76600000000008</v>
      </c>
      <c r="AR397" s="15">
        <f t="shared" si="1698"/>
        <v>1848.4470000000001</v>
      </c>
      <c r="AS397" s="15">
        <f t="shared" si="1699"/>
        <v>3167.4071764705882</v>
      </c>
      <c r="AT397" s="15">
        <f t="shared" si="1700"/>
        <v>2240.6567044937128</v>
      </c>
      <c r="AU397" s="15">
        <f t="shared" si="1701"/>
        <v>6767.364546064975</v>
      </c>
      <c r="AV397" s="15">
        <f t="shared" si="1702"/>
        <v>12637.323673774297</v>
      </c>
      <c r="AW397" s="15">
        <f t="shared" si="1703"/>
        <v>14004.534222288257</v>
      </c>
      <c r="AX397" s="25">
        <f t="shared" ref="AX397:AX404" si="1705">+SUM(AJ397:AM397)</f>
        <v>11440.361739744041</v>
      </c>
    </row>
    <row r="398" spans="2:50" ht="10.15" x14ac:dyDescent="0.2">
      <c r="B398" s="38" t="s">
        <v>440</v>
      </c>
      <c r="H398" s="42">
        <f>+IFERROR(H400-H399,"n/a")</f>
        <v>1066.2039999999997</v>
      </c>
      <c r="I398" s="42">
        <f t="shared" ref="I398:K398" si="1706">+IFERROR(I400-I399,"n/a")</f>
        <v>2321.7270000000003</v>
      </c>
      <c r="J398" s="42">
        <f t="shared" si="1706"/>
        <v>2598.2930000000006</v>
      </c>
      <c r="K398" s="42">
        <f t="shared" si="1706"/>
        <v>4232.0050000000001</v>
      </c>
      <c r="L398" s="42">
        <f t="shared" ref="L398" si="1707">+IFERROR(L400-L399,"n/a")</f>
        <v>3676.1709999999998</v>
      </c>
      <c r="M398" s="42">
        <f t="shared" ref="M398" si="1708">+IFERROR(M400-M399,"n/a")</f>
        <v>5699.03</v>
      </c>
      <c r="N398" s="42">
        <f t="shared" ref="N398" si="1709">+IFERROR(N400-N399,"n/a")</f>
        <v>5689.1970000000001</v>
      </c>
      <c r="O398" s="42">
        <f t="shared" ref="O398" si="1710">+IFERROR(O400-O399,"n/a")</f>
        <v>8762.5450000000001</v>
      </c>
      <c r="P398" s="42">
        <f t="shared" ref="P398" si="1711">+IFERROR(P400-P399,"n/a")</f>
        <v>4719.259</v>
      </c>
      <c r="Q398" s="42">
        <f t="shared" ref="Q398" si="1712">+IFERROR(Q400-Q399,"n/a")</f>
        <v>9540.6970000000001</v>
      </c>
      <c r="R398" s="42">
        <f t="shared" ref="R398" si="1713">+IFERROR(R400-R399,"n/a")</f>
        <v>10836.204399999999</v>
      </c>
      <c r="S398" s="42">
        <f>+IFERROR(S396+S397,"n/a")</f>
        <v>17023.371376470586</v>
      </c>
      <c r="T398" s="42">
        <f t="shared" ref="T398:AI398" si="1714">+IFERROR(T396+T397,"n/a")</f>
        <v>12258.476180505313</v>
      </c>
      <c r="U398" s="42">
        <f t="shared" si="1714"/>
        <v>15332.333574460512</v>
      </c>
      <c r="V398" s="42">
        <f t="shared" si="1714"/>
        <v>14860.76288456293</v>
      </c>
      <c r="W398" s="42">
        <f t="shared" si="1714"/>
        <v>19659.388214964958</v>
      </c>
      <c r="X398" s="42">
        <f t="shared" si="1714"/>
        <v>16137.418294432331</v>
      </c>
      <c r="Y398" s="42">
        <f t="shared" si="1714"/>
        <v>22311.70098945362</v>
      </c>
      <c r="Z398" s="42">
        <f t="shared" si="1714"/>
        <v>26834.897346508908</v>
      </c>
      <c r="AA398" s="42">
        <f t="shared" si="1714"/>
        <v>29841.298415670106</v>
      </c>
      <c r="AB398" s="42">
        <f t="shared" si="1714"/>
        <v>26305.168890867761</v>
      </c>
      <c r="AC398" s="42">
        <f t="shared" si="1714"/>
        <v>36391.617972160777</v>
      </c>
      <c r="AD398" s="42">
        <f t="shared" si="1714"/>
        <v>37868.353996767582</v>
      </c>
      <c r="AE398" s="42">
        <f t="shared" si="1714"/>
        <v>48351.517513978171</v>
      </c>
      <c r="AF398" s="42">
        <f t="shared" ref="AF398:AG398" si="1715">+IFERROR(AF396+AF397,"n/a")</f>
        <v>41537.540155040617</v>
      </c>
      <c r="AG398" s="42">
        <f t="shared" si="1715"/>
        <v>46654.559190372907</v>
      </c>
      <c r="AH398" s="42">
        <f t="shared" si="1714"/>
        <v>45189.880402665891</v>
      </c>
      <c r="AI398" s="42">
        <f t="shared" si="1714"/>
        <v>53377.416695525804</v>
      </c>
      <c r="AJ398" s="42">
        <f t="shared" ref="AJ398:AM398" si="1716">+IFERROR(AJ396+AJ397,"n/a")</f>
        <v>44303.50458020153</v>
      </c>
      <c r="AK398" s="42">
        <f t="shared" si="1716"/>
        <v>50689.325006348197</v>
      </c>
      <c r="AL398" s="42">
        <f t="shared" si="1716"/>
        <v>50623.862611224882</v>
      </c>
      <c r="AM398" s="42">
        <f t="shared" si="1716"/>
        <v>62167.970473454538</v>
      </c>
      <c r="AO398" s="42">
        <f>+IFERROR(AO400-AO399,"n/a")</f>
        <v>-72.728999999999999</v>
      </c>
      <c r="AP398" s="42">
        <f>+IFERROR(AP400-AP399,"n/a")</f>
        <v>1022.0420000000003</v>
      </c>
      <c r="AQ398" s="48">
        <f t="shared" si="1697"/>
        <v>10218.228999999999</v>
      </c>
      <c r="AR398" s="48">
        <f t="shared" si="1698"/>
        <v>23826.942999999999</v>
      </c>
      <c r="AS398" s="48">
        <f t="shared" si="1699"/>
        <v>42119.531776470583</v>
      </c>
      <c r="AT398" s="48">
        <f t="shared" si="1700"/>
        <v>62110.960854493715</v>
      </c>
      <c r="AU398" s="48">
        <f t="shared" si="1701"/>
        <v>95125.315046064963</v>
      </c>
      <c r="AV398" s="48">
        <f t="shared" si="1702"/>
        <v>148916.65837377429</v>
      </c>
      <c r="AW398" s="48">
        <f t="shared" si="1703"/>
        <v>186759.39644360525</v>
      </c>
      <c r="AX398" s="42">
        <f t="shared" si="1705"/>
        <v>207784.66267122913</v>
      </c>
    </row>
    <row r="399" spans="2:50" ht="12" x14ac:dyDescent="0.35">
      <c r="B399" s="184" t="s">
        <v>441</v>
      </c>
      <c r="H399" s="13">
        <v>0</v>
      </c>
      <c r="I399" s="13">
        <v>0</v>
      </c>
      <c r="J399" s="13">
        <v>0</v>
      </c>
      <c r="K399" s="13">
        <v>0</v>
      </c>
      <c r="L399" s="13">
        <v>0</v>
      </c>
      <c r="M399" s="13">
        <v>0</v>
      </c>
      <c r="N399" s="13">
        <v>0</v>
      </c>
      <c r="O399" s="13">
        <v>0</v>
      </c>
      <c r="P399" s="13">
        <v>0</v>
      </c>
      <c r="Q399" s="13">
        <v>0</v>
      </c>
      <c r="R399" s="25">
        <f t="shared" ref="R399:AE401" si="1717">+IFERROR(R410*R377,"n/a")</f>
        <v>117.8466</v>
      </c>
      <c r="S399" s="25">
        <f t="shared" si="1717"/>
        <v>1607.3547000000001</v>
      </c>
      <c r="T399" s="25">
        <f t="shared" si="1717"/>
        <v>1537.2413999999999</v>
      </c>
      <c r="U399" s="25">
        <f t="shared" si="1717"/>
        <v>587.44889999999998</v>
      </c>
      <c r="V399" s="25">
        <f t="shared" si="1717"/>
        <v>24.634499999999999</v>
      </c>
      <c r="W399" s="25">
        <f t="shared" si="1717"/>
        <v>24.501600000000142</v>
      </c>
      <c r="X399" s="25">
        <f t="shared" si="1717"/>
        <v>13.1571</v>
      </c>
      <c r="Y399" s="25">
        <f t="shared" si="1717"/>
        <v>15.212999999999999</v>
      </c>
      <c r="Z399" s="25">
        <f t="shared" si="1717"/>
        <v>16.922099999999997</v>
      </c>
      <c r="AA399" s="25">
        <f t="shared" si="1717"/>
        <v>17.459099999999999</v>
      </c>
      <c r="AB399" s="13">
        <v>0</v>
      </c>
      <c r="AC399" s="13">
        <v>0</v>
      </c>
      <c r="AD399" s="13">
        <v>0</v>
      </c>
      <c r="AE399" s="13">
        <v>0</v>
      </c>
      <c r="AF399" s="13">
        <v>0</v>
      </c>
      <c r="AG399" s="13">
        <v>0</v>
      </c>
      <c r="AH399" s="54">
        <v>0</v>
      </c>
      <c r="AI399" s="54">
        <v>0</v>
      </c>
      <c r="AJ399" s="54">
        <v>0</v>
      </c>
      <c r="AK399" s="54">
        <v>0</v>
      </c>
      <c r="AL399" s="54">
        <v>0</v>
      </c>
      <c r="AM399" s="54">
        <v>0</v>
      </c>
      <c r="AO399" s="13">
        <v>0</v>
      </c>
      <c r="AP399" s="13">
        <v>0</v>
      </c>
      <c r="AQ399" s="15">
        <f t="shared" si="1697"/>
        <v>0</v>
      </c>
      <c r="AR399" s="15">
        <f t="shared" si="1698"/>
        <v>0</v>
      </c>
      <c r="AS399" s="15">
        <f t="shared" si="1699"/>
        <v>1725.2013000000002</v>
      </c>
      <c r="AT399" s="15">
        <f t="shared" si="1700"/>
        <v>2173.8263999999999</v>
      </c>
      <c r="AU399" s="15">
        <f t="shared" si="1701"/>
        <v>62.751299999999993</v>
      </c>
      <c r="AV399" s="15">
        <f t="shared" si="1702"/>
        <v>0</v>
      </c>
      <c r="AW399" s="15">
        <f t="shared" si="1703"/>
        <v>0</v>
      </c>
      <c r="AX399" s="25">
        <f t="shared" si="1705"/>
        <v>0</v>
      </c>
    </row>
    <row r="400" spans="2:50" ht="10.15" x14ac:dyDescent="0.2">
      <c r="B400" s="4" t="s">
        <v>442</v>
      </c>
      <c r="H400" s="10">
        <f>+IFERROR(H402-H401,"n/a")</f>
        <v>1066.2039999999997</v>
      </c>
      <c r="I400" s="10">
        <f t="shared" ref="I400:K400" si="1718">+IFERROR(I402-I401,"n/a")</f>
        <v>2321.7270000000003</v>
      </c>
      <c r="J400" s="10">
        <f t="shared" si="1718"/>
        <v>2598.2930000000006</v>
      </c>
      <c r="K400" s="10">
        <f t="shared" si="1718"/>
        <v>4232.0050000000001</v>
      </c>
      <c r="L400" s="10">
        <f t="shared" ref="L400" si="1719">+IFERROR(L402-L401,"n/a")</f>
        <v>3676.1709999999998</v>
      </c>
      <c r="M400" s="10">
        <f t="shared" ref="M400" si="1720">+IFERROR(M402-M401,"n/a")</f>
        <v>5699.03</v>
      </c>
      <c r="N400" s="10">
        <f t="shared" ref="N400" si="1721">+IFERROR(N402-N401,"n/a")</f>
        <v>5689.1970000000001</v>
      </c>
      <c r="O400" s="10">
        <f t="shared" ref="O400" si="1722">+IFERROR(O402-O401,"n/a")</f>
        <v>8762.5450000000001</v>
      </c>
      <c r="P400" s="10">
        <f t="shared" ref="P400" si="1723">+IFERROR(P402-P401,"n/a")</f>
        <v>4719.259</v>
      </c>
      <c r="Q400" s="10">
        <f t="shared" ref="Q400" si="1724">+IFERROR(Q402-Q401,"n/a")</f>
        <v>9540.6970000000001</v>
      </c>
      <c r="R400" s="10">
        <f t="shared" ref="R400" si="1725">+IFERROR(R402-R401,"n/a")</f>
        <v>10954.050999999999</v>
      </c>
      <c r="S400" s="10">
        <f>+IFERROR(S398+S399,"n/a")</f>
        <v>18630.726076470586</v>
      </c>
      <c r="T400" s="10">
        <f t="shared" ref="T400:AI400" si="1726">+IFERROR(T398+T399,"n/a")</f>
        <v>13795.717580505312</v>
      </c>
      <c r="U400" s="10">
        <f t="shared" si="1726"/>
        <v>15919.782474460511</v>
      </c>
      <c r="V400" s="10">
        <f t="shared" si="1726"/>
        <v>14885.39738456293</v>
      </c>
      <c r="W400" s="10">
        <f t="shared" si="1726"/>
        <v>19683.889814964958</v>
      </c>
      <c r="X400" s="10">
        <f t="shared" si="1726"/>
        <v>16150.575394432331</v>
      </c>
      <c r="Y400" s="10">
        <f t="shared" si="1726"/>
        <v>22326.91398945362</v>
      </c>
      <c r="Z400" s="10">
        <f t="shared" si="1726"/>
        <v>26851.819446508907</v>
      </c>
      <c r="AA400" s="10">
        <f t="shared" si="1726"/>
        <v>29858.757515670106</v>
      </c>
      <c r="AB400" s="10">
        <f t="shared" si="1726"/>
        <v>26305.168890867761</v>
      </c>
      <c r="AC400" s="10">
        <f t="shared" si="1726"/>
        <v>36391.617972160777</v>
      </c>
      <c r="AD400" s="10">
        <f t="shared" si="1726"/>
        <v>37868.353996767582</v>
      </c>
      <c r="AE400" s="10">
        <f t="shared" si="1726"/>
        <v>48351.517513978171</v>
      </c>
      <c r="AF400" s="10">
        <f t="shared" ref="AF400:AG400" si="1727">+IFERROR(AF398+AF399,"n/a")</f>
        <v>41537.540155040617</v>
      </c>
      <c r="AG400" s="10">
        <f t="shared" si="1727"/>
        <v>46654.559190372907</v>
      </c>
      <c r="AH400" s="10">
        <f t="shared" si="1726"/>
        <v>45189.880402665891</v>
      </c>
      <c r="AI400" s="10">
        <f t="shared" si="1726"/>
        <v>53377.416695525804</v>
      </c>
      <c r="AJ400" s="10">
        <f t="shared" ref="AJ400:AM400" si="1728">+IFERROR(AJ398+AJ399,"n/a")</f>
        <v>44303.50458020153</v>
      </c>
      <c r="AK400" s="10">
        <f t="shared" si="1728"/>
        <v>50689.325006348197</v>
      </c>
      <c r="AL400" s="10">
        <f t="shared" si="1728"/>
        <v>50623.862611224882</v>
      </c>
      <c r="AM400" s="10">
        <f t="shared" si="1728"/>
        <v>62167.970473454538</v>
      </c>
      <c r="AO400" s="10">
        <f>+IFERROR(AO402-AO401,"n/a")</f>
        <v>-72.728999999999999</v>
      </c>
      <c r="AP400" s="10">
        <f>+IFERROR(AP402-AP401,"n/a")</f>
        <v>1022.0420000000003</v>
      </c>
      <c r="AQ400" s="14">
        <f t="shared" si="1697"/>
        <v>10218.228999999999</v>
      </c>
      <c r="AR400" s="14">
        <f t="shared" si="1698"/>
        <v>23826.942999999999</v>
      </c>
      <c r="AS400" s="14">
        <f t="shared" si="1699"/>
        <v>43844.733076470584</v>
      </c>
      <c r="AT400" s="14">
        <f t="shared" si="1700"/>
        <v>64284.787254493713</v>
      </c>
      <c r="AU400" s="14">
        <f t="shared" si="1701"/>
        <v>95188.066346064967</v>
      </c>
      <c r="AV400" s="14">
        <f t="shared" si="1702"/>
        <v>148916.65837377429</v>
      </c>
      <c r="AW400" s="14">
        <f t="shared" si="1703"/>
        <v>186759.39644360525</v>
      </c>
      <c r="AX400" s="10">
        <f t="shared" si="1705"/>
        <v>207784.66267122913</v>
      </c>
    </row>
    <row r="401" spans="2:50" ht="12" x14ac:dyDescent="0.35">
      <c r="B401" s="184" t="s">
        <v>443</v>
      </c>
      <c r="H401" s="13">
        <v>0</v>
      </c>
      <c r="I401" s="13">
        <v>0</v>
      </c>
      <c r="J401" s="13">
        <v>0</v>
      </c>
      <c r="K401" s="13">
        <v>0</v>
      </c>
      <c r="L401" s="13">
        <v>0</v>
      </c>
      <c r="M401" s="13">
        <v>0</v>
      </c>
      <c r="N401" s="13">
        <v>0</v>
      </c>
      <c r="O401" s="13">
        <v>0</v>
      </c>
      <c r="P401" s="13">
        <v>0</v>
      </c>
      <c r="Q401" s="13">
        <v>0</v>
      </c>
      <c r="R401" s="13">
        <v>0</v>
      </c>
      <c r="S401" s="25">
        <f>+IFERROR(S402-S400,"n/a")</f>
        <v>-3599.2180764705827</v>
      </c>
      <c r="T401" s="25">
        <f t="shared" ref="T401:Y401" si="1729">+IFERROR(T402-T400,"n/a")</f>
        <v>-2370.3045805053134</v>
      </c>
      <c r="U401" s="25">
        <f t="shared" si="1729"/>
        <v>-764.00647446051153</v>
      </c>
      <c r="V401" s="25">
        <f t="shared" si="1729"/>
        <v>70.801615437070723</v>
      </c>
      <c r="W401" s="25">
        <f t="shared" si="1729"/>
        <v>1037.1921850350518</v>
      </c>
      <c r="X401" s="25">
        <f t="shared" si="1729"/>
        <v>492.69960556766637</v>
      </c>
      <c r="Y401" s="25">
        <f t="shared" si="1729"/>
        <v>1157.7770105463787</v>
      </c>
      <c r="Z401" s="25">
        <f t="shared" si="1717"/>
        <v>1331.1242800676112</v>
      </c>
      <c r="AA401" s="25">
        <f t="shared" si="1717"/>
        <v>1443.318829876519</v>
      </c>
      <c r="AB401" s="25">
        <f t="shared" si="1717"/>
        <v>1625.6027115533489</v>
      </c>
      <c r="AC401" s="25">
        <f t="shared" si="1717"/>
        <v>1723.2950439305528</v>
      </c>
      <c r="AD401" s="25">
        <f t="shared" si="1717"/>
        <v>1893.4323842616416</v>
      </c>
      <c r="AE401" s="25">
        <f t="shared" si="1717"/>
        <v>1922.8849557850556</v>
      </c>
      <c r="AF401" s="25">
        <f t="shared" ref="AF401:AG401" si="1730">+IFERROR(AF412*AF379,"n/a")</f>
        <v>1788.0243836990705</v>
      </c>
      <c r="AG401" s="25">
        <f t="shared" si="1730"/>
        <v>1905.8823529411766</v>
      </c>
      <c r="AH401" s="25">
        <f t="shared" ref="AH401:AI401" si="1731">+IFERROR(AH412*AH379,"n/a")</f>
        <v>2130.1114322943472</v>
      </c>
      <c r="AI401" s="25">
        <f t="shared" si="1731"/>
        <v>2115.1734513635611</v>
      </c>
      <c r="AJ401" s="25">
        <f t="shared" ref="AJ401:AM401" si="1732">+IFERROR(AJ412*AJ379,"n/a")</f>
        <v>1966.8268220689779</v>
      </c>
      <c r="AK401" s="25">
        <f t="shared" si="1732"/>
        <v>2096.4705882352946</v>
      </c>
      <c r="AL401" s="25">
        <f t="shared" si="1732"/>
        <v>2343.1225755237824</v>
      </c>
      <c r="AM401" s="25">
        <f t="shared" si="1732"/>
        <v>2326.6907964999177</v>
      </c>
      <c r="AO401" s="13">
        <v>0</v>
      </c>
      <c r="AP401" s="13">
        <v>0</v>
      </c>
      <c r="AQ401" s="15">
        <f t="shared" si="1697"/>
        <v>0</v>
      </c>
      <c r="AR401" s="15">
        <f t="shared" si="1698"/>
        <v>0</v>
      </c>
      <c r="AS401" s="15">
        <f t="shared" si="1699"/>
        <v>-3599.2180764705827</v>
      </c>
      <c r="AT401" s="15">
        <f t="shared" si="1700"/>
        <v>-2026.3172544937024</v>
      </c>
      <c r="AU401" s="15">
        <f t="shared" si="1701"/>
        <v>4424.919726058175</v>
      </c>
      <c r="AV401" s="15">
        <f t="shared" si="1702"/>
        <v>7165.2150955305988</v>
      </c>
      <c r="AW401" s="15">
        <f t="shared" si="1703"/>
        <v>7939.1916202981547</v>
      </c>
      <c r="AX401" s="25">
        <f t="shared" si="1705"/>
        <v>8733.1107823279726</v>
      </c>
    </row>
    <row r="402" spans="2:50" ht="10.15" x14ac:dyDescent="0.2">
      <c r="B402" s="38" t="s">
        <v>409</v>
      </c>
      <c r="H402" s="42">
        <f>+IFERROR(H404-H403,"n/a")</f>
        <v>1066.2039999999997</v>
      </c>
      <c r="I402" s="42">
        <f t="shared" ref="I402:S402" si="1733">+IFERROR(I404-I403,"n/a")</f>
        <v>2321.7270000000003</v>
      </c>
      <c r="J402" s="42">
        <f t="shared" si="1733"/>
        <v>2598.2930000000006</v>
      </c>
      <c r="K402" s="42">
        <f t="shared" si="1733"/>
        <v>4232.0050000000001</v>
      </c>
      <c r="L402" s="42">
        <f t="shared" si="1733"/>
        <v>3676.1709999999998</v>
      </c>
      <c r="M402" s="42">
        <f t="shared" si="1733"/>
        <v>5699.03</v>
      </c>
      <c r="N402" s="42">
        <f t="shared" si="1733"/>
        <v>5689.1970000000001</v>
      </c>
      <c r="O402" s="42">
        <f t="shared" si="1733"/>
        <v>8762.5450000000001</v>
      </c>
      <c r="P402" s="42">
        <f t="shared" si="1733"/>
        <v>4719.259</v>
      </c>
      <c r="Q402" s="42">
        <f t="shared" si="1733"/>
        <v>9540.6970000000001</v>
      </c>
      <c r="R402" s="42">
        <f t="shared" si="1733"/>
        <v>10954.050999999999</v>
      </c>
      <c r="S402" s="42">
        <f t="shared" si="1733"/>
        <v>15031.508000000003</v>
      </c>
      <c r="T402" s="42">
        <f t="shared" ref="T402" si="1734">+IFERROR(T404-T403,"n/a")</f>
        <v>11425.412999999999</v>
      </c>
      <c r="U402" s="42">
        <f t="shared" ref="U402" si="1735">+IFERROR(U404-U403,"n/a")</f>
        <v>15155.776</v>
      </c>
      <c r="V402" s="42">
        <f t="shared" ref="V402" si="1736">+IFERROR(V404-V403,"n/a")</f>
        <v>14956.199000000001</v>
      </c>
      <c r="W402" s="42">
        <f t="shared" ref="W402" si="1737">+IFERROR(W404-W403,"n/a")</f>
        <v>20721.082000000009</v>
      </c>
      <c r="X402" s="42">
        <f t="shared" ref="X402" si="1738">+IFERROR(X404-X403,"n/a")</f>
        <v>16643.274999999998</v>
      </c>
      <c r="Y402" s="42">
        <f t="shared" ref="Y402" si="1739">+IFERROR(Y404-Y403,"n/a")</f>
        <v>23484.690999999999</v>
      </c>
      <c r="Z402" s="42">
        <f>+IFERROR(Z400+Z401,"n/a")</f>
        <v>28182.943726576519</v>
      </c>
      <c r="AA402" s="42">
        <f t="shared" ref="AA402:AI402" si="1740">+IFERROR(AA400+AA401,"n/a")</f>
        <v>31302.076345546626</v>
      </c>
      <c r="AB402" s="42">
        <f t="shared" si="1740"/>
        <v>27930.771602421111</v>
      </c>
      <c r="AC402" s="42">
        <f t="shared" si="1740"/>
        <v>38114.913016091326</v>
      </c>
      <c r="AD402" s="42">
        <f t="shared" si="1740"/>
        <v>39761.786381029226</v>
      </c>
      <c r="AE402" s="42">
        <f t="shared" si="1740"/>
        <v>50274.402469763227</v>
      </c>
      <c r="AF402" s="42">
        <f t="shared" ref="AF402:AG402" si="1741">+IFERROR(AF400+AF401,"n/a")</f>
        <v>43325.564538739687</v>
      </c>
      <c r="AG402" s="42">
        <f t="shared" si="1741"/>
        <v>48560.441543314082</v>
      </c>
      <c r="AH402" s="42">
        <f t="shared" si="1740"/>
        <v>47319.991834960238</v>
      </c>
      <c r="AI402" s="42">
        <f t="shared" si="1740"/>
        <v>55492.590146889364</v>
      </c>
      <c r="AJ402" s="42">
        <f t="shared" ref="AJ402:AM402" si="1742">+IFERROR(AJ400+AJ401,"n/a")</f>
        <v>46270.331402270509</v>
      </c>
      <c r="AK402" s="42">
        <f t="shared" si="1742"/>
        <v>52785.795594583491</v>
      </c>
      <c r="AL402" s="42">
        <f t="shared" si="1742"/>
        <v>52966.985186748665</v>
      </c>
      <c r="AM402" s="42">
        <f t="shared" si="1742"/>
        <v>64494.661269954457</v>
      </c>
      <c r="AO402" s="42">
        <f>+IFERROR(AO404-AO403,"n/a")</f>
        <v>-72.728999999999999</v>
      </c>
      <c r="AP402" s="42">
        <f>+IFERROR(AP404-AP403,"n/a")</f>
        <v>1022.0420000000003</v>
      </c>
      <c r="AQ402" s="48">
        <f t="shared" si="1697"/>
        <v>10218.228999999999</v>
      </c>
      <c r="AR402" s="48">
        <f t="shared" si="1698"/>
        <v>23826.942999999999</v>
      </c>
      <c r="AS402" s="48">
        <f t="shared" si="1699"/>
        <v>40245.514999999999</v>
      </c>
      <c r="AT402" s="48">
        <f t="shared" si="1700"/>
        <v>62258.470000000008</v>
      </c>
      <c r="AU402" s="48">
        <f t="shared" si="1701"/>
        <v>99612.986072123138</v>
      </c>
      <c r="AV402" s="48">
        <f t="shared" si="1702"/>
        <v>156081.87346930488</v>
      </c>
      <c r="AW402" s="48">
        <f t="shared" si="1703"/>
        <v>194698.58806390336</v>
      </c>
      <c r="AX402" s="42">
        <f t="shared" si="1705"/>
        <v>216517.77345355714</v>
      </c>
    </row>
    <row r="403" spans="2:50" ht="12" x14ac:dyDescent="0.35">
      <c r="B403" t="s">
        <v>411</v>
      </c>
      <c r="H403" s="13">
        <v>0</v>
      </c>
      <c r="I403" s="13">
        <v>0</v>
      </c>
      <c r="J403" s="13">
        <v>0</v>
      </c>
      <c r="K403" s="13">
        <v>0</v>
      </c>
      <c r="L403" s="13">
        <v>0</v>
      </c>
      <c r="M403" s="13">
        <v>0</v>
      </c>
      <c r="N403" s="13">
        <v>0</v>
      </c>
      <c r="O403" s="13">
        <v>0</v>
      </c>
      <c r="P403" s="13">
        <v>0</v>
      </c>
      <c r="Q403" s="13">
        <v>0</v>
      </c>
      <c r="R403" s="13">
        <v>0</v>
      </c>
      <c r="S403" s="13">
        <v>0</v>
      </c>
      <c r="T403" s="13">
        <v>0</v>
      </c>
      <c r="U403" s="13">
        <v>0</v>
      </c>
      <c r="V403" s="13">
        <v>0</v>
      </c>
      <c r="W403" s="13">
        <v>0</v>
      </c>
      <c r="X403" s="13">
        <v>0</v>
      </c>
      <c r="Y403" s="13">
        <v>0</v>
      </c>
      <c r="Z403" s="25">
        <f>+IFERROR(Z404-Z402,"n/a")</f>
        <v>-86.930726576520101</v>
      </c>
      <c r="AA403" s="25">
        <f t="shared" ref="AA403:AE403" si="1743">+IFERROR(AA404-AA402,"n/a")</f>
        <v>-396.97634554663455</v>
      </c>
      <c r="AB403" s="25">
        <f t="shared" si="1743"/>
        <v>-1381.6386024211097</v>
      </c>
      <c r="AC403" s="25">
        <f t="shared" si="1743"/>
        <v>-4495.6760160913327</v>
      </c>
      <c r="AD403" s="25">
        <f t="shared" si="1743"/>
        <v>2268.7736189707721</v>
      </c>
      <c r="AE403" s="25">
        <f t="shared" si="1743"/>
        <v>3574.7655302367712</v>
      </c>
      <c r="AF403" s="25">
        <f t="shared" ref="AF403:AG403" si="1744">+IFERROR(AF404-AF402,"n/a")</f>
        <v>10809.322461260323</v>
      </c>
      <c r="AG403" s="25">
        <f t="shared" si="1744"/>
        <v>14838.697456685921</v>
      </c>
      <c r="AH403" s="25">
        <f t="shared" ref="AH403:AM403" si="1745">+AH475+AH468+AH461+AH441</f>
        <v>11316.021203255801</v>
      </c>
      <c r="AI403" s="25">
        <f t="shared" si="1745"/>
        <v>12447.623323581383</v>
      </c>
      <c r="AJ403" s="25">
        <f t="shared" si="1745"/>
        <v>11466.392233973156</v>
      </c>
      <c r="AK403" s="25">
        <f t="shared" si="1745"/>
        <v>13878.139211540134</v>
      </c>
      <c r="AL403" s="25">
        <f t="shared" si="1745"/>
        <v>14710.827564232541</v>
      </c>
      <c r="AM403" s="25">
        <f t="shared" si="1745"/>
        <v>16181.910320655799</v>
      </c>
      <c r="AO403" s="13">
        <v>0</v>
      </c>
      <c r="AP403" s="13">
        <v>0</v>
      </c>
      <c r="AQ403" s="15">
        <f t="shared" si="1697"/>
        <v>0</v>
      </c>
      <c r="AR403" s="15">
        <f t="shared" si="1698"/>
        <v>0</v>
      </c>
      <c r="AS403" s="15">
        <f t="shared" si="1699"/>
        <v>0</v>
      </c>
      <c r="AT403" s="15">
        <f t="shared" si="1700"/>
        <v>0</v>
      </c>
      <c r="AU403" s="15">
        <f t="shared" si="1701"/>
        <v>-483.90707212315465</v>
      </c>
      <c r="AV403" s="15">
        <f t="shared" si="1702"/>
        <v>-33.775469304899161</v>
      </c>
      <c r="AW403" s="15">
        <f t="shared" si="1703"/>
        <v>49411.664444783426</v>
      </c>
      <c r="AX403" s="25">
        <f t="shared" si="1705"/>
        <v>56237.269330401628</v>
      </c>
    </row>
    <row r="404" spans="2:50" s="1" customFormat="1" ht="10.15" x14ac:dyDescent="0.2">
      <c r="B404" s="38" t="s">
        <v>412</v>
      </c>
      <c r="H404" s="42">
        <f t="shared" ref="H404:AG404" si="1746">+H40</f>
        <v>1066.2039999999997</v>
      </c>
      <c r="I404" s="42">
        <f t="shared" si="1746"/>
        <v>2321.7270000000003</v>
      </c>
      <c r="J404" s="42">
        <f t="shared" si="1746"/>
        <v>2598.2930000000006</v>
      </c>
      <c r="K404" s="42">
        <f t="shared" si="1746"/>
        <v>4232.0050000000001</v>
      </c>
      <c r="L404" s="42">
        <f t="shared" si="1746"/>
        <v>3676.1709999999998</v>
      </c>
      <c r="M404" s="42">
        <f t="shared" si="1746"/>
        <v>5699.03</v>
      </c>
      <c r="N404" s="42">
        <f t="shared" si="1746"/>
        <v>5689.1970000000001</v>
      </c>
      <c r="O404" s="42">
        <f t="shared" si="1746"/>
        <v>8762.5450000000001</v>
      </c>
      <c r="P404" s="42">
        <f t="shared" si="1746"/>
        <v>4719.259</v>
      </c>
      <c r="Q404" s="42">
        <f t="shared" si="1746"/>
        <v>9540.6970000000001</v>
      </c>
      <c r="R404" s="42">
        <f t="shared" si="1746"/>
        <v>10954.050999999999</v>
      </c>
      <c r="S404" s="42">
        <f t="shared" si="1746"/>
        <v>15031.508000000003</v>
      </c>
      <c r="T404" s="42">
        <f t="shared" si="1746"/>
        <v>11425.412999999999</v>
      </c>
      <c r="U404" s="42">
        <f t="shared" si="1746"/>
        <v>15155.776</v>
      </c>
      <c r="V404" s="42">
        <f t="shared" si="1746"/>
        <v>14956.199000000001</v>
      </c>
      <c r="W404" s="42">
        <f t="shared" si="1746"/>
        <v>20721.082000000009</v>
      </c>
      <c r="X404" s="42">
        <f t="shared" si="1746"/>
        <v>16643.274999999998</v>
      </c>
      <c r="Y404" s="42">
        <f t="shared" si="1746"/>
        <v>23484.690999999999</v>
      </c>
      <c r="Z404" s="42">
        <f t="shared" si="1746"/>
        <v>28096.012999999999</v>
      </c>
      <c r="AA404" s="42">
        <f t="shared" si="1746"/>
        <v>30905.099999999991</v>
      </c>
      <c r="AB404" s="42">
        <f t="shared" si="1746"/>
        <v>26549.133000000002</v>
      </c>
      <c r="AC404" s="42">
        <f t="shared" si="1746"/>
        <v>33619.236999999994</v>
      </c>
      <c r="AD404" s="42">
        <f t="shared" si="1746"/>
        <v>42030.559999999998</v>
      </c>
      <c r="AE404" s="42">
        <f t="shared" si="1746"/>
        <v>53849.167999999998</v>
      </c>
      <c r="AF404" s="42">
        <f t="shared" si="1746"/>
        <v>54134.88700000001</v>
      </c>
      <c r="AG404" s="42">
        <f t="shared" si="1746"/>
        <v>63399.139000000003</v>
      </c>
      <c r="AH404" s="42">
        <f t="shared" ref="AH404:AI404" si="1747">+IFERROR(AH402+AH403,"n/a")</f>
        <v>58636.013038216042</v>
      </c>
      <c r="AI404" s="42">
        <f t="shared" si="1747"/>
        <v>67940.213470470742</v>
      </c>
      <c r="AJ404" s="42">
        <f t="shared" ref="AJ404:AM404" si="1748">+IFERROR(AJ402+AJ403,"n/a")</f>
        <v>57736.723636243667</v>
      </c>
      <c r="AK404" s="42">
        <f t="shared" si="1748"/>
        <v>66663.934806123623</v>
      </c>
      <c r="AL404" s="42">
        <f t="shared" si="1748"/>
        <v>67677.812750981204</v>
      </c>
      <c r="AM404" s="42">
        <f t="shared" si="1748"/>
        <v>80676.571590610256</v>
      </c>
      <c r="AO404" s="42">
        <f>+AO40</f>
        <v>-72.728999999999999</v>
      </c>
      <c r="AP404" s="42">
        <f>+AP40</f>
        <v>1022.0420000000003</v>
      </c>
      <c r="AQ404" s="48">
        <f t="shared" si="1697"/>
        <v>10218.228999999999</v>
      </c>
      <c r="AR404" s="48">
        <f t="shared" si="1698"/>
        <v>23826.942999999999</v>
      </c>
      <c r="AS404" s="48">
        <f t="shared" si="1699"/>
        <v>40245.514999999999</v>
      </c>
      <c r="AT404" s="48">
        <f t="shared" si="1700"/>
        <v>62258.470000000008</v>
      </c>
      <c r="AU404" s="48">
        <f t="shared" si="1701"/>
        <v>99129.078999999983</v>
      </c>
      <c r="AV404" s="48">
        <f t="shared" si="1702"/>
        <v>156048.098</v>
      </c>
      <c r="AW404" s="48">
        <f t="shared" si="1703"/>
        <v>244110.2525086868</v>
      </c>
      <c r="AX404" s="42">
        <f t="shared" si="1705"/>
        <v>272755.04278395872</v>
      </c>
    </row>
    <row r="405" spans="2:50" ht="10.15" x14ac:dyDescent="0.2">
      <c r="B405" s="38"/>
      <c r="Z405" s="10"/>
      <c r="AA405" s="10"/>
      <c r="AB405" s="10"/>
      <c r="AC405" s="10"/>
      <c r="AD405" s="10"/>
      <c r="AE405" s="10"/>
    </row>
    <row r="406" spans="2:50" ht="10.15" x14ac:dyDescent="0.2">
      <c r="B406" s="19" t="s">
        <v>88</v>
      </c>
    </row>
    <row r="407" spans="2:50" ht="10.15" x14ac:dyDescent="0.2">
      <c r="B407" s="20" t="s">
        <v>226</v>
      </c>
      <c r="H407" s="196">
        <f>+IFERROR(H396/H374,"n/a")</f>
        <v>0.86237920765273879</v>
      </c>
      <c r="I407" s="196">
        <f t="shared" ref="I407:X415" si="1749">+IFERROR(I396/I374,"n/a")</f>
        <v>0.92219893106229067</v>
      </c>
      <c r="J407" s="196">
        <f t="shared" si="1749"/>
        <v>0.82006216912759822</v>
      </c>
      <c r="K407" s="196">
        <f t="shared" si="1749"/>
        <v>0.78923134542699114</v>
      </c>
      <c r="L407" s="196">
        <f t="shared" ref="L407:AA408" si="1750">+IFERROR(L396/L374,"n/a")</f>
        <v>0.84625604103318441</v>
      </c>
      <c r="M407" s="196">
        <f t="shared" si="1750"/>
        <v>0.80784671829125787</v>
      </c>
      <c r="N407" s="196">
        <f t="shared" si="1750"/>
        <v>0.78178782395173618</v>
      </c>
      <c r="O407" s="196">
        <f t="shared" si="1750"/>
        <v>0.84298988747353454</v>
      </c>
      <c r="P407" s="196">
        <f t="shared" si="1750"/>
        <v>0.74068789407658386</v>
      </c>
      <c r="Q407" s="196">
        <f t="shared" si="1750"/>
        <v>0.80012075409025196</v>
      </c>
      <c r="R407" s="196">
        <f t="shared" si="1750"/>
        <v>0.80282988899493746</v>
      </c>
      <c r="S407" s="196">
        <f t="shared" si="1750"/>
        <v>0.8464113233423044</v>
      </c>
      <c r="T407" s="196">
        <f t="shared" si="1750"/>
        <v>0.80745511138940285</v>
      </c>
      <c r="U407" s="196">
        <f t="shared" si="1750"/>
        <v>0.81950291915248208</v>
      </c>
      <c r="V407" s="196">
        <f t="shared" si="1750"/>
        <v>0.81718517642664057</v>
      </c>
      <c r="W407" s="196">
        <f t="shared" si="1750"/>
        <v>0.84697191317850995</v>
      </c>
      <c r="X407" s="196">
        <f t="shared" si="1750"/>
        <v>0.81693702234637633</v>
      </c>
      <c r="Y407" s="196">
        <f t="shared" si="1750"/>
        <v>0.82809527490767654</v>
      </c>
      <c r="Z407" s="196">
        <f t="shared" si="1750"/>
        <v>0.88458008604554095</v>
      </c>
      <c r="AA407" s="196">
        <f t="shared" si="1750"/>
        <v>0.88917705464420815</v>
      </c>
      <c r="AB407" s="196">
        <f t="shared" ref="AB407:AI408" si="1751">+IFERROR(AB396/AB374,"n/a")</f>
        <v>0.87798842412756284</v>
      </c>
      <c r="AC407" s="196">
        <f t="shared" si="1751"/>
        <v>0.88592210135858296</v>
      </c>
      <c r="AD407" s="196">
        <f t="shared" si="1751"/>
        <v>0.88895574087251972</v>
      </c>
      <c r="AE407" s="196">
        <f t="shared" si="1751"/>
        <v>0.89311493692797073</v>
      </c>
      <c r="AF407" s="196">
        <f t="shared" ref="AF407" si="1752">+IFERROR(AF396/AF374,"n/a")</f>
        <v>0.88587503962609226</v>
      </c>
      <c r="AG407" s="196">
        <f t="shared" si="1751"/>
        <v>0.86635877192921729</v>
      </c>
      <c r="AH407" s="196">
        <f t="shared" si="1751"/>
        <v>0.87331269149390733</v>
      </c>
      <c r="AI407" s="196">
        <f t="shared" si="1751"/>
        <v>0.87881746515000148</v>
      </c>
      <c r="AJ407" s="196">
        <f t="shared" ref="AJ407:AM407" si="1753">+IFERROR(AJ396/AJ374,"n/a")</f>
        <v>0.87638602400220678</v>
      </c>
      <c r="AK407" s="196">
        <f t="shared" si="1753"/>
        <v>0.85842199314026058</v>
      </c>
      <c r="AL407" s="196">
        <f t="shared" si="1753"/>
        <v>0.86387186029442298</v>
      </c>
      <c r="AM407" s="196">
        <f t="shared" si="1753"/>
        <v>0.86672433042275321</v>
      </c>
      <c r="AO407" s="196" t="str">
        <f>+IFERROR(AO396/AO374,"n/a")</f>
        <v>n/a</v>
      </c>
      <c r="AP407" s="196">
        <f>+IFERROR(AP396/AP374,"n/a")</f>
        <v>0.8451692129581776</v>
      </c>
      <c r="AQ407" s="196">
        <f>+IFERROR(AQ396/AQ374,"n/a")</f>
        <v>0.83160962435657781</v>
      </c>
      <c r="AR407" s="196">
        <f t="shared" ref="AR407:AW409" si="1754">+IFERROR(AR396/AR374,"n/a")</f>
        <v>0.81967592539931433</v>
      </c>
      <c r="AS407" s="196">
        <f t="shared" si="1754"/>
        <v>0.81228477530415277</v>
      </c>
      <c r="AT407" s="196">
        <f t="shared" si="1754"/>
        <v>0.82507576133213834</v>
      </c>
      <c r="AU407" s="196">
        <f t="shared" si="1754"/>
        <v>0.86016642854158376</v>
      </c>
      <c r="AV407" s="196">
        <f t="shared" si="1754"/>
        <v>0.88757876689424187</v>
      </c>
      <c r="AW407" s="196">
        <f t="shared" si="1754"/>
        <v>0.87589012575123981</v>
      </c>
      <c r="AX407" s="196">
        <f t="shared" ref="AX407" si="1755">+IFERROR(AX396/AX374,"n/a")</f>
        <v>0.86602000384826272</v>
      </c>
    </row>
    <row r="408" spans="2:50" ht="12" x14ac:dyDescent="0.35">
      <c r="B408" s="20" t="s">
        <v>227</v>
      </c>
      <c r="H408" s="205">
        <v>0.4</v>
      </c>
      <c r="I408" s="205">
        <v>0.4</v>
      </c>
      <c r="J408" s="205">
        <v>0.4</v>
      </c>
      <c r="K408" s="205">
        <v>0.4</v>
      </c>
      <c r="L408" s="198">
        <f t="shared" si="1749"/>
        <v>0.5610043733976775</v>
      </c>
      <c r="M408" s="198">
        <f t="shared" si="1749"/>
        <v>0.57674822434335649</v>
      </c>
      <c r="N408" s="198">
        <f t="shared" si="1749"/>
        <v>0.55111159848123292</v>
      </c>
      <c r="O408" s="198">
        <f t="shared" si="1749"/>
        <v>0.5395489441035346</v>
      </c>
      <c r="P408" s="198">
        <f t="shared" si="1749"/>
        <v>0.62090763728452525</v>
      </c>
      <c r="Q408" s="198">
        <f t="shared" si="1749"/>
        <v>0.61091982642100029</v>
      </c>
      <c r="R408" s="198">
        <f t="shared" si="1749"/>
        <v>0.61030722365185219</v>
      </c>
      <c r="S408" s="198">
        <f t="shared" si="1749"/>
        <v>0.59517478516798705</v>
      </c>
      <c r="T408" s="198">
        <f t="shared" si="1749"/>
        <v>0.63868675813104614</v>
      </c>
      <c r="U408" s="198">
        <f t="shared" si="1749"/>
        <v>0.58489122474831523</v>
      </c>
      <c r="V408" s="198">
        <f t="shared" si="1749"/>
        <v>0.43417604468571119</v>
      </c>
      <c r="W408" s="198">
        <f t="shared" si="1749"/>
        <v>0.55272858028402727</v>
      </c>
      <c r="X408" s="198">
        <f t="shared" si="1749"/>
        <v>0.65810786785967523</v>
      </c>
      <c r="Y408" s="198">
        <f t="shared" si="1750"/>
        <v>0.65471307937444434</v>
      </c>
      <c r="Z408" s="198">
        <f t="shared" si="1750"/>
        <v>0.65378182064969625</v>
      </c>
      <c r="AA408" s="198">
        <f t="shared" si="1750"/>
        <v>0.65001466303873268</v>
      </c>
      <c r="AB408" s="198">
        <f t="shared" si="1751"/>
        <v>0.67647088609997996</v>
      </c>
      <c r="AC408" s="198">
        <f t="shared" si="1751"/>
        <v>0.67541145464182928</v>
      </c>
      <c r="AD408" s="198">
        <f t="shared" si="1751"/>
        <v>0.66910612907945843</v>
      </c>
      <c r="AE408" s="198">
        <f t="shared" si="1751"/>
        <v>0.6754306200258563</v>
      </c>
      <c r="AF408" s="198">
        <f t="shared" ref="AF408" si="1756">+IFERROR(AF397/AF375,"n/a")</f>
        <v>0.68551817113969438</v>
      </c>
      <c r="AG408" s="198">
        <f t="shared" si="1751"/>
        <v>0.68311148900645191</v>
      </c>
      <c r="AH408" s="198">
        <f t="shared" si="1751"/>
        <v>0.67429791220550594</v>
      </c>
      <c r="AI408" s="198">
        <f t="shared" si="1751"/>
        <v>0.65884107983197104</v>
      </c>
      <c r="AJ408" s="198">
        <f t="shared" ref="AJ408:AM408" si="1757">+IFERROR(AJ397/AJ375,"n/a")</f>
        <v>0.6772847160023201</v>
      </c>
      <c r="AK408" s="198">
        <f t="shared" si="1757"/>
        <v>0.67552389711079985</v>
      </c>
      <c r="AL408" s="198">
        <f t="shared" si="1757"/>
        <v>0.67206294804946298</v>
      </c>
      <c r="AM408" s="198">
        <f t="shared" si="1757"/>
        <v>0.66420963463649652</v>
      </c>
      <c r="AO408" s="205">
        <v>0</v>
      </c>
      <c r="AP408" s="205">
        <v>0</v>
      </c>
      <c r="AQ408" s="198">
        <f t="shared" ref="AQ408:AQ415" si="1758">+IFERROR(AQ397/AQ375,"n/a")</f>
        <v>0.40000000000000008</v>
      </c>
      <c r="AR408" s="198">
        <f t="shared" si="1754"/>
        <v>0.55538189045578079</v>
      </c>
      <c r="AS408" s="198">
        <f t="shared" si="1754"/>
        <v>0.60765910462182604</v>
      </c>
      <c r="AT408" s="198">
        <f t="shared" si="1754"/>
        <v>0.57621988372154542</v>
      </c>
      <c r="AU408" s="198">
        <f t="shared" si="1754"/>
        <v>0.65351888488265275</v>
      </c>
      <c r="AV408" s="198">
        <f t="shared" si="1754"/>
        <v>0.6743169307129101</v>
      </c>
      <c r="AW408" s="198">
        <f t="shared" si="1754"/>
        <v>0.67674096120504079</v>
      </c>
      <c r="AX408" s="198">
        <f t="shared" ref="AX408" si="1759">+IFERROR(AX397/AX375,"n/a")</f>
        <v>0.67173829748372615</v>
      </c>
    </row>
    <row r="409" spans="2:50" ht="10.15" x14ac:dyDescent="0.2">
      <c r="B409" s="30" t="s">
        <v>440</v>
      </c>
      <c r="H409" s="196">
        <f t="shared" ref="H409:H415" si="1760">+IFERROR(H398/H376,"n/a")</f>
        <v>0.77004255368321906</v>
      </c>
      <c r="I409" s="196">
        <f t="shared" si="1749"/>
        <v>0.85702752924830372</v>
      </c>
      <c r="J409" s="196">
        <f t="shared" si="1749"/>
        <v>0.77045401845204253</v>
      </c>
      <c r="K409" s="196">
        <f t="shared" si="1749"/>
        <v>0.74850784994911501</v>
      </c>
      <c r="L409" s="196">
        <f t="shared" si="1749"/>
        <v>0.80880220117732893</v>
      </c>
      <c r="M409" s="196">
        <f t="shared" si="1749"/>
        <v>0.78175908723282606</v>
      </c>
      <c r="N409" s="196">
        <f t="shared" si="1749"/>
        <v>0.7571515001168494</v>
      </c>
      <c r="O409" s="196">
        <f t="shared" si="1749"/>
        <v>0.81189358462356953</v>
      </c>
      <c r="P409" s="196">
        <f t="shared" si="1749"/>
        <v>0.72148240827670262</v>
      </c>
      <c r="Q409" s="196">
        <f t="shared" si="1749"/>
        <v>0.78245309007435626</v>
      </c>
      <c r="R409" s="196">
        <f t="shared" si="1749"/>
        <v>0.78426834846449578</v>
      </c>
      <c r="S409" s="196">
        <f t="shared" si="1749"/>
        <v>0.82577920981384068</v>
      </c>
      <c r="T409" s="196">
        <f t="shared" si="1749"/>
        <v>0.79269034808974403</v>
      </c>
      <c r="U409" s="196">
        <f t="shared" si="1749"/>
        <v>0.8086004303293165</v>
      </c>
      <c r="V409" s="196">
        <f t="shared" si="1749"/>
        <v>0.8078269325989178</v>
      </c>
      <c r="W409" s="196">
        <f t="shared" si="1749"/>
        <v>0.83196703119679749</v>
      </c>
      <c r="X409" s="196">
        <f t="shared" si="1749"/>
        <v>0.80132020716938424</v>
      </c>
      <c r="Y409" s="196">
        <f t="shared" ref="Y409:AI409" si="1761">+IFERROR(Y398/Y376,"n/a")</f>
        <v>0.8139293654425056</v>
      </c>
      <c r="Z409" s="196">
        <f t="shared" si="1761"/>
        <v>0.86533992814038174</v>
      </c>
      <c r="AA409" s="196">
        <f t="shared" si="1761"/>
        <v>0.86457653391063727</v>
      </c>
      <c r="AB409" s="196">
        <f t="shared" si="1761"/>
        <v>0.85489948852744202</v>
      </c>
      <c r="AC409" s="196">
        <f t="shared" si="1761"/>
        <v>0.86527529492880517</v>
      </c>
      <c r="AD409" s="196">
        <f t="shared" si="1761"/>
        <v>0.86943412559451105</v>
      </c>
      <c r="AE409" s="196">
        <f t="shared" si="1761"/>
        <v>0.86498682155398088</v>
      </c>
      <c r="AF409" s="196">
        <f t="shared" ref="AF409" si="1762">+IFERROR(AF398/AF376,"n/a")</f>
        <v>0.86205738998739323</v>
      </c>
      <c r="AG409" s="196">
        <f t="shared" si="1761"/>
        <v>0.84639314515785635</v>
      </c>
      <c r="AH409" s="196">
        <f t="shared" si="1761"/>
        <v>0.85579220420888658</v>
      </c>
      <c r="AI409" s="196">
        <f t="shared" si="1761"/>
        <v>0.8634743936387993</v>
      </c>
      <c r="AJ409" s="196">
        <f t="shared" ref="AJ409:AM409" si="1763">+IFERROR(AJ398/AJ376,"n/a")</f>
        <v>0.86223569520402954</v>
      </c>
      <c r="AK409" s="196">
        <f t="shared" si="1763"/>
        <v>0.84577566891854505</v>
      </c>
      <c r="AL409" s="196">
        <f t="shared" si="1763"/>
        <v>0.85009649032988654</v>
      </c>
      <c r="AM409" s="196">
        <f t="shared" si="1763"/>
        <v>0.85294734332707189</v>
      </c>
      <c r="AO409" s="196">
        <f t="shared" ref="AO409:AP415" si="1764">+IFERROR(AO398/AO376,"n/a")</f>
        <v>-1.5065249813571959</v>
      </c>
      <c r="AP409" s="196">
        <f t="shared" si="1764"/>
        <v>0.58714728805974181</v>
      </c>
      <c r="AQ409" s="196">
        <f t="shared" si="1758"/>
        <v>0.7788290234977312</v>
      </c>
      <c r="AR409" s="196">
        <f t="shared" si="1754"/>
        <v>0.79049277142113794</v>
      </c>
      <c r="AS409" s="196">
        <f t="shared" si="1754"/>
        <v>0.79222306518901486</v>
      </c>
      <c r="AT409" s="196">
        <f t="shared" si="1754"/>
        <v>0.8124183050231224</v>
      </c>
      <c r="AU409" s="196">
        <f t="shared" si="1754"/>
        <v>0.84124226668292845</v>
      </c>
      <c r="AV409" s="196">
        <f t="shared" si="1754"/>
        <v>0.86437996278264206</v>
      </c>
      <c r="AW409" s="196">
        <f t="shared" si="1754"/>
        <v>0.85697921175665592</v>
      </c>
      <c r="AX409" s="196">
        <f t="shared" ref="AX409" si="1765">+IFERROR(AX398/AX376,"n/a")</f>
        <v>0.85244547763818657</v>
      </c>
    </row>
    <row r="410" spans="2:50" ht="12" x14ac:dyDescent="0.35">
      <c r="B410" s="20" t="s">
        <v>441</v>
      </c>
      <c r="H410" s="198" t="str">
        <f t="shared" si="1760"/>
        <v>n/a</v>
      </c>
      <c r="I410" s="198" t="str">
        <f t="shared" si="1749"/>
        <v>n/a</v>
      </c>
      <c r="J410" s="198" t="str">
        <f t="shared" si="1749"/>
        <v>n/a</v>
      </c>
      <c r="K410" s="198" t="str">
        <f t="shared" si="1749"/>
        <v>n/a</v>
      </c>
      <c r="L410" s="198" t="str">
        <f t="shared" si="1749"/>
        <v>n/a</v>
      </c>
      <c r="M410" s="198" t="str">
        <f t="shared" si="1749"/>
        <v>n/a</v>
      </c>
      <c r="N410" s="198" t="str">
        <f t="shared" si="1749"/>
        <v>n/a</v>
      </c>
      <c r="O410" s="198" t="str">
        <f t="shared" si="1749"/>
        <v>n/a</v>
      </c>
      <c r="P410" s="198" t="str">
        <f t="shared" si="1749"/>
        <v>n/a</v>
      </c>
      <c r="Q410" s="198" t="str">
        <f t="shared" si="1749"/>
        <v>n/a</v>
      </c>
      <c r="R410" s="205">
        <v>0.3</v>
      </c>
      <c r="S410" s="205">
        <v>0.3</v>
      </c>
      <c r="T410" s="205">
        <v>0.3</v>
      </c>
      <c r="U410" s="205">
        <v>0.3</v>
      </c>
      <c r="V410" s="205">
        <v>0.3</v>
      </c>
      <c r="W410" s="205">
        <v>0.3</v>
      </c>
      <c r="X410" s="205">
        <v>0.3</v>
      </c>
      <c r="Y410" s="205">
        <v>0.3</v>
      </c>
      <c r="Z410" s="205">
        <v>0.3</v>
      </c>
      <c r="AA410" s="205">
        <v>0.3</v>
      </c>
      <c r="AB410" s="198" t="str">
        <f t="shared" ref="AB410:AI410" si="1766">+IFERROR(AB399/AB377,"n/a")</f>
        <v>n/a</v>
      </c>
      <c r="AC410" s="198" t="str">
        <f t="shared" si="1766"/>
        <v>n/a</v>
      </c>
      <c r="AD410" s="198" t="str">
        <f t="shared" si="1766"/>
        <v>n/a</v>
      </c>
      <c r="AE410" s="198" t="str">
        <f t="shared" si="1766"/>
        <v>n/a</v>
      </c>
      <c r="AF410" s="198" t="str">
        <f t="shared" ref="AF410" si="1767">+IFERROR(AF399/AF377,"n/a")</f>
        <v>n/a</v>
      </c>
      <c r="AG410" s="198" t="str">
        <f t="shared" si="1766"/>
        <v>n/a</v>
      </c>
      <c r="AH410" s="198" t="str">
        <f t="shared" si="1766"/>
        <v>n/a</v>
      </c>
      <c r="AI410" s="198" t="str">
        <f t="shared" si="1766"/>
        <v>n/a</v>
      </c>
      <c r="AJ410" s="198" t="str">
        <f t="shared" ref="AJ410:AM410" si="1768">+IFERROR(AJ399/AJ377,"n/a")</f>
        <v>n/a</v>
      </c>
      <c r="AK410" s="198" t="str">
        <f t="shared" si="1768"/>
        <v>n/a</v>
      </c>
      <c r="AL410" s="198" t="str">
        <f t="shared" si="1768"/>
        <v>n/a</v>
      </c>
      <c r="AM410" s="198" t="str">
        <f t="shared" si="1768"/>
        <v>n/a</v>
      </c>
      <c r="AO410" s="198">
        <f t="shared" si="1764"/>
        <v>0</v>
      </c>
      <c r="AP410" s="198">
        <f t="shared" si="1764"/>
        <v>0</v>
      </c>
      <c r="AQ410" s="198" t="str">
        <f t="shared" si="1758"/>
        <v>n/a</v>
      </c>
      <c r="AR410" s="198" t="str">
        <f t="shared" ref="AR410:AW410" si="1769">+IFERROR(AR399/AR377,"n/a")</f>
        <v>n/a</v>
      </c>
      <c r="AS410" s="198">
        <f t="shared" si="1769"/>
        <v>0.3</v>
      </c>
      <c r="AT410" s="198">
        <f t="shared" si="1769"/>
        <v>0.3</v>
      </c>
      <c r="AU410" s="198">
        <f t="shared" si="1769"/>
        <v>0.3</v>
      </c>
      <c r="AV410" s="198" t="str">
        <f t="shared" si="1769"/>
        <v>n/a</v>
      </c>
      <c r="AW410" s="198" t="str">
        <f t="shared" si="1769"/>
        <v>n/a</v>
      </c>
      <c r="AX410" s="198" t="str">
        <f t="shared" ref="AX410" si="1770">+IFERROR(AX399/AX377,"n/a")</f>
        <v>n/a</v>
      </c>
    </row>
    <row r="411" spans="2:50" ht="10.15" x14ac:dyDescent="0.2">
      <c r="B411" s="30" t="s">
        <v>442</v>
      </c>
      <c r="H411" s="196">
        <f t="shared" si="1760"/>
        <v>0.77004255368321906</v>
      </c>
      <c r="I411" s="196">
        <f t="shared" si="1749"/>
        <v>0.85702752924830372</v>
      </c>
      <c r="J411" s="196">
        <f t="shared" si="1749"/>
        <v>0.77045401845204253</v>
      </c>
      <c r="K411" s="196">
        <f t="shared" si="1749"/>
        <v>0.74850784994911501</v>
      </c>
      <c r="L411" s="196">
        <f t="shared" ref="L411:AI411" si="1771">+IFERROR(L400/L378,"n/a")</f>
        <v>0.80880220117732893</v>
      </c>
      <c r="M411" s="196">
        <f t="shared" si="1771"/>
        <v>0.78175908723282606</v>
      </c>
      <c r="N411" s="196">
        <f t="shared" si="1771"/>
        <v>0.7571515001168494</v>
      </c>
      <c r="O411" s="196">
        <f t="shared" si="1771"/>
        <v>0.81189358462356953</v>
      </c>
      <c r="P411" s="196">
        <f t="shared" si="1771"/>
        <v>0.72148240827670262</v>
      </c>
      <c r="Q411" s="196">
        <f t="shared" si="1771"/>
        <v>0.78245309007435626</v>
      </c>
      <c r="R411" s="196">
        <f t="shared" si="1771"/>
        <v>0.77088100295979212</v>
      </c>
      <c r="S411" s="196">
        <f t="shared" si="1771"/>
        <v>0.71731769994850247</v>
      </c>
      <c r="T411" s="196">
        <f t="shared" si="1771"/>
        <v>0.67006804137343978</v>
      </c>
      <c r="U411" s="196">
        <f t="shared" si="1771"/>
        <v>0.7609935823072902</v>
      </c>
      <c r="V411" s="196">
        <f t="shared" si="1771"/>
        <v>0.80557019438387278</v>
      </c>
      <c r="W411" s="196">
        <f t="shared" si="1771"/>
        <v>0.83013473546642524</v>
      </c>
      <c r="X411" s="196">
        <f t="shared" si="1771"/>
        <v>0.80023082213023033</v>
      </c>
      <c r="Y411" s="196">
        <f t="shared" si="1771"/>
        <v>0.81298040431546814</v>
      </c>
      <c r="Z411" s="196">
        <f t="shared" si="1771"/>
        <v>0.86431347240410894</v>
      </c>
      <c r="AA411" s="196">
        <f t="shared" si="1771"/>
        <v>0.86362619722016798</v>
      </c>
      <c r="AB411" s="196">
        <f t="shared" si="1771"/>
        <v>0.85489948852744202</v>
      </c>
      <c r="AC411" s="196">
        <f t="shared" si="1771"/>
        <v>0.86527529492880517</v>
      </c>
      <c r="AD411" s="196">
        <f t="shared" si="1771"/>
        <v>0.86943412559451105</v>
      </c>
      <c r="AE411" s="196">
        <f t="shared" si="1771"/>
        <v>0.86498682155398088</v>
      </c>
      <c r="AF411" s="196">
        <f t="shared" ref="AF411" si="1772">+IFERROR(AF400/AF378,"n/a")</f>
        <v>0.86205738998739323</v>
      </c>
      <c r="AG411" s="196">
        <f t="shared" si="1771"/>
        <v>0.84639314515785635</v>
      </c>
      <c r="AH411" s="196">
        <f t="shared" si="1771"/>
        <v>0.85579220420888658</v>
      </c>
      <c r="AI411" s="196">
        <f t="shared" si="1771"/>
        <v>0.8634743936387993</v>
      </c>
      <c r="AJ411" s="196">
        <f t="shared" ref="AJ411:AM411" si="1773">+IFERROR(AJ400/AJ378,"n/a")</f>
        <v>0.86223569520402954</v>
      </c>
      <c r="AK411" s="196">
        <f t="shared" si="1773"/>
        <v>0.84577566891854505</v>
      </c>
      <c r="AL411" s="196">
        <f t="shared" si="1773"/>
        <v>0.85009649032988654</v>
      </c>
      <c r="AM411" s="196">
        <f t="shared" si="1773"/>
        <v>0.85294734332707189</v>
      </c>
      <c r="AO411" s="196">
        <f t="shared" si="1764"/>
        <v>-0.14405661722760979</v>
      </c>
      <c r="AP411" s="196">
        <f t="shared" si="1764"/>
        <v>0.5860077198470709</v>
      </c>
      <c r="AQ411" s="196">
        <f t="shared" si="1758"/>
        <v>0.7788290234977312</v>
      </c>
      <c r="AR411" s="196">
        <f t="shared" ref="AR411:AW411" si="1774">+IFERROR(AR400/AR378,"n/a")</f>
        <v>0.79049277142113794</v>
      </c>
      <c r="AS411" s="196">
        <f t="shared" si="1774"/>
        <v>0.74417892569877342</v>
      </c>
      <c r="AT411" s="196">
        <f t="shared" si="1774"/>
        <v>0.76805611480281477</v>
      </c>
      <c r="AU411" s="196">
        <f t="shared" si="1774"/>
        <v>0.8402429214740097</v>
      </c>
      <c r="AV411" s="196">
        <f t="shared" si="1774"/>
        <v>0.86437996278264206</v>
      </c>
      <c r="AW411" s="196">
        <f t="shared" si="1774"/>
        <v>0.85697921175665592</v>
      </c>
      <c r="AX411" s="196">
        <f t="shared" ref="AX411" si="1775">+IFERROR(AX400/AX378,"n/a")</f>
        <v>0.85244547763818657</v>
      </c>
    </row>
    <row r="412" spans="2:50" ht="12" x14ac:dyDescent="0.35">
      <c r="B412" s="20" t="s">
        <v>443</v>
      </c>
      <c r="H412" s="198" t="str">
        <f t="shared" si="1760"/>
        <v>n/a</v>
      </c>
      <c r="I412" s="198" t="str">
        <f t="shared" si="1749"/>
        <v>n/a</v>
      </c>
      <c r="J412" s="198" t="str">
        <f t="shared" si="1749"/>
        <v>n/a</v>
      </c>
      <c r="K412" s="198" t="str">
        <f t="shared" si="1749"/>
        <v>n/a</v>
      </c>
      <c r="L412" s="198" t="str">
        <f t="shared" ref="L412:R412" si="1776">+IFERROR(L401/L379,"n/a")</f>
        <v>n/a</v>
      </c>
      <c r="M412" s="198" t="str">
        <f t="shared" si="1776"/>
        <v>n/a</v>
      </c>
      <c r="N412" s="198" t="str">
        <f t="shared" si="1776"/>
        <v>n/a</v>
      </c>
      <c r="O412" s="198" t="str">
        <f t="shared" si="1776"/>
        <v>n/a</v>
      </c>
      <c r="P412" s="198" t="str">
        <f t="shared" si="1776"/>
        <v>n/a</v>
      </c>
      <c r="Q412" s="198" t="str">
        <f t="shared" si="1776"/>
        <v>n/a</v>
      </c>
      <c r="R412" s="198" t="str">
        <f t="shared" si="1776"/>
        <v>n/a</v>
      </c>
      <c r="S412" s="198">
        <f t="shared" ref="S412:Y412" si="1777">+IFERROR(S401/S379,"n/a")</f>
        <v>-6.2601501227746992</v>
      </c>
      <c r="T412" s="198">
        <f t="shared" si="1777"/>
        <v>-1.5015550066682326</v>
      </c>
      <c r="U412" s="198">
        <f t="shared" si="1777"/>
        <v>-0.35928102814135143</v>
      </c>
      <c r="V412" s="198">
        <f t="shared" si="1777"/>
        <v>2.3384856435523238E-2</v>
      </c>
      <c r="W412" s="198">
        <f t="shared" si="1777"/>
        <v>0.29472542251409584</v>
      </c>
      <c r="X412" s="198">
        <f t="shared" si="1777"/>
        <v>0.13643302114442654</v>
      </c>
      <c r="Y412" s="198">
        <f t="shared" si="1777"/>
        <v>0.29115279332188909</v>
      </c>
      <c r="Z412" s="205">
        <v>0.3</v>
      </c>
      <c r="AA412" s="205">
        <v>0.3</v>
      </c>
      <c r="AB412" s="205">
        <v>0.3</v>
      </c>
      <c r="AC412" s="205">
        <v>0.3</v>
      </c>
      <c r="AD412" s="205">
        <v>0.3</v>
      </c>
      <c r="AE412" s="205">
        <v>0.3</v>
      </c>
      <c r="AF412" s="205">
        <v>0.3</v>
      </c>
      <c r="AG412" s="205">
        <v>0.3</v>
      </c>
      <c r="AH412" s="205">
        <v>0.3</v>
      </c>
      <c r="AI412" s="205">
        <v>0.3</v>
      </c>
      <c r="AJ412" s="205">
        <v>0.3</v>
      </c>
      <c r="AK412" s="205">
        <v>0.3</v>
      </c>
      <c r="AL412" s="205">
        <v>0.3</v>
      </c>
      <c r="AM412" s="205">
        <v>0.3</v>
      </c>
      <c r="AO412" s="198" t="str">
        <f t="shared" si="1764"/>
        <v>n/a</v>
      </c>
      <c r="AP412" s="198" t="str">
        <f t="shared" si="1764"/>
        <v>n/a</v>
      </c>
      <c r="AQ412" s="198" t="str">
        <f t="shared" si="1758"/>
        <v>n/a</v>
      </c>
      <c r="AR412" s="198" t="str">
        <f t="shared" ref="AR412:AW412" si="1778">+IFERROR(AR401/AR379,"n/a")</f>
        <v>n/a</v>
      </c>
      <c r="AS412" s="198">
        <f t="shared" si="1778"/>
        <v>-6.2601501227746992</v>
      </c>
      <c r="AT412" s="198">
        <f t="shared" si="1778"/>
        <v>-0.19765276489657177</v>
      </c>
      <c r="AU412" s="198">
        <f t="shared" si="1778"/>
        <v>0.26282544684450521</v>
      </c>
      <c r="AV412" s="198">
        <f t="shared" si="1778"/>
        <v>0.3</v>
      </c>
      <c r="AW412" s="198">
        <f t="shared" si="1778"/>
        <v>0.29999999999999993</v>
      </c>
      <c r="AX412" s="198">
        <f t="shared" ref="AX412" si="1779">+IFERROR(AX401/AX379,"n/a")</f>
        <v>0.3</v>
      </c>
    </row>
    <row r="413" spans="2:50" ht="10.15" x14ac:dyDescent="0.2">
      <c r="B413" s="30" t="s">
        <v>409</v>
      </c>
      <c r="H413" s="196">
        <f t="shared" si="1760"/>
        <v>0.77004255368321906</v>
      </c>
      <c r="I413" s="196">
        <f t="shared" si="1749"/>
        <v>0.85702752924830372</v>
      </c>
      <c r="J413" s="196">
        <f t="shared" si="1749"/>
        <v>0.77045401845204253</v>
      </c>
      <c r="K413" s="196">
        <f t="shared" si="1749"/>
        <v>0.74850784994911501</v>
      </c>
      <c r="L413" s="196">
        <f t="shared" ref="L413:R413" si="1780">+IFERROR(L402/L380,"n/a")</f>
        <v>0.80880220117732893</v>
      </c>
      <c r="M413" s="196">
        <f t="shared" si="1780"/>
        <v>0.78175908723282606</v>
      </c>
      <c r="N413" s="196">
        <f t="shared" si="1780"/>
        <v>0.7571515001168494</v>
      </c>
      <c r="O413" s="196">
        <f t="shared" si="1780"/>
        <v>0.81189358462356953</v>
      </c>
      <c r="P413" s="196">
        <f t="shared" si="1780"/>
        <v>0.72148240827670262</v>
      </c>
      <c r="Q413" s="196">
        <f t="shared" si="1780"/>
        <v>0.78245309007435626</v>
      </c>
      <c r="R413" s="196">
        <f t="shared" si="1780"/>
        <v>0.77088100295979212</v>
      </c>
      <c r="S413" s="196">
        <f t="shared" ref="S413:AI413" si="1781">+IFERROR(S402/S380,"n/a")</f>
        <v>0.56620735145168288</v>
      </c>
      <c r="T413" s="196">
        <f t="shared" si="1781"/>
        <v>0.5154221127446581</v>
      </c>
      <c r="U413" s="196">
        <f t="shared" si="1781"/>
        <v>0.65762524179670245</v>
      </c>
      <c r="V413" s="196">
        <f t="shared" si="1781"/>
        <v>0.69545091133267656</v>
      </c>
      <c r="W413" s="196">
        <f t="shared" si="1781"/>
        <v>0.76094109690688472</v>
      </c>
      <c r="X413" s="196">
        <f t="shared" si="1781"/>
        <v>0.69948274939627897</v>
      </c>
      <c r="Y413" s="196">
        <f t="shared" si="1781"/>
        <v>0.74697880708793452</v>
      </c>
      <c r="Z413" s="196">
        <f t="shared" si="1781"/>
        <v>0.79378950018500616</v>
      </c>
      <c r="AA413" s="196">
        <f t="shared" si="1781"/>
        <v>0.79477620383571446</v>
      </c>
      <c r="AB413" s="196">
        <f t="shared" si="1781"/>
        <v>0.77181192294276413</v>
      </c>
      <c r="AC413" s="196">
        <f t="shared" si="1781"/>
        <v>0.7973469844872294</v>
      </c>
      <c r="AD413" s="196">
        <f t="shared" si="1781"/>
        <v>0.7973628595062876</v>
      </c>
      <c r="AE413" s="196">
        <f t="shared" si="1781"/>
        <v>0.80686685909713951</v>
      </c>
      <c r="AF413" s="196">
        <f t="shared" ref="AF413" si="1782">+IFERROR(AF402/AF380,"n/a")</f>
        <v>0.80018736334848473</v>
      </c>
      <c r="AG413" s="196">
        <f t="shared" si="1781"/>
        <v>0.7899274529117436</v>
      </c>
      <c r="AH413" s="196">
        <f t="shared" si="1781"/>
        <v>0.78991583172043778</v>
      </c>
      <c r="AI413" s="196">
        <f t="shared" si="1781"/>
        <v>0.80578659595225954</v>
      </c>
      <c r="AJ413" s="196">
        <f t="shared" ref="AJ413:AM413" si="1783">+IFERROR(AJ402/AJ380,"n/a")</f>
        <v>0.79861503735648953</v>
      </c>
      <c r="AK413" s="196">
        <f t="shared" si="1783"/>
        <v>0.78878261262729177</v>
      </c>
      <c r="AL413" s="196">
        <f t="shared" si="1783"/>
        <v>0.78631374054361969</v>
      </c>
      <c r="AM413" s="196">
        <f t="shared" si="1783"/>
        <v>0.79976817452419902</v>
      </c>
      <c r="AO413" s="196">
        <f t="shared" si="1764"/>
        <v>-0.14405661722760979</v>
      </c>
      <c r="AP413" s="196">
        <f t="shared" si="1764"/>
        <v>0.5860077198470709</v>
      </c>
      <c r="AQ413" s="196">
        <f t="shared" si="1758"/>
        <v>0.7788290234977312</v>
      </c>
      <c r="AR413" s="196">
        <f t="shared" ref="AR413:AW413" si="1784">+IFERROR(AR402/AR380,"n/a")</f>
        <v>0.79049277142113794</v>
      </c>
      <c r="AS413" s="196">
        <f t="shared" si="1784"/>
        <v>0.67648770130168223</v>
      </c>
      <c r="AT413" s="196">
        <f t="shared" si="1784"/>
        <v>0.66267706677276284</v>
      </c>
      <c r="AU413" s="196">
        <f t="shared" si="1784"/>
        <v>0.76553337839936475</v>
      </c>
      <c r="AV413" s="196">
        <f t="shared" si="1784"/>
        <v>0.79566412122155816</v>
      </c>
      <c r="AW413" s="196">
        <f t="shared" si="1784"/>
        <v>0.79666664026660816</v>
      </c>
      <c r="AX413" s="196">
        <f t="shared" ref="AX413" si="1785">+IFERROR(AX402/AX380,"n/a")</f>
        <v>0.79350757689837514</v>
      </c>
    </row>
    <row r="414" spans="2:50" ht="12" x14ac:dyDescent="0.35">
      <c r="B414" s="20" t="s">
        <v>411</v>
      </c>
      <c r="H414" s="198" t="str">
        <f t="shared" si="1760"/>
        <v>n/a</v>
      </c>
      <c r="I414" s="198" t="str">
        <f t="shared" si="1749"/>
        <v>n/a</v>
      </c>
      <c r="J414" s="198" t="str">
        <f t="shared" si="1749"/>
        <v>n/a</v>
      </c>
      <c r="K414" s="198" t="str">
        <f t="shared" si="1749"/>
        <v>n/a</v>
      </c>
      <c r="L414" s="198" t="str">
        <f t="shared" si="1749"/>
        <v>n/a</v>
      </c>
      <c r="M414" s="198" t="str">
        <f t="shared" si="1749"/>
        <v>n/a</v>
      </c>
      <c r="N414" s="198" t="str">
        <f t="shared" si="1749"/>
        <v>n/a</v>
      </c>
      <c r="O414" s="198" t="str">
        <f t="shared" si="1749"/>
        <v>n/a</v>
      </c>
      <c r="P414" s="198" t="str">
        <f t="shared" si="1749"/>
        <v>n/a</v>
      </c>
      <c r="Q414" s="198" t="str">
        <f t="shared" si="1749"/>
        <v>n/a</v>
      </c>
      <c r="R414" s="198" t="str">
        <f t="shared" si="1749"/>
        <v>n/a</v>
      </c>
      <c r="S414" s="198" t="str">
        <f t="shared" ref="S414:Y414" si="1786">+IFERROR(S403/S381,"n/a")</f>
        <v>n/a</v>
      </c>
      <c r="T414" s="198" t="str">
        <f t="shared" si="1786"/>
        <v>n/a</v>
      </c>
      <c r="U414" s="198" t="str">
        <f t="shared" si="1786"/>
        <v>n/a</v>
      </c>
      <c r="V414" s="198" t="str">
        <f t="shared" si="1786"/>
        <v>n/a</v>
      </c>
      <c r="W414" s="198" t="str">
        <f t="shared" si="1786"/>
        <v>n/a</v>
      </c>
      <c r="X414" s="198" t="str">
        <f t="shared" si="1786"/>
        <v>n/a</v>
      </c>
      <c r="Y414" s="198" t="str">
        <f t="shared" si="1786"/>
        <v>n/a</v>
      </c>
      <c r="Z414" s="198" t="str">
        <f t="shared" ref="Z414:AE414" si="1787">+IFERROR(Z403/Z381,"n/a")</f>
        <v>n/a</v>
      </c>
      <c r="AA414" s="198">
        <f t="shared" si="1787"/>
        <v>-0.91204402671937512</v>
      </c>
      <c r="AB414" s="198">
        <f t="shared" si="1787"/>
        <v>-0.95385564844766735</v>
      </c>
      <c r="AC414" s="198">
        <f t="shared" si="1787"/>
        <v>-1.0038168659329503</v>
      </c>
      <c r="AD414" s="198">
        <f t="shared" si="1787"/>
        <v>0.11957429865723393</v>
      </c>
      <c r="AE414" s="198">
        <f t="shared" si="1787"/>
        <v>0.13452694080894834</v>
      </c>
      <c r="AF414" s="198">
        <f t="shared" ref="AF414:AM414" si="1788">+IFERROR(AF403/AF381,"n/a")</f>
        <v>0.33088630726071994</v>
      </c>
      <c r="AG414" s="198">
        <f t="shared" si="1788"/>
        <v>0.41699336776326251</v>
      </c>
      <c r="AH414" s="198">
        <f t="shared" si="1788"/>
        <v>0.3</v>
      </c>
      <c r="AI414" s="198">
        <f t="shared" si="1788"/>
        <v>0.3</v>
      </c>
      <c r="AJ414" s="198">
        <f t="shared" si="1788"/>
        <v>0.3</v>
      </c>
      <c r="AK414" s="198">
        <f t="shared" si="1788"/>
        <v>0.3</v>
      </c>
      <c r="AL414" s="198">
        <f t="shared" si="1788"/>
        <v>0.3</v>
      </c>
      <c r="AM414" s="198">
        <f t="shared" si="1788"/>
        <v>0.3</v>
      </c>
      <c r="AO414" s="198" t="str">
        <f t="shared" si="1764"/>
        <v>n/a</v>
      </c>
      <c r="AP414" s="198" t="str">
        <f t="shared" si="1764"/>
        <v>n/a</v>
      </c>
      <c r="AQ414" s="198" t="str">
        <f t="shared" si="1758"/>
        <v>n/a</v>
      </c>
      <c r="AR414" s="198" t="str">
        <f t="shared" ref="AR414:AW414" si="1789">+IFERROR(AR403/AR381,"n/a")</f>
        <v>n/a</v>
      </c>
      <c r="AS414" s="198" t="str">
        <f t="shared" si="1789"/>
        <v>n/a</v>
      </c>
      <c r="AT414" s="198" t="str">
        <f t="shared" si="1789"/>
        <v>n/a</v>
      </c>
      <c r="AU414" s="198">
        <f t="shared" si="1789"/>
        <v>-1.1117653723409029</v>
      </c>
      <c r="AV414" s="198">
        <f t="shared" si="1789"/>
        <v>-6.561697573195124E-4</v>
      </c>
      <c r="AW414" s="198">
        <f t="shared" si="1789"/>
        <v>0.33507406034995935</v>
      </c>
      <c r="AX414" s="198">
        <f t="shared" ref="AX414" si="1790">+IFERROR(AX403/AX381,"n/a")</f>
        <v>0.29999999999999993</v>
      </c>
    </row>
    <row r="415" spans="2:50" ht="10.15" x14ac:dyDescent="0.2">
      <c r="B415" s="30" t="s">
        <v>412</v>
      </c>
      <c r="H415" s="196">
        <f t="shared" si="1760"/>
        <v>0.77004255368321906</v>
      </c>
      <c r="I415" s="196">
        <f t="shared" si="1749"/>
        <v>0.85702752924830372</v>
      </c>
      <c r="J415" s="196">
        <f t="shared" si="1749"/>
        <v>0.77045401845204253</v>
      </c>
      <c r="K415" s="196">
        <f t="shared" si="1749"/>
        <v>0.74850784994911501</v>
      </c>
      <c r="L415" s="196">
        <f t="shared" si="1749"/>
        <v>0.80880220117732893</v>
      </c>
      <c r="M415" s="196">
        <f t="shared" si="1749"/>
        <v>0.78175908723282606</v>
      </c>
      <c r="N415" s="196">
        <f t="shared" si="1749"/>
        <v>0.7571515001168494</v>
      </c>
      <c r="O415" s="196">
        <f t="shared" si="1749"/>
        <v>0.81189358462356953</v>
      </c>
      <c r="P415" s="196">
        <f t="shared" si="1749"/>
        <v>0.72148240827670262</v>
      </c>
      <c r="Q415" s="196">
        <f t="shared" si="1749"/>
        <v>0.78245309007435626</v>
      </c>
      <c r="R415" s="196">
        <f t="shared" si="1749"/>
        <v>0.77088100295979212</v>
      </c>
      <c r="S415" s="196">
        <f t="shared" ref="S415:Y415" si="1791">+IFERROR(S404/S382,"n/a")</f>
        <v>0.56620735145168288</v>
      </c>
      <c r="T415" s="196">
        <f t="shared" si="1791"/>
        <v>0.5154221127446581</v>
      </c>
      <c r="U415" s="196">
        <f t="shared" si="1791"/>
        <v>0.65762524179670245</v>
      </c>
      <c r="V415" s="196">
        <f t="shared" si="1791"/>
        <v>0.69545091133267656</v>
      </c>
      <c r="W415" s="196">
        <f t="shared" si="1791"/>
        <v>0.76094109690688472</v>
      </c>
      <c r="X415" s="196">
        <f t="shared" si="1791"/>
        <v>0.69948274939627897</v>
      </c>
      <c r="Y415" s="196">
        <f t="shared" si="1791"/>
        <v>0.74697880708793452</v>
      </c>
      <c r="Z415" s="196">
        <f t="shared" ref="Z415:AI415" si="1792">+IFERROR(Z404/Z382,"n/a")</f>
        <v>0.79134104417312323</v>
      </c>
      <c r="AA415" s="196">
        <f t="shared" si="1792"/>
        <v>0.77611949444133987</v>
      </c>
      <c r="AB415" s="196">
        <f t="shared" si="1792"/>
        <v>0.70539888221845237</v>
      </c>
      <c r="AC415" s="196">
        <f t="shared" si="1792"/>
        <v>0.643051950978207</v>
      </c>
      <c r="AD415" s="196">
        <f t="shared" si="1792"/>
        <v>0.61055103843063252</v>
      </c>
      <c r="AE415" s="196">
        <f t="shared" si="1792"/>
        <v>0.60585666440701702</v>
      </c>
      <c r="AF415" s="196">
        <f t="shared" ref="AF415:AG415" si="1793">+IFERROR(AF404/AF382,"n/a")</f>
        <v>0.62358717928807572</v>
      </c>
      <c r="AG415" s="196">
        <f t="shared" si="1793"/>
        <v>0.65319848907986178</v>
      </c>
      <c r="AH415" s="196">
        <f t="shared" si="1792"/>
        <v>0.60062388492552909</v>
      </c>
      <c r="AI415" s="196">
        <f t="shared" si="1792"/>
        <v>0.61562532587550112</v>
      </c>
      <c r="AJ415" s="196">
        <f t="shared" ref="AJ415:AM415" si="1794">+IFERROR(AJ404/AJ382,"n/a")</f>
        <v>0.60042646755038009</v>
      </c>
      <c r="AK415" s="196">
        <f t="shared" si="1794"/>
        <v>0.58900261208303828</v>
      </c>
      <c r="AL415" s="196">
        <f t="shared" si="1794"/>
        <v>0.58143836573691343</v>
      </c>
      <c r="AM415" s="196">
        <f t="shared" si="1794"/>
        <v>0.59946303051735816</v>
      </c>
      <c r="AO415" s="196">
        <f t="shared" si="1764"/>
        <v>-0.14405661722760979</v>
      </c>
      <c r="AP415" s="196">
        <f t="shared" si="1764"/>
        <v>0.5860077198470709</v>
      </c>
      <c r="AQ415" s="196">
        <f t="shared" si="1758"/>
        <v>0.77882902349773131</v>
      </c>
      <c r="AR415" s="196">
        <f t="shared" ref="AR415:AW415" si="1795">+IFERROR(AR404/AR382,"n/a")</f>
        <v>0.79049277142113805</v>
      </c>
      <c r="AS415" s="196">
        <f t="shared" si="1795"/>
        <v>0.67648770130168223</v>
      </c>
      <c r="AT415" s="196">
        <f t="shared" si="1795"/>
        <v>0.66267706677276284</v>
      </c>
      <c r="AU415" s="196">
        <f t="shared" si="1795"/>
        <v>0.75927473660684708</v>
      </c>
      <c r="AV415" s="196">
        <f t="shared" si="1795"/>
        <v>0.63014294525779957</v>
      </c>
      <c r="AW415" s="196">
        <f t="shared" si="1795"/>
        <v>0.62295836885155775</v>
      </c>
      <c r="AX415" s="196">
        <f t="shared" ref="AX415" si="1796">+IFERROR(AX404/AX382,"n/a")</f>
        <v>0.59253458065042564</v>
      </c>
    </row>
    <row r="416" spans="2:50" ht="10.15" x14ac:dyDescent="0.2">
      <c r="B416" s="38"/>
    </row>
    <row r="417" spans="2:50" ht="10.15" x14ac:dyDescent="0.2">
      <c r="B417" s="19" t="s">
        <v>413</v>
      </c>
    </row>
    <row r="418" spans="2:50" ht="10.15" x14ac:dyDescent="0.2">
      <c r="B418" s="20" t="s">
        <v>226</v>
      </c>
      <c r="L418" s="196">
        <f>IFERROR((L396-H396)/(L374-H374),"n/a")</f>
        <v>0.83996586292923958</v>
      </c>
      <c r="M418" s="196">
        <f t="shared" ref="M418" si="1797">IFERROR((M396-I396)/(M374-I374),"n/a")</f>
        <v>0.74165638661553202</v>
      </c>
      <c r="N418" s="196">
        <f t="shared" ref="N418" si="1798">IFERROR((N396-J396)/(N374-J374),"n/a")</f>
        <v>0.75132916455953602</v>
      </c>
      <c r="O418" s="196">
        <f t="shared" ref="O418" si="1799">IFERROR((O396-K396)/(O374-K374),"n/a")</f>
        <v>0.90184091891544726</v>
      </c>
      <c r="P418" s="196">
        <f t="shared" ref="P418" si="1800">IFERROR((P396-L396)/(P374-L374),"n/a")</f>
        <v>0.47069720232975071</v>
      </c>
      <c r="Q418" s="196">
        <f t="shared" ref="Q418" si="1801">IFERROR((Q396-M396)/(Q374-M374),"n/a")</f>
        <v>0.78922963406991653</v>
      </c>
      <c r="R418" s="196">
        <f t="shared" ref="R418" si="1802">IFERROR((R396-N396)/(R374-N374),"n/a")</f>
        <v>0.82729092363729317</v>
      </c>
      <c r="S418" s="197">
        <v>0.85</v>
      </c>
      <c r="T418" s="197">
        <v>0.85</v>
      </c>
      <c r="U418" s="197">
        <v>0.85</v>
      </c>
      <c r="V418" s="197">
        <v>0.85</v>
      </c>
      <c r="W418" s="197">
        <v>0.85</v>
      </c>
      <c r="X418" s="197">
        <v>0.85</v>
      </c>
      <c r="Y418" s="197">
        <v>0.85</v>
      </c>
      <c r="Z418" s="197">
        <v>1</v>
      </c>
      <c r="AA418" s="197">
        <v>1</v>
      </c>
      <c r="AB418" s="197">
        <v>1</v>
      </c>
      <c r="AC418" s="197">
        <v>1</v>
      </c>
      <c r="AD418" s="197">
        <v>0.9</v>
      </c>
      <c r="AE418" s="197">
        <v>0.9</v>
      </c>
      <c r="AF418" s="197">
        <v>0.9</v>
      </c>
      <c r="AG418" s="197">
        <v>0.8</v>
      </c>
      <c r="AH418" s="197">
        <v>0.8</v>
      </c>
      <c r="AI418" s="197">
        <v>0.8</v>
      </c>
      <c r="AJ418" s="197">
        <v>0.8</v>
      </c>
      <c r="AK418" s="197">
        <v>0.8</v>
      </c>
      <c r="AL418" s="197">
        <v>0.8</v>
      </c>
      <c r="AM418" s="197">
        <v>0.8</v>
      </c>
      <c r="AP418" s="196">
        <f t="shared" ref="AP418:AQ426" si="1803">IFERROR((AP396-AO396)/(AP374-AO374),"n/a")</f>
        <v>0.90531186041223055</v>
      </c>
      <c r="AQ418" s="196">
        <f t="shared" si="1803"/>
        <v>0.83001862938202842</v>
      </c>
      <c r="AR418" s="196">
        <f t="shared" ref="AR418:AX418" si="1804">IFERROR((AR396-AQ396)/(AR374-AQ374),"n/a")</f>
        <v>0.81069286797429152</v>
      </c>
      <c r="AS418" s="196">
        <f t="shared" si="1804"/>
        <v>0.80291001884661317</v>
      </c>
      <c r="AT418" s="196">
        <f t="shared" si="1804"/>
        <v>0.85000000000000042</v>
      </c>
      <c r="AU418" s="196">
        <f t="shared" si="1804"/>
        <v>0.94459689868090957</v>
      </c>
      <c r="AV418" s="196">
        <f t="shared" si="1804"/>
        <v>0.9429885288719615</v>
      </c>
      <c r="AW418" s="196">
        <f t="shared" si="1804"/>
        <v>0.83481528065840205</v>
      </c>
      <c r="AX418" s="196">
        <f t="shared" si="1804"/>
        <v>0.80000000000000093</v>
      </c>
    </row>
    <row r="419" spans="2:50" ht="12" x14ac:dyDescent="0.35">
      <c r="B419" s="20" t="s">
        <v>227</v>
      </c>
      <c r="L419" s="205">
        <v>0.7</v>
      </c>
      <c r="M419" s="205">
        <v>0.7</v>
      </c>
      <c r="N419" s="205">
        <v>0.7</v>
      </c>
      <c r="O419" s="205">
        <v>0.7</v>
      </c>
      <c r="P419" s="205">
        <v>0.7</v>
      </c>
      <c r="Q419" s="205">
        <v>0.7</v>
      </c>
      <c r="R419" s="205">
        <v>0.7</v>
      </c>
      <c r="S419" s="205">
        <v>0.7</v>
      </c>
      <c r="T419" s="205">
        <v>0.7</v>
      </c>
      <c r="U419" s="205">
        <v>0.7</v>
      </c>
      <c r="V419" s="205">
        <v>0.7</v>
      </c>
      <c r="W419" s="205">
        <v>0.7</v>
      </c>
      <c r="X419" s="205">
        <v>0.7</v>
      </c>
      <c r="Y419" s="205">
        <v>0.7</v>
      </c>
      <c r="Z419" s="205">
        <v>0.7</v>
      </c>
      <c r="AA419" s="205">
        <v>0.7</v>
      </c>
      <c r="AB419" s="205">
        <v>0.7</v>
      </c>
      <c r="AC419" s="205">
        <v>0.7</v>
      </c>
      <c r="AD419" s="205">
        <v>0.7</v>
      </c>
      <c r="AE419" s="205">
        <v>0.7</v>
      </c>
      <c r="AF419" s="205">
        <v>0.7</v>
      </c>
      <c r="AG419" s="205">
        <v>0.7</v>
      </c>
      <c r="AH419" s="205">
        <v>0.7</v>
      </c>
      <c r="AI419" s="205">
        <v>0.7</v>
      </c>
      <c r="AJ419" s="205">
        <v>0.7</v>
      </c>
      <c r="AK419" s="205">
        <v>0.7</v>
      </c>
      <c r="AL419" s="205">
        <v>0.7</v>
      </c>
      <c r="AM419" s="205">
        <v>0.7</v>
      </c>
      <c r="AP419" s="198">
        <f t="shared" si="1803"/>
        <v>0</v>
      </c>
      <c r="AQ419" s="198">
        <f t="shared" si="1803"/>
        <v>0.59810493765604644</v>
      </c>
      <c r="AR419" s="198">
        <f t="shared" ref="AR419:AX419" si="1805">IFERROR((AR397-AQ397)/(AR375-AQ375),"n/a")</f>
        <v>0.70000000000000007</v>
      </c>
      <c r="AS419" s="198">
        <f t="shared" si="1805"/>
        <v>0.7</v>
      </c>
      <c r="AT419" s="198">
        <f t="shared" si="1805"/>
        <v>0.69999999999999951</v>
      </c>
      <c r="AU419" s="198">
        <f t="shared" si="1805"/>
        <v>0.69999999999999984</v>
      </c>
      <c r="AV419" s="198">
        <f t="shared" si="1805"/>
        <v>0.7</v>
      </c>
      <c r="AW419" s="198">
        <f t="shared" si="1805"/>
        <v>0.69999999999999962</v>
      </c>
      <c r="AX419" s="198">
        <f t="shared" si="1805"/>
        <v>0.70000000000000007</v>
      </c>
    </row>
    <row r="420" spans="2:50" ht="10.15" x14ac:dyDescent="0.2">
      <c r="B420" s="30" t="s">
        <v>440</v>
      </c>
      <c r="L420" s="196">
        <f t="shared" ref="L420:L426" si="1806">IFERROR((L398-H398)/(L376-H376),"n/a")</f>
        <v>0.82578212997532119</v>
      </c>
      <c r="M420" s="196">
        <f t="shared" ref="M420:M426" si="1807">IFERROR((M398-I398)/(M376-I376),"n/a")</f>
        <v>0.73724754756751965</v>
      </c>
      <c r="N420" s="196">
        <f t="shared" ref="N420:N426" si="1808">IFERROR((N398-J398)/(N376-J376),"n/a")</f>
        <v>0.74631935540730099</v>
      </c>
      <c r="O420" s="196">
        <f t="shared" ref="O420:O426" si="1809">IFERROR((O398-K398)/(O376-K376),"n/a")</f>
        <v>0.88163315822125132</v>
      </c>
      <c r="P420" s="196">
        <f t="shared" ref="P420:P426" si="1810">IFERROR((P398-L398)/(P376-L376),"n/a")</f>
        <v>0.52262714475750993</v>
      </c>
      <c r="Q420" s="196">
        <f t="shared" ref="Q420:Q426" si="1811">IFERROR((Q398-M398)/(Q376-M376),"n/a")</f>
        <v>0.78348490110857827</v>
      </c>
      <c r="R420" s="196">
        <f t="shared" ref="R420:R426" si="1812">IFERROR((R398-N398)/(R376-N376),"n/a")</f>
        <v>0.81659489145824249</v>
      </c>
      <c r="S420" s="196">
        <f t="shared" ref="S420:S426" si="1813">IFERROR((S398-O398)/(S376-O376),"n/a")</f>
        <v>0.84103687688572815</v>
      </c>
      <c r="T420" s="196">
        <f t="shared" ref="T420:T426" si="1814">IFERROR((T398-P398)/(T376-P376),"n/a")</f>
        <v>0.84488779609196452</v>
      </c>
      <c r="U420" s="196">
        <f t="shared" ref="U420:U426" si="1815">IFERROR((U398-Q398)/(U376-Q376),"n/a")</f>
        <v>0.85570603749456731</v>
      </c>
      <c r="V420" s="196">
        <f t="shared" ref="V420:V426" si="1816">IFERROR((V398-R398)/(V376-R376),"n/a")</f>
        <v>0.87891386237800273</v>
      </c>
      <c r="W420" s="196">
        <f t="shared" ref="W420:W426" si="1817">IFERROR((W398-S398)/(W376-S376),"n/a")</f>
        <v>0.87427470334639312</v>
      </c>
      <c r="X420" s="196">
        <f t="shared" ref="X420:X426" si="1818">IFERROR((X398-T398)/(X376-T376),"n/a")</f>
        <v>0.82987207153372022</v>
      </c>
      <c r="Y420" s="196">
        <f t="shared" ref="Y420:Y426" si="1819">IFERROR((Y398-U398)/(Y376-U376),"n/a")</f>
        <v>0.82588627406306114</v>
      </c>
      <c r="Z420" s="196">
        <f t="shared" ref="Z420:Z426" si="1820">IFERROR((Z398-V398)/(Z376-V376),"n/a")</f>
        <v>0.94920998385410382</v>
      </c>
      <c r="AA420" s="196">
        <f t="shared" ref="AA420:AA426" si="1821">IFERROR((AA398-W398)/(AA376-W376),"n/a")</f>
        <v>0.93536454313140649</v>
      </c>
      <c r="AB420" s="196">
        <f t="shared" ref="AB420:AB426" si="1822">IFERROR((AB398-X398)/(AB376-X376),"n/a")</f>
        <v>0.95639249578352203</v>
      </c>
      <c r="AC420" s="196">
        <f t="shared" ref="AC420:AC426" si="1823">IFERROR((AC398-Y398)/(AC376-Y376),"n/a")</f>
        <v>0.96138057097719798</v>
      </c>
      <c r="AD420" s="196">
        <f t="shared" ref="AD420:AD426" si="1824">IFERROR((AD398-Z398)/(AD376-Z376),"n/a")</f>
        <v>0.87955536194142947</v>
      </c>
      <c r="AE420" s="196">
        <f t="shared" ref="AE420:AF426" si="1825">IFERROR((AE398-AA398)/(AE376-AA376),"n/a")</f>
        <v>0.86564908841791388</v>
      </c>
      <c r="AF420" s="196">
        <f t="shared" si="1825"/>
        <v>0.87470492256688204</v>
      </c>
      <c r="AG420" s="196">
        <f t="shared" ref="AG420:AG426" si="1826">IFERROR((AG398-AC398)/(AG376-AC376),"n/a")</f>
        <v>0.78560344041196684</v>
      </c>
      <c r="AH420" s="196">
        <f t="shared" ref="AH420:AH426" si="1827">IFERROR((AH398-AD398)/(AH376-AD376),"n/a")</f>
        <v>0.79155388896988244</v>
      </c>
      <c r="AI420" s="196">
        <f t="shared" ref="AI420:AI426" si="1828">IFERROR((AI398-AE398)/(AI376-AE376),"n/a")</f>
        <v>0.84918985146505988</v>
      </c>
      <c r="AJ420" s="196">
        <f t="shared" ref="AJ420:AJ426" si="1829">IFERROR((AJ398-AF398)/(AJ376-AF376),"n/a")</f>
        <v>0.86492227122634113</v>
      </c>
      <c r="AK420" s="196">
        <f t="shared" ref="AK420:AK426" si="1830">IFERROR((AK398-AG398)/(AK376-AG376),"n/a")</f>
        <v>0.83870059757995052</v>
      </c>
      <c r="AL420" s="196">
        <f t="shared" ref="AL420:AL426" si="1831">IFERROR((AL398-AH398)/(AL376-AH376),"n/a")</f>
        <v>0.8055128728695724</v>
      </c>
      <c r="AM420" s="196">
        <f t="shared" ref="AM420:AM426" si="1832">IFERROR((AM398-AI398)/(AM376-AI376),"n/a")</f>
        <v>0.79415713566528601</v>
      </c>
      <c r="AP420" s="196">
        <f t="shared" si="1803"/>
        <v>0.64686911898086463</v>
      </c>
      <c r="AQ420" s="196">
        <f t="shared" si="1803"/>
        <v>0.80815057236829779</v>
      </c>
      <c r="AR420" s="196">
        <f t="shared" ref="AR420:AX420" si="1833">IFERROR((AR398-AQ398)/(AR376-AQ376),"n/a")</f>
        <v>0.79948285431893129</v>
      </c>
      <c r="AS420" s="196">
        <f t="shared" si="1833"/>
        <v>0.79448824441837629</v>
      </c>
      <c r="AT420" s="196">
        <f t="shared" si="1833"/>
        <v>0.85852838609609183</v>
      </c>
      <c r="AU420" s="196">
        <f t="shared" si="1833"/>
        <v>0.90140972296296906</v>
      </c>
      <c r="AV420" s="196">
        <f t="shared" si="1833"/>
        <v>0.90857179377370589</v>
      </c>
      <c r="AW420" s="196">
        <f t="shared" si="1833"/>
        <v>0.82904664783897042</v>
      </c>
      <c r="AX420" s="196">
        <f t="shared" si="1833"/>
        <v>0.81418504814673032</v>
      </c>
    </row>
    <row r="421" spans="2:50" ht="12" x14ac:dyDescent="0.35">
      <c r="B421" s="20" t="s">
        <v>441</v>
      </c>
      <c r="L421" s="198" t="str">
        <f t="shared" si="1806"/>
        <v>n/a</v>
      </c>
      <c r="M421" s="198" t="str">
        <f t="shared" si="1807"/>
        <v>n/a</v>
      </c>
      <c r="N421" s="198" t="str">
        <f t="shared" si="1808"/>
        <v>n/a</v>
      </c>
      <c r="O421" s="198" t="str">
        <f t="shared" si="1809"/>
        <v>n/a</v>
      </c>
      <c r="P421" s="198" t="str">
        <f t="shared" si="1810"/>
        <v>n/a</v>
      </c>
      <c r="Q421" s="198" t="str">
        <f t="shared" si="1811"/>
        <v>n/a</v>
      </c>
      <c r="R421" s="198">
        <f t="shared" si="1812"/>
        <v>0.3</v>
      </c>
      <c r="S421" s="198">
        <f t="shared" si="1813"/>
        <v>0.3</v>
      </c>
      <c r="T421" s="198">
        <f t="shared" si="1814"/>
        <v>0.3</v>
      </c>
      <c r="U421" s="198">
        <f t="shared" si="1815"/>
        <v>0.3</v>
      </c>
      <c r="V421" s="198">
        <f t="shared" si="1816"/>
        <v>0.3</v>
      </c>
      <c r="W421" s="198">
        <f t="shared" si="1817"/>
        <v>0.30000000000000004</v>
      </c>
      <c r="X421" s="198">
        <f t="shared" si="1818"/>
        <v>0.3</v>
      </c>
      <c r="Y421" s="198">
        <f t="shared" si="1819"/>
        <v>0.3</v>
      </c>
      <c r="Z421" s="198">
        <f t="shared" si="1820"/>
        <v>0.3000000000000001</v>
      </c>
      <c r="AA421" s="198">
        <f t="shared" si="1821"/>
        <v>0.3</v>
      </c>
      <c r="AB421" s="198">
        <f t="shared" si="1822"/>
        <v>0.3</v>
      </c>
      <c r="AC421" s="198">
        <f t="shared" si="1823"/>
        <v>0.3</v>
      </c>
      <c r="AD421" s="198">
        <f t="shared" si="1824"/>
        <v>0.3</v>
      </c>
      <c r="AE421" s="198">
        <f t="shared" si="1825"/>
        <v>0.3</v>
      </c>
      <c r="AF421" s="198" t="str">
        <f t="shared" si="1825"/>
        <v>n/a</v>
      </c>
      <c r="AG421" s="198" t="str">
        <f t="shared" si="1826"/>
        <v>n/a</v>
      </c>
      <c r="AH421" s="198" t="str">
        <f t="shared" si="1827"/>
        <v>n/a</v>
      </c>
      <c r="AI421" s="198" t="str">
        <f t="shared" si="1828"/>
        <v>n/a</v>
      </c>
      <c r="AJ421" s="198" t="str">
        <f t="shared" si="1829"/>
        <v>n/a</v>
      </c>
      <c r="AK421" s="198" t="str">
        <f t="shared" si="1830"/>
        <v>n/a</v>
      </c>
      <c r="AL421" s="198" t="str">
        <f t="shared" si="1831"/>
        <v>n/a</v>
      </c>
      <c r="AM421" s="198" t="str">
        <f t="shared" si="1832"/>
        <v>n/a</v>
      </c>
      <c r="AP421" s="198">
        <f t="shared" si="1803"/>
        <v>0</v>
      </c>
      <c r="AQ421" s="198">
        <f t="shared" si="1803"/>
        <v>0</v>
      </c>
      <c r="AR421" s="198" t="str">
        <f t="shared" ref="AR421:AX421" si="1834">IFERROR((AR399-AQ399)/(AR377-AQ377),"n/a")</f>
        <v>n/a</v>
      </c>
      <c r="AS421" s="198">
        <f t="shared" si="1834"/>
        <v>0.3</v>
      </c>
      <c r="AT421" s="198">
        <f t="shared" si="1834"/>
        <v>0.29999999999999993</v>
      </c>
      <c r="AU421" s="198">
        <f t="shared" si="1834"/>
        <v>0.30000000000000004</v>
      </c>
      <c r="AV421" s="198">
        <f t="shared" si="1834"/>
        <v>0.3</v>
      </c>
      <c r="AW421" s="198" t="str">
        <f t="shared" si="1834"/>
        <v>n/a</v>
      </c>
      <c r="AX421" s="198" t="str">
        <f t="shared" si="1834"/>
        <v>n/a</v>
      </c>
    </row>
    <row r="422" spans="2:50" ht="10.15" x14ac:dyDescent="0.2">
      <c r="B422" s="30" t="s">
        <v>442</v>
      </c>
      <c r="L422" s="196">
        <f t="shared" si="1806"/>
        <v>0.82578212997532119</v>
      </c>
      <c r="M422" s="196">
        <f t="shared" si="1807"/>
        <v>0.73724754756751965</v>
      </c>
      <c r="N422" s="196">
        <f t="shared" si="1808"/>
        <v>0.74631935540730099</v>
      </c>
      <c r="O422" s="196">
        <f t="shared" si="1809"/>
        <v>0.88163315822125132</v>
      </c>
      <c r="P422" s="196">
        <f t="shared" si="1810"/>
        <v>0.52262714475750993</v>
      </c>
      <c r="Q422" s="196">
        <f t="shared" si="1811"/>
        <v>0.78348490110857827</v>
      </c>
      <c r="R422" s="196">
        <f t="shared" si="1812"/>
        <v>0.78628801132166659</v>
      </c>
      <c r="S422" s="196">
        <f t="shared" si="1813"/>
        <v>0.65007601370206258</v>
      </c>
      <c r="T422" s="196">
        <f t="shared" si="1814"/>
        <v>0.6461274794112718</v>
      </c>
      <c r="U422" s="196">
        <f t="shared" si="1815"/>
        <v>0.73100847946388026</v>
      </c>
      <c r="V422" s="196">
        <f t="shared" si="1816"/>
        <v>0.92105530356951992</v>
      </c>
      <c r="W422" s="196">
        <f t="shared" si="1817"/>
        <v>-0.465777609428005</v>
      </c>
      <c r="X422" s="196">
        <f t="shared" si="1818"/>
        <v>-5.7981953298953091</v>
      </c>
      <c r="Y422" s="196">
        <f t="shared" si="1819"/>
        <v>0.97918845237060581</v>
      </c>
      <c r="Z422" s="196">
        <f t="shared" si="1820"/>
        <v>0.95053572155611177</v>
      </c>
      <c r="AA422" s="196">
        <f t="shared" si="1821"/>
        <v>0.93673769256102801</v>
      </c>
      <c r="AB422" s="196">
        <f t="shared" si="1822"/>
        <v>0.95911149499463977</v>
      </c>
      <c r="AC422" s="196">
        <f t="shared" si="1823"/>
        <v>0.96367855307452266</v>
      </c>
      <c r="AD422" s="196">
        <f t="shared" si="1824"/>
        <v>0.88217316380155109</v>
      </c>
      <c r="AE422" s="196">
        <f t="shared" si="1825"/>
        <v>0.86719278382235965</v>
      </c>
      <c r="AF422" s="196">
        <f t="shared" si="1825"/>
        <v>0.87470492256688204</v>
      </c>
      <c r="AG422" s="196">
        <f t="shared" si="1826"/>
        <v>0.78560344041196684</v>
      </c>
      <c r="AH422" s="196">
        <f t="shared" si="1827"/>
        <v>0.79155388896988244</v>
      </c>
      <c r="AI422" s="196">
        <f t="shared" si="1828"/>
        <v>0.84918985146505988</v>
      </c>
      <c r="AJ422" s="196">
        <f t="shared" si="1829"/>
        <v>0.86492227122634113</v>
      </c>
      <c r="AK422" s="196">
        <f t="shared" si="1830"/>
        <v>0.83870059757995052</v>
      </c>
      <c r="AL422" s="196">
        <f t="shared" si="1831"/>
        <v>0.8055128728695724</v>
      </c>
      <c r="AM422" s="196">
        <f t="shared" si="1832"/>
        <v>0.79415713566528601</v>
      </c>
      <c r="AP422" s="196">
        <f t="shared" si="1803"/>
        <v>0.88344125137587437</v>
      </c>
      <c r="AQ422" s="196">
        <f t="shared" si="1803"/>
        <v>0.80839104444706589</v>
      </c>
      <c r="AR422" s="196">
        <f t="shared" ref="AR422:AX422" si="1835">IFERROR((AR400-AQ400)/(AR378-AQ378),"n/a")</f>
        <v>0.79948285431893129</v>
      </c>
      <c r="AS422" s="196">
        <f t="shared" si="1835"/>
        <v>0.69566511777447593</v>
      </c>
      <c r="AT422" s="196">
        <f t="shared" si="1835"/>
        <v>0.82482397099415372</v>
      </c>
      <c r="AU422" s="196">
        <f t="shared" si="1835"/>
        <v>1.0444414599244602</v>
      </c>
      <c r="AV422" s="196">
        <f t="shared" si="1835"/>
        <v>0.91072952451219169</v>
      </c>
      <c r="AW422" s="196">
        <f t="shared" si="1835"/>
        <v>0.82904664783897042</v>
      </c>
      <c r="AX422" s="196">
        <f t="shared" si="1835"/>
        <v>0.81418504814673032</v>
      </c>
    </row>
    <row r="423" spans="2:50" ht="12" x14ac:dyDescent="0.35">
      <c r="B423" s="20" t="s">
        <v>443</v>
      </c>
      <c r="L423" s="198" t="str">
        <f t="shared" si="1806"/>
        <v>n/a</v>
      </c>
      <c r="M423" s="198" t="str">
        <f t="shared" si="1807"/>
        <v>n/a</v>
      </c>
      <c r="N423" s="198" t="str">
        <f t="shared" si="1808"/>
        <v>n/a</v>
      </c>
      <c r="O423" s="198" t="str">
        <f t="shared" si="1809"/>
        <v>n/a</v>
      </c>
      <c r="P423" s="198" t="str">
        <f t="shared" si="1810"/>
        <v>n/a</v>
      </c>
      <c r="Q423" s="198" t="str">
        <f t="shared" si="1811"/>
        <v>n/a</v>
      </c>
      <c r="R423" s="198" t="str">
        <f t="shared" si="1812"/>
        <v>n/a</v>
      </c>
      <c r="S423" s="198">
        <f t="shared" si="1813"/>
        <v>-6.2601501227746992</v>
      </c>
      <c r="T423" s="198">
        <f t="shared" si="1814"/>
        <v>-1.5015550066682326</v>
      </c>
      <c r="U423" s="198">
        <f t="shared" si="1815"/>
        <v>-0.35928102814135143</v>
      </c>
      <c r="V423" s="198">
        <f t="shared" si="1816"/>
        <v>2.3384856435523238E-2</v>
      </c>
      <c r="W423" s="198">
        <f t="shared" si="1817"/>
        <v>1.5747391935239239</v>
      </c>
      <c r="X423" s="198">
        <f t="shared" si="1818"/>
        <v>1.4084553014402785</v>
      </c>
      <c r="Y423" s="198">
        <f t="shared" si="1819"/>
        <v>1.0387793555053793</v>
      </c>
      <c r="Z423" s="198">
        <f t="shared" si="1820"/>
        <v>0.8942190977517902</v>
      </c>
      <c r="AA423" s="198">
        <f t="shared" si="1821"/>
        <v>0.31436834124345331</v>
      </c>
      <c r="AB423" s="198">
        <f t="shared" si="1822"/>
        <v>0.62681968957260015</v>
      </c>
      <c r="AC423" s="198">
        <f t="shared" si="1823"/>
        <v>0.31990121368663438</v>
      </c>
      <c r="AD423" s="198">
        <f t="shared" si="1824"/>
        <v>0.29999999999999988</v>
      </c>
      <c r="AE423" s="198">
        <f t="shared" si="1825"/>
        <v>0.3</v>
      </c>
      <c r="AF423" s="198">
        <f t="shared" si="1825"/>
        <v>0.29999999999999977</v>
      </c>
      <c r="AG423" s="198">
        <f t="shared" si="1826"/>
        <v>0.29999999999999988</v>
      </c>
      <c r="AH423" s="198">
        <f t="shared" si="1827"/>
        <v>0.29999999999999982</v>
      </c>
      <c r="AI423" s="198">
        <f t="shared" si="1828"/>
        <v>0.29999999999999993</v>
      </c>
      <c r="AJ423" s="198">
        <f t="shared" si="1829"/>
        <v>0.29999999999999993</v>
      </c>
      <c r="AK423" s="198">
        <f t="shared" si="1830"/>
        <v>0.30000000000000027</v>
      </c>
      <c r="AL423" s="198">
        <f t="shared" si="1831"/>
        <v>0.30000000000000049</v>
      </c>
      <c r="AM423" s="198">
        <f t="shared" si="1832"/>
        <v>0.30000000000000027</v>
      </c>
      <c r="AP423" s="198" t="str">
        <f t="shared" si="1803"/>
        <v>n/a</v>
      </c>
      <c r="AQ423" s="198" t="str">
        <f t="shared" si="1803"/>
        <v>n/a</v>
      </c>
      <c r="AR423" s="198" t="str">
        <f t="shared" ref="AR423:AX423" si="1836">IFERROR((AR401-AQ401)/(AR379-AQ379),"n/a")</f>
        <v>n/a</v>
      </c>
      <c r="AS423" s="198">
        <f t="shared" si="1836"/>
        <v>-6.2601501227746992</v>
      </c>
      <c r="AT423" s="198">
        <f t="shared" si="1836"/>
        <v>0.16254074569094312</v>
      </c>
      <c r="AU423" s="198">
        <f t="shared" si="1836"/>
        <v>0.97982666102481819</v>
      </c>
      <c r="AV423" s="198">
        <f t="shared" si="1836"/>
        <v>0.38879990871925546</v>
      </c>
      <c r="AW423" s="198">
        <f t="shared" si="1836"/>
        <v>0.29999999999999938</v>
      </c>
      <c r="AX423" s="198">
        <f t="shared" si="1836"/>
        <v>0.3000000000000006</v>
      </c>
    </row>
    <row r="424" spans="2:50" ht="10.15" x14ac:dyDescent="0.2">
      <c r="B424" s="30" t="s">
        <v>409</v>
      </c>
      <c r="L424" s="196">
        <f t="shared" si="1806"/>
        <v>0.82578212997532119</v>
      </c>
      <c r="M424" s="196">
        <f t="shared" si="1807"/>
        <v>0.73724754756751965</v>
      </c>
      <c r="N424" s="196">
        <f t="shared" si="1808"/>
        <v>0.74631935540730099</v>
      </c>
      <c r="O424" s="196">
        <f t="shared" si="1809"/>
        <v>0.88163315822125132</v>
      </c>
      <c r="P424" s="196">
        <f t="shared" si="1810"/>
        <v>0.52262714475750993</v>
      </c>
      <c r="Q424" s="196">
        <f t="shared" si="1811"/>
        <v>0.78348490110857827</v>
      </c>
      <c r="R424" s="196">
        <f t="shared" si="1812"/>
        <v>0.78628801132166659</v>
      </c>
      <c r="S424" s="196">
        <f t="shared" si="1813"/>
        <v>0.39790350773466437</v>
      </c>
      <c r="T424" s="196">
        <f t="shared" si="1814"/>
        <v>0.429165290758247</v>
      </c>
      <c r="U424" s="196">
        <f t="shared" si="1815"/>
        <v>0.51738027744645321</v>
      </c>
      <c r="V424" s="196">
        <f t="shared" si="1816"/>
        <v>0.54854182634372695</v>
      </c>
      <c r="W424" s="196">
        <f t="shared" si="1817"/>
        <v>8.3284037397184782</v>
      </c>
      <c r="X424" s="196">
        <f t="shared" si="1818"/>
        <v>3.2078532389846308</v>
      </c>
      <c r="Y424" s="196">
        <f t="shared" si="1819"/>
        <v>0.99232332556686564</v>
      </c>
      <c r="Z424" s="196">
        <f t="shared" si="1820"/>
        <v>0.94486561151254689</v>
      </c>
      <c r="AA424" s="196">
        <f t="shared" si="1821"/>
        <v>0.87058386046290726</v>
      </c>
      <c r="AB424" s="196">
        <f t="shared" si="1822"/>
        <v>0.91065775266784355</v>
      </c>
      <c r="AC424" s="196">
        <f t="shared" si="1823"/>
        <v>0.89412585332908634</v>
      </c>
      <c r="AD424" s="196">
        <f t="shared" si="1824"/>
        <v>0.80619637101521968</v>
      </c>
      <c r="AE424" s="196">
        <f t="shared" si="1825"/>
        <v>0.82763984559728132</v>
      </c>
      <c r="AF424" s="196">
        <f t="shared" si="1825"/>
        <v>0.85737625230256365</v>
      </c>
      <c r="AG424" s="196">
        <f t="shared" si="1826"/>
        <v>0.76398688105167833</v>
      </c>
      <c r="AH424" s="196">
        <f t="shared" si="1827"/>
        <v>0.75292241922050329</v>
      </c>
      <c r="AI424" s="196">
        <f t="shared" si="1828"/>
        <v>0.79552514401463403</v>
      </c>
      <c r="AJ424" s="196">
        <f t="shared" si="1829"/>
        <v>0.77617598964346091</v>
      </c>
      <c r="AK424" s="196">
        <f t="shared" si="1830"/>
        <v>0.77585969990299841</v>
      </c>
      <c r="AL424" s="196">
        <f t="shared" si="1831"/>
        <v>0.75737290713152405</v>
      </c>
      <c r="AM424" s="196">
        <f t="shared" si="1832"/>
        <v>0.76456595334128596</v>
      </c>
      <c r="AP424" s="196">
        <f t="shared" si="1803"/>
        <v>0.88344125137587437</v>
      </c>
      <c r="AQ424" s="196">
        <f t="shared" si="1803"/>
        <v>0.80839104444706589</v>
      </c>
      <c r="AR424" s="196">
        <f t="shared" ref="AR424:AX424" si="1837">IFERROR((AR402-AQ402)/(AR380-AQ380),"n/a")</f>
        <v>0.79948285431893129</v>
      </c>
      <c r="AS424" s="196">
        <f t="shared" si="1837"/>
        <v>0.55940660127899933</v>
      </c>
      <c r="AT424" s="196">
        <f t="shared" si="1837"/>
        <v>0.63883300616279359</v>
      </c>
      <c r="AU424" s="196">
        <f t="shared" si="1837"/>
        <v>1.032680343844123</v>
      </c>
      <c r="AV424" s="196">
        <f t="shared" si="1837"/>
        <v>0.85502954275948007</v>
      </c>
      <c r="AW424" s="196">
        <f t="shared" si="1837"/>
        <v>0.80074451590104589</v>
      </c>
      <c r="AX424" s="196">
        <f t="shared" si="1837"/>
        <v>0.766389703021647</v>
      </c>
    </row>
    <row r="425" spans="2:50" ht="12" x14ac:dyDescent="0.35">
      <c r="B425" s="20" t="s">
        <v>411</v>
      </c>
      <c r="L425" s="198" t="str">
        <f t="shared" si="1806"/>
        <v>n/a</v>
      </c>
      <c r="M425" s="198" t="str">
        <f t="shared" si="1807"/>
        <v>n/a</v>
      </c>
      <c r="N425" s="198" t="str">
        <f t="shared" si="1808"/>
        <v>n/a</v>
      </c>
      <c r="O425" s="198" t="str">
        <f t="shared" si="1809"/>
        <v>n/a</v>
      </c>
      <c r="P425" s="198" t="str">
        <f t="shared" si="1810"/>
        <v>n/a</v>
      </c>
      <c r="Q425" s="198" t="str">
        <f t="shared" si="1811"/>
        <v>n/a</v>
      </c>
      <c r="R425" s="198" t="str">
        <f t="shared" si="1812"/>
        <v>n/a</v>
      </c>
      <c r="S425" s="198" t="str">
        <f t="shared" si="1813"/>
        <v>n/a</v>
      </c>
      <c r="T425" s="198" t="str">
        <f t="shared" si="1814"/>
        <v>n/a</v>
      </c>
      <c r="U425" s="198" t="str">
        <f t="shared" si="1815"/>
        <v>n/a</v>
      </c>
      <c r="V425" s="198" t="str">
        <f t="shared" si="1816"/>
        <v>n/a</v>
      </c>
      <c r="W425" s="198" t="str">
        <f t="shared" si="1817"/>
        <v>n/a</v>
      </c>
      <c r="X425" s="198" t="str">
        <f t="shared" si="1818"/>
        <v>n/a</v>
      </c>
      <c r="Y425" s="198" t="str">
        <f t="shared" si="1819"/>
        <v>n/a</v>
      </c>
      <c r="Z425" s="198" t="str">
        <f t="shared" si="1820"/>
        <v>n/a</v>
      </c>
      <c r="AA425" s="198">
        <f t="shared" si="1821"/>
        <v>-0.91204402671937512</v>
      </c>
      <c r="AB425" s="198">
        <f t="shared" si="1822"/>
        <v>-0.95385564844766735</v>
      </c>
      <c r="AC425" s="198">
        <f t="shared" si="1823"/>
        <v>-1.0038168659329503</v>
      </c>
      <c r="AD425" s="198">
        <f t="shared" si="1824"/>
        <v>0.12415592838672043</v>
      </c>
      <c r="AE425" s="198">
        <f t="shared" si="1825"/>
        <v>0.15195511159092745</v>
      </c>
      <c r="AF425" s="198">
        <f t="shared" si="1825"/>
        <v>0.39049429469297209</v>
      </c>
      <c r="AG425" s="198">
        <f t="shared" si="1826"/>
        <v>0.62155631630800201</v>
      </c>
      <c r="AH425" s="198">
        <f t="shared" si="1827"/>
        <v>0.48261474062072046</v>
      </c>
      <c r="AI425" s="198">
        <f t="shared" si="1828"/>
        <v>0.59472673393824871</v>
      </c>
      <c r="AJ425" s="198">
        <f t="shared" si="1829"/>
        <v>0.11831583964282442</v>
      </c>
      <c r="AK425" s="198">
        <f t="shared" si="1830"/>
        <v>-8.9977892544208335E-2</v>
      </c>
      <c r="AL425" s="198">
        <f t="shared" si="1831"/>
        <v>0.30000000000000004</v>
      </c>
      <c r="AM425" s="198">
        <f t="shared" si="1832"/>
        <v>0.30000000000000004</v>
      </c>
      <c r="AP425" s="198" t="str">
        <f t="shared" si="1803"/>
        <v>n/a</v>
      </c>
      <c r="AQ425" s="198" t="str">
        <f t="shared" si="1803"/>
        <v>n/a</v>
      </c>
      <c r="AR425" s="198" t="str">
        <f t="shared" ref="AR425:AX425" si="1838">IFERROR((AR403-AQ403)/(AR381-AQ381),"n/a")</f>
        <v>n/a</v>
      </c>
      <c r="AS425" s="198" t="str">
        <f t="shared" si="1838"/>
        <v>n/a</v>
      </c>
      <c r="AT425" s="198" t="str">
        <f t="shared" si="1838"/>
        <v>n/a</v>
      </c>
      <c r="AU425" s="198">
        <f t="shared" si="1838"/>
        <v>-1.1117653723409029</v>
      </c>
      <c r="AV425" s="198">
        <f t="shared" si="1838"/>
        <v>8.8194666131568775E-3</v>
      </c>
      <c r="AW425" s="198">
        <f t="shared" si="1838"/>
        <v>0.51510372702499407</v>
      </c>
      <c r="AX425" s="198">
        <f t="shared" si="1838"/>
        <v>0.17067144234601944</v>
      </c>
    </row>
    <row r="426" spans="2:50" ht="10.15" x14ac:dyDescent="0.2">
      <c r="B426" s="30" t="s">
        <v>412</v>
      </c>
      <c r="L426" s="196">
        <f t="shared" si="1806"/>
        <v>0.82578212997532119</v>
      </c>
      <c r="M426" s="196">
        <f t="shared" si="1807"/>
        <v>0.73724754756751965</v>
      </c>
      <c r="N426" s="196">
        <f t="shared" si="1808"/>
        <v>0.74631935540730099</v>
      </c>
      <c r="O426" s="196">
        <f t="shared" si="1809"/>
        <v>0.88163315822125132</v>
      </c>
      <c r="P426" s="196">
        <f t="shared" si="1810"/>
        <v>0.52262714475750993</v>
      </c>
      <c r="Q426" s="196">
        <f t="shared" si="1811"/>
        <v>0.78348490110857827</v>
      </c>
      <c r="R426" s="196">
        <f t="shared" si="1812"/>
        <v>0.78628801132166659</v>
      </c>
      <c r="S426" s="196">
        <f t="shared" si="1813"/>
        <v>0.39790350773466437</v>
      </c>
      <c r="T426" s="196">
        <f t="shared" si="1814"/>
        <v>0.429165290758247</v>
      </c>
      <c r="U426" s="196">
        <f t="shared" si="1815"/>
        <v>0.51738027744645321</v>
      </c>
      <c r="V426" s="196">
        <f t="shared" si="1816"/>
        <v>0.54854182634372695</v>
      </c>
      <c r="W426" s="196">
        <f t="shared" si="1817"/>
        <v>8.3284037397184782</v>
      </c>
      <c r="X426" s="196">
        <f t="shared" si="1818"/>
        <v>3.2078532389846308</v>
      </c>
      <c r="Y426" s="196">
        <f t="shared" si="1819"/>
        <v>0.99232332556686564</v>
      </c>
      <c r="Z426" s="196">
        <f t="shared" si="1820"/>
        <v>0.93865562894889198</v>
      </c>
      <c r="AA426" s="196">
        <f t="shared" si="1821"/>
        <v>0.80895096625145746</v>
      </c>
      <c r="AB426" s="196">
        <f t="shared" si="1822"/>
        <v>0.71556741170009264</v>
      </c>
      <c r="AC426" s="196">
        <f t="shared" si="1823"/>
        <v>0.48627505736239479</v>
      </c>
      <c r="AD426" s="196">
        <f t="shared" si="1824"/>
        <v>0.41800212964534778</v>
      </c>
      <c r="AE426" s="196">
        <f t="shared" si="1825"/>
        <v>0.46766401538264368</v>
      </c>
      <c r="AF426" s="196">
        <f t="shared" si="1825"/>
        <v>0.56097100053403148</v>
      </c>
      <c r="AG426" s="196">
        <f t="shared" si="1826"/>
        <v>0.66504491647305397</v>
      </c>
      <c r="AH426" s="196">
        <f t="shared" si="1827"/>
        <v>0.57688257738397597</v>
      </c>
      <c r="AI426" s="196">
        <f t="shared" si="1828"/>
        <v>0.6560491433207265</v>
      </c>
      <c r="AJ426" s="196">
        <f t="shared" si="1829"/>
        <v>0.38532761889343886</v>
      </c>
      <c r="AK426" s="196">
        <f t="shared" si="1830"/>
        <v>0.202511659063943</v>
      </c>
      <c r="AL426" s="196">
        <f t="shared" si="1831"/>
        <v>0.48166291138485728</v>
      </c>
      <c r="AM426" s="196">
        <f t="shared" si="1832"/>
        <v>0.52582391839080833</v>
      </c>
      <c r="AP426" s="196">
        <f t="shared" si="1803"/>
        <v>0.88344125137587437</v>
      </c>
      <c r="AQ426" s="196">
        <f t="shared" si="1803"/>
        <v>0.808391044447066</v>
      </c>
      <c r="AR426" s="196">
        <f t="shared" ref="AR426:AX426" si="1839">IFERROR((AR404-AQ404)/(AR382-AQ382),"n/a")</f>
        <v>0.79948285431893129</v>
      </c>
      <c r="AS426" s="196">
        <f t="shared" si="1839"/>
        <v>0.55940660127899922</v>
      </c>
      <c r="AT426" s="196">
        <f t="shared" si="1839"/>
        <v>0.63883300616279359</v>
      </c>
      <c r="AU426" s="196">
        <f t="shared" si="1839"/>
        <v>1.0071831707307077</v>
      </c>
      <c r="AV426" s="196">
        <f t="shared" si="1839"/>
        <v>0.48614821817970139</v>
      </c>
      <c r="AW426" s="196">
        <f t="shared" si="1839"/>
        <v>0.61062154438111227</v>
      </c>
      <c r="AX426" s="196">
        <f t="shared" si="1839"/>
        <v>0.41839963504405953</v>
      </c>
    </row>
    <row r="427" spans="2:50" hidden="1" outlineLevel="1" x14ac:dyDescent="0.2">
      <c r="B427" s="38"/>
    </row>
    <row r="428" spans="2:50" hidden="1" outlineLevel="1" x14ac:dyDescent="0.2">
      <c r="B428" s="19" t="s">
        <v>444</v>
      </c>
    </row>
    <row r="429" spans="2:50" hidden="1" outlineLevel="1" x14ac:dyDescent="0.2">
      <c r="B429" s="20" t="s">
        <v>226</v>
      </c>
      <c r="I429" s="196">
        <f>+IFERROR((I396-H396)/(I374-H374),"n/a")</f>
        <v>0.97468824533674592</v>
      </c>
      <c r="J429" s="196">
        <f t="shared" ref="J429:K429" si="1840">+IFERROR((J396-I396)/(J374-I374),"n/a")</f>
        <v>0.41859636965283109</v>
      </c>
      <c r="K429" s="196">
        <f t="shared" si="1840"/>
        <v>0.745320852606007</v>
      </c>
      <c r="L429" s="196">
        <f t="shared" ref="L429:R430" si="1841">+IFERROR((L396-K396)/(L374-K374),"n/a")</f>
        <v>0.58710891913921837</v>
      </c>
      <c r="M429" s="196">
        <f t="shared" si="1841"/>
        <v>0.74763376066390874</v>
      </c>
      <c r="N429" s="196">
        <f t="shared" si="1841"/>
        <v>9.2192141810771594E-2</v>
      </c>
      <c r="O429" s="196">
        <f t="shared" si="1841"/>
        <v>0.98104743678165551</v>
      </c>
      <c r="P429" s="196">
        <f t="shared" si="1841"/>
        <v>0.97694618266276545</v>
      </c>
      <c r="Q429" s="196">
        <f t="shared" si="1841"/>
        <v>0.85880399710342337</v>
      </c>
      <c r="R429" s="196">
        <f t="shared" si="1841"/>
        <v>0.82377099272937238</v>
      </c>
      <c r="S429" s="196">
        <f t="shared" ref="S429:S430" si="1842">+IFERROR((S396-R396)/(S374-R374),"n/a")</f>
        <v>0.93093754849786536</v>
      </c>
      <c r="T429" s="196">
        <f t="shared" ref="T429:T430" si="1843">+IFERROR((T396-S396)/(T374-S374),"n/a")</f>
        <v>0.96068869505782073</v>
      </c>
      <c r="U429" s="196">
        <f t="shared" ref="U429:U430" si="1844">+IFERROR((U396-T396)/(U374-T374),"n/a")</f>
        <v>0.86233873184556187</v>
      </c>
      <c r="V429" s="196">
        <f t="shared" ref="V429:V430" si="1845">+IFERROR((V396-U396)/(V374-U374),"n/a")</f>
        <v>1.1300945319325291</v>
      </c>
      <c r="W429" s="196">
        <f t="shared" ref="W429:W430" si="1846">+IFERROR((W396-V396)/(W374-V374),"n/a")</f>
        <v>0.96633485951226983</v>
      </c>
      <c r="X429" s="196">
        <f t="shared" ref="X429:X430" si="1847">+IFERROR((X396-W396)/(X374-W374),"n/a")</f>
        <v>0.97479954652161316</v>
      </c>
      <c r="Y429" s="196">
        <f t="shared" ref="Y429:Y430" si="1848">+IFERROR((Y396-X396)/(Y374-X374),"n/a")</f>
        <v>0.8569817539383533</v>
      </c>
      <c r="Z429" s="196">
        <f t="shared" ref="Z429:Z430" si="1849">+IFERROR((Z396-Y396)/(Z374-Y374),"n/a")</f>
        <v>1.3216766308207148</v>
      </c>
      <c r="AA429" s="196">
        <f t="shared" ref="AA429:AA430" si="1850">+IFERROR((AA396-Z396)/(AA374-Z374),"n/a")</f>
        <v>0.94063159809699071</v>
      </c>
      <c r="AB429" s="196">
        <f t="shared" ref="AB429:AB430" si="1851">+IFERROR((AB396-AA396)/(AB374-AA374),"n/a")</f>
        <v>0.9711029040439666</v>
      </c>
      <c r="AC429" s="196">
        <f t="shared" ref="AC429:AC430" si="1852">+IFERROR((AC396-AB396)/(AC374-AB374),"n/a")</f>
        <v>0.90614480832266364</v>
      </c>
      <c r="AD429" s="196">
        <f t="shared" ref="AD429:AD430" si="1853">+IFERROR((AD396-AC396)/(AD374-AC374),"n/a")</f>
        <v>0.95453099330027225</v>
      </c>
      <c r="AE429" s="196">
        <f t="shared" ref="AE429:AF430" si="1854">+IFERROR((AE396-AD396)/(AE374-AD374),"n/a")</f>
        <v>0.91148052835243587</v>
      </c>
      <c r="AF429" s="196">
        <f t="shared" si="1854"/>
        <v>0.94253772284192416</v>
      </c>
      <c r="AG429" s="196">
        <f t="shared" ref="AG429:AG430" si="1855">+IFERROR((AG396-AF396)/(AG374-AF374),"n/a")</f>
        <v>0.74193920586795881</v>
      </c>
      <c r="AH429" s="196">
        <f t="shared" ref="AH429:AH430" si="1856">+IFERROR((AH396-AG396)/(AH374-AG374),"n/a")</f>
        <v>0.51747989571130448</v>
      </c>
      <c r="AI429" s="196">
        <f t="shared" ref="AI429:AI430" si="1857">+IFERROR((AI396-AH396)/(AI374-AH374),"n/a")</f>
        <v>0.90717107669826091</v>
      </c>
      <c r="AJ429" s="196">
        <f t="shared" ref="AJ429:AJ437" si="1858">+IFERROR((AJ396-AI396)/(AJ374-AI374),"n/a")</f>
        <v>0.89068992944062919</v>
      </c>
      <c r="AK429" s="196">
        <f t="shared" ref="AK429:AK437" si="1859">+IFERROR((AK396-AJ396)/(AK374-AJ374),"n/a")</f>
        <v>0.75201522342556126</v>
      </c>
      <c r="AL429" s="196">
        <f t="shared" ref="AL429:AL437" si="1860">+IFERROR((AL396-AK396)/(AL374-AK374),"n/a")</f>
        <v>0.27291182531391683</v>
      </c>
      <c r="AM429" s="196">
        <f t="shared" ref="AM429:AM437" si="1861">+IFERROR((AM396-AL396)/(AM374-AL374),"n/a")</f>
        <v>0.87918444055891665</v>
      </c>
    </row>
    <row r="430" spans="2:50" ht="13.5" hidden="1" outlineLevel="1" x14ac:dyDescent="0.35">
      <c r="B430" s="20" t="s">
        <v>227</v>
      </c>
      <c r="I430" s="198">
        <f t="shared" ref="I430:K437" si="1862">+IFERROR((I397-H397)/(I375-H375),"n/a")</f>
        <v>0.40000000000000008</v>
      </c>
      <c r="J430" s="198">
        <f t="shared" si="1862"/>
        <v>0.40000000000000008</v>
      </c>
      <c r="K430" s="198">
        <f t="shared" si="1862"/>
        <v>0.39999999999999997</v>
      </c>
      <c r="L430" s="198">
        <f t="shared" si="1841"/>
        <v>18.716012199771313</v>
      </c>
      <c r="M430" s="198">
        <f t="shared" si="1841"/>
        <v>0.6182957836786136</v>
      </c>
      <c r="N430" s="198">
        <f t="shared" si="1841"/>
        <v>1.5831670090989209</v>
      </c>
      <c r="O430" s="198">
        <f t="shared" si="1841"/>
        <v>0.50897922473264945</v>
      </c>
      <c r="P430" s="198">
        <f t="shared" si="1841"/>
        <v>-0.95121073412767565</v>
      </c>
      <c r="Q430" s="198">
        <f t="shared" si="1841"/>
        <v>0.49430689762657543</v>
      </c>
      <c r="R430" s="198">
        <f t="shared" si="1841"/>
        <v>0.60670259990594644</v>
      </c>
      <c r="S430" s="198">
        <f t="shared" si="1842"/>
        <v>0.53930677801222948</v>
      </c>
      <c r="T430" s="198">
        <f t="shared" si="1843"/>
        <v>0.42205248729778722</v>
      </c>
      <c r="U430" s="198">
        <f t="shared" si="1844"/>
        <v>0.73916630824476981</v>
      </c>
      <c r="V430" s="198">
        <f t="shared" si="1845"/>
        <v>0.74182259642586723</v>
      </c>
      <c r="W430" s="198">
        <f t="shared" si="1846"/>
        <v>0.62325746733585641</v>
      </c>
      <c r="X430" s="198">
        <f t="shared" si="1847"/>
        <v>0.82193423870886295</v>
      </c>
      <c r="Y430" s="198">
        <f t="shared" si="1848"/>
        <v>0.62881571220937138</v>
      </c>
      <c r="Z430" s="198">
        <f t="shared" si="1849"/>
        <v>0.64774484851044523</v>
      </c>
      <c r="AA430" s="198">
        <f t="shared" si="1850"/>
        <v>0.63992409959197594</v>
      </c>
      <c r="AB430" s="198">
        <f t="shared" si="1851"/>
        <v>-3.1056681293287363</v>
      </c>
      <c r="AC430" s="198">
        <f t="shared" si="1852"/>
        <v>0.66918176755021563</v>
      </c>
      <c r="AD430" s="198">
        <f t="shared" si="1853"/>
        <v>0.77010518461210775</v>
      </c>
      <c r="AE430" s="198">
        <f t="shared" si="1854"/>
        <v>0.68272024280243504</v>
      </c>
      <c r="AF430" s="198">
        <f t="shared" si="1854"/>
        <v>0.63678089690070272</v>
      </c>
      <c r="AG430" s="198">
        <f t="shared" si="1855"/>
        <v>0.63348833825468898</v>
      </c>
      <c r="AH430" s="198">
        <f t="shared" si="1856"/>
        <v>0.71330385255617068</v>
      </c>
      <c r="AI430" s="198">
        <f t="shared" si="1857"/>
        <v>0.87201804827848683</v>
      </c>
      <c r="AJ430" s="198">
        <f t="shared" si="1858"/>
        <v>0.55677378034070091</v>
      </c>
      <c r="AK430" s="198">
        <f t="shared" si="1859"/>
        <v>0.66245957326364513</v>
      </c>
      <c r="AL430" s="198">
        <f t="shared" si="1860"/>
        <v>0.56411190324480898</v>
      </c>
      <c r="AM430" s="198">
        <f t="shared" si="1861"/>
        <v>0.61493121916230387</v>
      </c>
    </row>
    <row r="431" spans="2:50" hidden="1" outlineLevel="1" x14ac:dyDescent="0.2">
      <c r="B431" s="30" t="s">
        <v>440</v>
      </c>
      <c r="I431" s="196">
        <f t="shared" si="1862"/>
        <v>0.94796374624181368</v>
      </c>
      <c r="J431" s="196">
        <f t="shared" si="1862"/>
        <v>0.41690936608720347</v>
      </c>
      <c r="K431" s="196">
        <f t="shared" si="1862"/>
        <v>0.71606799725093617</v>
      </c>
      <c r="L431" s="196">
        <f t="shared" ref="L431:AI431" si="1863">+IFERROR((L398-K398)/(L376-K376),"n/a")</f>
        <v>0.5013303653408715</v>
      </c>
      <c r="M431" s="196">
        <f t="shared" si="1863"/>
        <v>0.73697757654098428</v>
      </c>
      <c r="N431" s="196">
        <f t="shared" si="1863"/>
        <v>-4.3909082790031286E-2</v>
      </c>
      <c r="O431" s="196">
        <f t="shared" si="1863"/>
        <v>0.93734555983967194</v>
      </c>
      <c r="P431" s="196">
        <f t="shared" si="1863"/>
        <v>0.95098840054971367</v>
      </c>
      <c r="Q431" s="196">
        <f t="shared" si="1863"/>
        <v>0.85301125780573273</v>
      </c>
      <c r="R431" s="196">
        <f t="shared" si="1863"/>
        <v>0.79790064946463035</v>
      </c>
      <c r="S431" s="196">
        <f t="shared" si="1863"/>
        <v>0.91015069921507585</v>
      </c>
      <c r="T431" s="196">
        <f t="shared" si="1863"/>
        <v>0.92512816265182274</v>
      </c>
      <c r="U431" s="196">
        <f t="shared" si="1863"/>
        <v>0.87895428798049968</v>
      </c>
      <c r="V431" s="196">
        <f t="shared" si="1863"/>
        <v>0.83375837905423122</v>
      </c>
      <c r="W431" s="196">
        <f t="shared" si="1863"/>
        <v>0.91681182101579872</v>
      </c>
      <c r="X431" s="196">
        <f t="shared" si="1863"/>
        <v>1.0087356475085838</v>
      </c>
      <c r="Y431" s="196">
        <f t="shared" si="1863"/>
        <v>0.84883963462032241</v>
      </c>
      <c r="Z431" s="196">
        <f t="shared" si="1863"/>
        <v>1.2569723050815391</v>
      </c>
      <c r="AA431" s="196">
        <f t="shared" si="1863"/>
        <v>0.85782173851708965</v>
      </c>
      <c r="AB431" s="196">
        <f t="shared" si="1863"/>
        <v>0.9440726811502016</v>
      </c>
      <c r="AC431" s="196">
        <f t="shared" si="1863"/>
        <v>0.89355876663157752</v>
      </c>
      <c r="AD431" s="196">
        <f t="shared" si="1863"/>
        <v>0.98625017723887431</v>
      </c>
      <c r="AE431" s="196">
        <f t="shared" si="1863"/>
        <v>0.84929395648375905</v>
      </c>
      <c r="AF431" s="196">
        <f t="shared" si="1863"/>
        <v>0.88328415082670186</v>
      </c>
      <c r="AG431" s="196">
        <f t="shared" si="1863"/>
        <v>0.73759641957493705</v>
      </c>
      <c r="AH431" s="196">
        <f t="shared" si="1863"/>
        <v>0.6321765050329391</v>
      </c>
      <c r="AI431" s="196">
        <f t="shared" si="1863"/>
        <v>0.90848582189773408</v>
      </c>
      <c r="AJ431" s="196">
        <f t="shared" si="1858"/>
        <v>0.86957382803156724</v>
      </c>
      <c r="AK431" s="196">
        <f t="shared" si="1859"/>
        <v>0.7468599970378087</v>
      </c>
      <c r="AL431" s="196">
        <f t="shared" si="1860"/>
        <v>0.17153522576471528</v>
      </c>
      <c r="AM431" s="196">
        <f t="shared" si="1861"/>
        <v>0.86567821058200012</v>
      </c>
    </row>
    <row r="432" spans="2:50" ht="13.5" hidden="1" outlineLevel="1" x14ac:dyDescent="0.35">
      <c r="B432" s="20" t="s">
        <v>441</v>
      </c>
      <c r="I432" s="198" t="str">
        <f t="shared" si="1862"/>
        <v>n/a</v>
      </c>
      <c r="J432" s="198" t="str">
        <f t="shared" si="1862"/>
        <v>n/a</v>
      </c>
      <c r="K432" s="198" t="str">
        <f t="shared" si="1862"/>
        <v>n/a</v>
      </c>
      <c r="L432" s="198" t="str">
        <f t="shared" ref="L432:AI432" si="1864">+IFERROR((L399-K399)/(L377-K377),"n/a")</f>
        <v>n/a</v>
      </c>
      <c r="M432" s="198" t="str">
        <f t="shared" si="1864"/>
        <v>n/a</v>
      </c>
      <c r="N432" s="198" t="str">
        <f t="shared" si="1864"/>
        <v>n/a</v>
      </c>
      <c r="O432" s="198" t="str">
        <f t="shared" si="1864"/>
        <v>n/a</v>
      </c>
      <c r="P432" s="198" t="str">
        <f t="shared" si="1864"/>
        <v>n/a</v>
      </c>
      <c r="Q432" s="198" t="str">
        <f t="shared" si="1864"/>
        <v>n/a</v>
      </c>
      <c r="R432" s="198">
        <f t="shared" si="1864"/>
        <v>0.3</v>
      </c>
      <c r="S432" s="198">
        <f t="shared" si="1864"/>
        <v>0.3</v>
      </c>
      <c r="T432" s="198">
        <f t="shared" si="1864"/>
        <v>0.3000000000000006</v>
      </c>
      <c r="U432" s="198">
        <f t="shared" si="1864"/>
        <v>0.3</v>
      </c>
      <c r="V432" s="198">
        <f t="shared" si="1864"/>
        <v>0.3</v>
      </c>
      <c r="W432" s="198">
        <f t="shared" si="1864"/>
        <v>0.30000000000000643</v>
      </c>
      <c r="X432" s="198">
        <f t="shared" si="1864"/>
        <v>0.29999999999999993</v>
      </c>
      <c r="Y432" s="198">
        <f t="shared" si="1864"/>
        <v>0.29999999999999982</v>
      </c>
      <c r="Z432" s="198">
        <f t="shared" si="1864"/>
        <v>0.29999999999999982</v>
      </c>
      <c r="AA432" s="198">
        <f t="shared" si="1864"/>
        <v>0.30000000000000038</v>
      </c>
      <c r="AB432" s="198">
        <f t="shared" si="1864"/>
        <v>0.3</v>
      </c>
      <c r="AC432" s="198" t="str">
        <f t="shared" si="1864"/>
        <v>n/a</v>
      </c>
      <c r="AD432" s="198" t="str">
        <f t="shared" si="1864"/>
        <v>n/a</v>
      </c>
      <c r="AE432" s="198" t="str">
        <f t="shared" si="1864"/>
        <v>n/a</v>
      </c>
      <c r="AF432" s="198" t="str">
        <f t="shared" si="1864"/>
        <v>n/a</v>
      </c>
      <c r="AG432" s="198" t="str">
        <f t="shared" si="1864"/>
        <v>n/a</v>
      </c>
      <c r="AH432" s="198" t="str">
        <f t="shared" si="1864"/>
        <v>n/a</v>
      </c>
      <c r="AI432" s="198" t="str">
        <f t="shared" si="1864"/>
        <v>n/a</v>
      </c>
      <c r="AJ432" s="198" t="str">
        <f t="shared" si="1858"/>
        <v>n/a</v>
      </c>
      <c r="AK432" s="198" t="str">
        <f t="shared" si="1859"/>
        <v>n/a</v>
      </c>
      <c r="AL432" s="198" t="str">
        <f t="shared" si="1860"/>
        <v>n/a</v>
      </c>
      <c r="AM432" s="198" t="str">
        <f t="shared" si="1861"/>
        <v>n/a</v>
      </c>
    </row>
    <row r="433" spans="2:50" hidden="1" outlineLevel="1" x14ac:dyDescent="0.2">
      <c r="B433" s="30" t="s">
        <v>442</v>
      </c>
      <c r="I433" s="196">
        <f t="shared" si="1862"/>
        <v>0.94796374624181368</v>
      </c>
      <c r="J433" s="196">
        <f t="shared" si="1862"/>
        <v>0.41690936608720347</v>
      </c>
      <c r="K433" s="196">
        <f t="shared" si="1862"/>
        <v>0.71606799725093617</v>
      </c>
      <c r="L433" s="196">
        <f t="shared" ref="L433:AI433" si="1865">+IFERROR((L400-K400)/(L378-K378),"n/a")</f>
        <v>0.5013303653408715</v>
      </c>
      <c r="M433" s="196">
        <f t="shared" si="1865"/>
        <v>0.73697757654098428</v>
      </c>
      <c r="N433" s="196">
        <f t="shared" si="1865"/>
        <v>-4.3909082790031286E-2</v>
      </c>
      <c r="O433" s="196">
        <f t="shared" si="1865"/>
        <v>0.93734555983967194</v>
      </c>
      <c r="P433" s="196">
        <f t="shared" si="1865"/>
        <v>0.95098840054971367</v>
      </c>
      <c r="Q433" s="196">
        <f t="shared" si="1865"/>
        <v>0.85301125780573273</v>
      </c>
      <c r="R433" s="196">
        <f t="shared" si="1865"/>
        <v>0.70090608971036983</v>
      </c>
      <c r="S433" s="196">
        <f t="shared" si="1865"/>
        <v>0.65261279675394945</v>
      </c>
      <c r="T433" s="196">
        <f t="shared" si="1865"/>
        <v>0.89799351556662232</v>
      </c>
      <c r="U433" s="196">
        <f t="shared" si="1865"/>
        <v>6.4132298995206991</v>
      </c>
      <c r="V433" s="196">
        <f t="shared" si="1865"/>
        <v>0.42364281799910253</v>
      </c>
      <c r="W433" s="196">
        <f t="shared" si="1865"/>
        <v>0.91686403135756445</v>
      </c>
      <c r="X433" s="196">
        <f t="shared" si="1865"/>
        <v>1.0011418031463739</v>
      </c>
      <c r="Y433" s="196">
        <f t="shared" si="1865"/>
        <v>0.84832303229081341</v>
      </c>
      <c r="Z433" s="196">
        <f t="shared" si="1865"/>
        <v>1.255459653729688</v>
      </c>
      <c r="AA433" s="196">
        <f t="shared" si="1865"/>
        <v>0.85753697992320221</v>
      </c>
      <c r="AB433" s="196">
        <f t="shared" si="1865"/>
        <v>0.93421858426920745</v>
      </c>
      <c r="AC433" s="196">
        <f t="shared" si="1865"/>
        <v>0.89355876663157752</v>
      </c>
      <c r="AD433" s="196">
        <f t="shared" si="1865"/>
        <v>0.98625017723887431</v>
      </c>
      <c r="AE433" s="196">
        <f t="shared" si="1865"/>
        <v>0.84929395648375905</v>
      </c>
      <c r="AF433" s="196">
        <f t="shared" si="1865"/>
        <v>0.88328415082670186</v>
      </c>
      <c r="AG433" s="196">
        <f t="shared" si="1865"/>
        <v>0.73759641957493705</v>
      </c>
      <c r="AH433" s="196">
        <f t="shared" si="1865"/>
        <v>0.6321765050329391</v>
      </c>
      <c r="AI433" s="196">
        <f t="shared" si="1865"/>
        <v>0.90848582189773408</v>
      </c>
      <c r="AJ433" s="196">
        <f t="shared" si="1858"/>
        <v>0.86957382803156724</v>
      </c>
      <c r="AK433" s="196">
        <f t="shared" si="1859"/>
        <v>0.7468599970378087</v>
      </c>
      <c r="AL433" s="196">
        <f t="shared" si="1860"/>
        <v>0.17153522576471528</v>
      </c>
      <c r="AM433" s="196">
        <f t="shared" si="1861"/>
        <v>0.86567821058200012</v>
      </c>
    </row>
    <row r="434" spans="2:50" ht="13.5" hidden="1" outlineLevel="1" x14ac:dyDescent="0.35">
      <c r="B434" s="20" t="s">
        <v>443</v>
      </c>
      <c r="I434" s="198" t="str">
        <f t="shared" si="1862"/>
        <v>n/a</v>
      </c>
      <c r="J434" s="198" t="str">
        <f t="shared" si="1862"/>
        <v>n/a</v>
      </c>
      <c r="K434" s="198" t="str">
        <f t="shared" si="1862"/>
        <v>n/a</v>
      </c>
      <c r="L434" s="198" t="str">
        <f t="shared" ref="L434:AI434" si="1866">+IFERROR((L401-K401)/(L379-K379),"n/a")</f>
        <v>n/a</v>
      </c>
      <c r="M434" s="198" t="str">
        <f t="shared" si="1866"/>
        <v>n/a</v>
      </c>
      <c r="N434" s="198" t="str">
        <f t="shared" si="1866"/>
        <v>n/a</v>
      </c>
      <c r="O434" s="198" t="str">
        <f t="shared" si="1866"/>
        <v>n/a</v>
      </c>
      <c r="P434" s="198" t="str">
        <f t="shared" si="1866"/>
        <v>n/a</v>
      </c>
      <c r="Q434" s="198" t="str">
        <f t="shared" si="1866"/>
        <v>n/a</v>
      </c>
      <c r="R434" s="198" t="str">
        <f t="shared" si="1866"/>
        <v>n/a</v>
      </c>
      <c r="S434" s="198">
        <f t="shared" si="1866"/>
        <v>-6.2601501227746992</v>
      </c>
      <c r="T434" s="198">
        <f t="shared" si="1866"/>
        <v>1.2244742590592348</v>
      </c>
      <c r="U434" s="198">
        <f t="shared" si="1866"/>
        <v>2.9316261770255783</v>
      </c>
      <c r="V434" s="198">
        <f t="shared" si="1866"/>
        <v>0.92634758842080078</v>
      </c>
      <c r="W434" s="198">
        <f t="shared" si="1866"/>
        <v>1.9661593936080388</v>
      </c>
      <c r="X434" s="198">
        <f t="shared" si="1866"/>
        <v>-5.9112223947843034</v>
      </c>
      <c r="Y434" s="198">
        <f t="shared" si="1866"/>
        <v>1.8209610051436984</v>
      </c>
      <c r="Z434" s="198">
        <f t="shared" si="1866"/>
        <v>0.3763888292241826</v>
      </c>
      <c r="AA434" s="198">
        <f t="shared" si="1866"/>
        <v>0.29999999999999988</v>
      </c>
      <c r="AB434" s="198">
        <f t="shared" si="1866"/>
        <v>0.3</v>
      </c>
      <c r="AC434" s="198">
        <f t="shared" si="1866"/>
        <v>0.29999999999999971</v>
      </c>
      <c r="AD434" s="198">
        <f t="shared" si="1866"/>
        <v>0.29999999999999993</v>
      </c>
      <c r="AE434" s="198">
        <f t="shared" si="1866"/>
        <v>0.30000000000000093</v>
      </c>
      <c r="AF434" s="198">
        <f t="shared" si="1866"/>
        <v>0.30000000000000021</v>
      </c>
      <c r="AG434" s="198">
        <f t="shared" si="1866"/>
        <v>0.29999999999999988</v>
      </c>
      <c r="AH434" s="198">
        <f t="shared" si="1866"/>
        <v>0.29999999999999988</v>
      </c>
      <c r="AI434" s="198">
        <f t="shared" si="1866"/>
        <v>0.29999999999999633</v>
      </c>
      <c r="AJ434" s="198">
        <f t="shared" si="1858"/>
        <v>0.30000000000000021</v>
      </c>
      <c r="AK434" s="198">
        <f t="shared" si="1859"/>
        <v>0.30000000000000043</v>
      </c>
      <c r="AL434" s="198">
        <f t="shared" si="1860"/>
        <v>0.3000000000000001</v>
      </c>
      <c r="AM434" s="198">
        <f t="shared" si="1861"/>
        <v>0.3</v>
      </c>
    </row>
    <row r="435" spans="2:50" hidden="1" outlineLevel="1" x14ac:dyDescent="0.2">
      <c r="B435" s="30" t="s">
        <v>409</v>
      </c>
      <c r="I435" s="196">
        <f t="shared" si="1862"/>
        <v>0.94796374624181368</v>
      </c>
      <c r="J435" s="196">
        <f t="shared" si="1862"/>
        <v>0.41690936608720347</v>
      </c>
      <c r="K435" s="196">
        <f t="shared" si="1862"/>
        <v>0.71606799725093617</v>
      </c>
      <c r="L435" s="196">
        <f t="shared" ref="L435:AI435" si="1867">+IFERROR((L402-K402)/(L380-K380),"n/a")</f>
        <v>0.5013303653408715</v>
      </c>
      <c r="M435" s="196">
        <f t="shared" si="1867"/>
        <v>0.73697757654098428</v>
      </c>
      <c r="N435" s="196">
        <f t="shared" si="1867"/>
        <v>-4.3909082790031286E-2</v>
      </c>
      <c r="O435" s="196">
        <f t="shared" si="1867"/>
        <v>0.93734555983967194</v>
      </c>
      <c r="P435" s="196">
        <f t="shared" si="1867"/>
        <v>0.95098840054971367</v>
      </c>
      <c r="Q435" s="196">
        <f t="shared" si="1867"/>
        <v>0.85301125780573273</v>
      </c>
      <c r="R435" s="196">
        <f t="shared" si="1867"/>
        <v>0.70090608971036983</v>
      </c>
      <c r="S435" s="196">
        <f t="shared" si="1867"/>
        <v>0.33048153064935504</v>
      </c>
      <c r="T435" s="196">
        <f t="shared" si="1867"/>
        <v>0.82319471489130747</v>
      </c>
      <c r="U435" s="196">
        <f t="shared" si="1867"/>
        <v>4.2432873290479973</v>
      </c>
      <c r="V435" s="196">
        <f t="shared" si="1867"/>
        <v>0.1295565875691834</v>
      </c>
      <c r="W435" s="196">
        <f t="shared" si="1867"/>
        <v>1.0069481707231873</v>
      </c>
      <c r="X435" s="196">
        <f t="shared" si="1867"/>
        <v>1.1863839847456035</v>
      </c>
      <c r="Y435" s="196">
        <f t="shared" si="1867"/>
        <v>0.89478475921473521</v>
      </c>
      <c r="Z435" s="196">
        <f t="shared" si="1867"/>
        <v>1.1558567952694874</v>
      </c>
      <c r="AA435" s="196">
        <f t="shared" si="1867"/>
        <v>0.80380404869939059</v>
      </c>
      <c r="AB435" s="196">
        <f t="shared" si="1867"/>
        <v>1.0547867429664206</v>
      </c>
      <c r="AC435" s="196">
        <f t="shared" si="1867"/>
        <v>0.87691558642502831</v>
      </c>
      <c r="AD435" s="196">
        <f t="shared" si="1867"/>
        <v>0.79773044451677544</v>
      </c>
      <c r="AE435" s="196">
        <f t="shared" si="1867"/>
        <v>0.84495952753724946</v>
      </c>
      <c r="AF435" s="196">
        <f t="shared" si="1867"/>
        <v>0.85116632282003835</v>
      </c>
      <c r="AG435" s="196">
        <f t="shared" si="1867"/>
        <v>0.71414383723294683</v>
      </c>
      <c r="AH435" s="196">
        <f t="shared" si="1867"/>
        <v>0.79037102717906615</v>
      </c>
      <c r="AI435" s="196">
        <f t="shared" si="1867"/>
        <v>0.91186640933707952</v>
      </c>
      <c r="AJ435" s="196">
        <f t="shared" si="1858"/>
        <v>0.84380404549644261</v>
      </c>
      <c r="AK435" s="196">
        <f t="shared" si="1859"/>
        <v>0.72536136050300348</v>
      </c>
      <c r="AL435" s="196">
        <f t="shared" si="1860"/>
        <v>0.41128346263485566</v>
      </c>
      <c r="AM435" s="196">
        <f t="shared" si="1861"/>
        <v>0.86801121926649505</v>
      </c>
    </row>
    <row r="436" spans="2:50" ht="13.5" hidden="1" outlineLevel="1" x14ac:dyDescent="0.35">
      <c r="B436" s="20" t="s">
        <v>411</v>
      </c>
      <c r="I436" s="198" t="str">
        <f t="shared" si="1862"/>
        <v>n/a</v>
      </c>
      <c r="J436" s="198" t="str">
        <f t="shared" si="1862"/>
        <v>n/a</v>
      </c>
      <c r="K436" s="198" t="str">
        <f t="shared" si="1862"/>
        <v>n/a</v>
      </c>
      <c r="L436" s="198" t="str">
        <f t="shared" ref="L436:AI436" si="1868">+IFERROR((L403-K403)/(L381-K381),"n/a")</f>
        <v>n/a</v>
      </c>
      <c r="M436" s="198" t="str">
        <f t="shared" si="1868"/>
        <v>n/a</v>
      </c>
      <c r="N436" s="198" t="str">
        <f t="shared" si="1868"/>
        <v>n/a</v>
      </c>
      <c r="O436" s="198" t="str">
        <f t="shared" si="1868"/>
        <v>n/a</v>
      </c>
      <c r="P436" s="198" t="str">
        <f t="shared" si="1868"/>
        <v>n/a</v>
      </c>
      <c r="Q436" s="198" t="str">
        <f t="shared" si="1868"/>
        <v>n/a</v>
      </c>
      <c r="R436" s="198" t="str">
        <f t="shared" si="1868"/>
        <v>n/a</v>
      </c>
      <c r="S436" s="198" t="str">
        <f t="shared" si="1868"/>
        <v>n/a</v>
      </c>
      <c r="T436" s="198" t="str">
        <f t="shared" si="1868"/>
        <v>n/a</v>
      </c>
      <c r="U436" s="198" t="str">
        <f t="shared" si="1868"/>
        <v>n/a</v>
      </c>
      <c r="V436" s="198" t="str">
        <f t="shared" si="1868"/>
        <v>n/a</v>
      </c>
      <c r="W436" s="198" t="str">
        <f t="shared" si="1868"/>
        <v>n/a</v>
      </c>
      <c r="X436" s="198" t="str">
        <f t="shared" si="1868"/>
        <v>n/a</v>
      </c>
      <c r="Y436" s="198" t="str">
        <f t="shared" si="1868"/>
        <v>n/a</v>
      </c>
      <c r="Z436" s="198" t="str">
        <f t="shared" si="1868"/>
        <v>n/a</v>
      </c>
      <c r="AA436" s="198">
        <f t="shared" si="1868"/>
        <v>-0.71232268109784747</v>
      </c>
      <c r="AB436" s="198">
        <f t="shared" si="1868"/>
        <v>-0.97181716964541709</v>
      </c>
      <c r="AC436" s="198">
        <f t="shared" si="1868"/>
        <v>-1.0276997764732458</v>
      </c>
      <c r="AD436" s="198">
        <f t="shared" si="1868"/>
        <v>0.4666690699786063</v>
      </c>
      <c r="AE436" s="198">
        <f t="shared" si="1868"/>
        <v>0.17186131813961542</v>
      </c>
      <c r="AF436" s="198">
        <f t="shared" si="1868"/>
        <v>1.1869805859899214</v>
      </c>
      <c r="AG436" s="198">
        <f t="shared" si="1868"/>
        <v>1.3812530170175226</v>
      </c>
      <c r="AH436" s="198">
        <f t="shared" si="1868"/>
        <v>-1.6498894627210405</v>
      </c>
      <c r="AI436" s="198">
        <f t="shared" si="1868"/>
        <v>0.3000000000000001</v>
      </c>
      <c r="AJ436" s="198">
        <f t="shared" si="1858"/>
        <v>0.29999999999999977</v>
      </c>
      <c r="AK436" s="198">
        <f t="shared" si="1859"/>
        <v>0.29999999999999993</v>
      </c>
      <c r="AL436" s="198">
        <f t="shared" si="1860"/>
        <v>0.3</v>
      </c>
      <c r="AM436" s="198">
        <f t="shared" si="1861"/>
        <v>0.3000000000000001</v>
      </c>
    </row>
    <row r="437" spans="2:50" hidden="1" outlineLevel="1" x14ac:dyDescent="0.2">
      <c r="B437" s="30" t="s">
        <v>412</v>
      </c>
      <c r="I437" s="196">
        <f t="shared" si="1862"/>
        <v>0.94796374624181368</v>
      </c>
      <c r="J437" s="196">
        <f t="shared" si="1862"/>
        <v>0.41690936608720347</v>
      </c>
      <c r="K437" s="196">
        <f t="shared" si="1862"/>
        <v>0.71606799725093617</v>
      </c>
      <c r="L437" s="196">
        <f t="shared" ref="L437:AI437" si="1869">+IFERROR((L404-K404)/(L382-K382),"n/a")</f>
        <v>0.5013303653408715</v>
      </c>
      <c r="M437" s="196">
        <f t="shared" si="1869"/>
        <v>0.73697757654098428</v>
      </c>
      <c r="N437" s="196">
        <f t="shared" si="1869"/>
        <v>-4.3909082790031286E-2</v>
      </c>
      <c r="O437" s="196">
        <f t="shared" si="1869"/>
        <v>0.93734555983967194</v>
      </c>
      <c r="P437" s="196">
        <f t="shared" si="1869"/>
        <v>0.95098840054971367</v>
      </c>
      <c r="Q437" s="196">
        <f t="shared" si="1869"/>
        <v>0.85301125780573273</v>
      </c>
      <c r="R437" s="196">
        <f t="shared" si="1869"/>
        <v>0.70090608971036983</v>
      </c>
      <c r="S437" s="196">
        <f t="shared" si="1869"/>
        <v>0.33048153064935504</v>
      </c>
      <c r="T437" s="196">
        <f t="shared" si="1869"/>
        <v>0.82319471489130747</v>
      </c>
      <c r="U437" s="196">
        <f t="shared" si="1869"/>
        <v>4.2432873290479973</v>
      </c>
      <c r="V437" s="196">
        <f t="shared" si="1869"/>
        <v>0.1295565875691834</v>
      </c>
      <c r="W437" s="196">
        <f t="shared" si="1869"/>
        <v>1.0069481707231873</v>
      </c>
      <c r="X437" s="196">
        <f t="shared" si="1869"/>
        <v>1.1863839847456035</v>
      </c>
      <c r="Y437" s="196">
        <f t="shared" si="1869"/>
        <v>0.89478475921473521</v>
      </c>
      <c r="Z437" s="196">
        <f t="shared" si="1869"/>
        <v>1.1344702337371959</v>
      </c>
      <c r="AA437" s="196">
        <f t="shared" si="1869"/>
        <v>0.65089588676198951</v>
      </c>
      <c r="AB437" s="196">
        <f t="shared" si="1869"/>
        <v>1.9954241407838276</v>
      </c>
      <c r="AC437" s="196">
        <f t="shared" si="1869"/>
        <v>0.48280864573962057</v>
      </c>
      <c r="AD437" s="196">
        <f t="shared" si="1869"/>
        <v>0.50794169649876719</v>
      </c>
      <c r="AE437" s="196">
        <f t="shared" si="1869"/>
        <v>0.58973132877576684</v>
      </c>
      <c r="AF437" s="196">
        <f t="shared" si="1869"/>
        <v>-0.13809675022970969</v>
      </c>
      <c r="AG437" s="196">
        <f t="shared" si="1869"/>
        <v>0.90405243361484655</v>
      </c>
      <c r="AH437" s="196">
        <f t="shared" si="1869"/>
        <v>-8.4206844837062853</v>
      </c>
      <c r="AI437" s="196">
        <f t="shared" si="1869"/>
        <v>0.73062929673023858</v>
      </c>
      <c r="AJ437" s="196">
        <f t="shared" si="1858"/>
        <v>0.71854779568430605</v>
      </c>
      <c r="AK437" s="196">
        <f t="shared" si="1859"/>
        <v>0.52446595034274601</v>
      </c>
      <c r="AL437" s="196">
        <f t="shared" si="1860"/>
        <v>0.31524344100077262</v>
      </c>
      <c r="AM437" s="196">
        <f t="shared" si="1861"/>
        <v>0.71483925811933624</v>
      </c>
    </row>
    <row r="438" spans="2:50" ht="10.15" collapsed="1" x14ac:dyDescent="0.2">
      <c r="B438" s="38"/>
    </row>
    <row r="439" spans="2:50" ht="10.15" x14ac:dyDescent="0.2">
      <c r="B439" s="24" t="s">
        <v>89</v>
      </c>
      <c r="J439" s="33"/>
      <c r="N439" s="33"/>
      <c r="R439" s="33"/>
      <c r="Z439" s="33"/>
    </row>
    <row r="440" spans="2:50" ht="10.15" x14ac:dyDescent="0.2">
      <c r="B440" t="s">
        <v>414</v>
      </c>
      <c r="H440" s="10">
        <f>+IFERROR(H442-H441,"n/a")</f>
        <v>1216.2560000000001</v>
      </c>
      <c r="I440" s="10">
        <f t="shared" ref="I440:AG440" si="1870">+IFERROR(I442-I441,"n/a")</f>
        <v>2938.4429999999998</v>
      </c>
      <c r="J440" s="10">
        <f t="shared" si="1870"/>
        <v>3049.1790000000001</v>
      </c>
      <c r="K440" s="10">
        <f t="shared" si="1870"/>
        <v>5832.13</v>
      </c>
      <c r="L440" s="10">
        <f t="shared" si="1870"/>
        <v>4693.134</v>
      </c>
      <c r="M440" s="10">
        <f t="shared" si="1870"/>
        <v>5895.3240000000005</v>
      </c>
      <c r="N440" s="10">
        <f t="shared" si="1870"/>
        <v>6689.7470000000003</v>
      </c>
      <c r="O440" s="10">
        <f t="shared" si="1870"/>
        <v>9035.1820000000007</v>
      </c>
      <c r="P440" s="10">
        <f t="shared" si="1870"/>
        <v>7064.8220000000001</v>
      </c>
      <c r="Q440" s="10">
        <f t="shared" si="1870"/>
        <v>8864.0420000000013</v>
      </c>
      <c r="R440" s="10">
        <f t="shared" si="1870"/>
        <v>9736.5370000000003</v>
      </c>
      <c r="S440" s="10">
        <f t="shared" si="1870"/>
        <v>14435.651</v>
      </c>
      <c r="T440" s="10">
        <f t="shared" si="1870"/>
        <v>12697.923999999999</v>
      </c>
      <c r="U440" s="10">
        <f t="shared" si="1870"/>
        <v>10004.332999999999</v>
      </c>
      <c r="V440" s="10">
        <f t="shared" si="1870"/>
        <v>9665.9070000000011</v>
      </c>
      <c r="W440" s="10">
        <f t="shared" si="1870"/>
        <v>10821.336999999998</v>
      </c>
      <c r="X440" s="10">
        <f t="shared" si="1870"/>
        <v>10717.963</v>
      </c>
      <c r="Y440" s="10">
        <f>+IFERROR(Y442-Y441,"n/a")</f>
        <v>10829.888000000001</v>
      </c>
      <c r="Z440" s="10">
        <f t="shared" ref="Z440" si="1871">+V440*(1+Z445)</f>
        <v>12372.360960000002</v>
      </c>
      <c r="AA440" s="10">
        <f t="shared" ref="AA440" si="1872">+W440*(1+AA445)</f>
        <v>14933.445059999996</v>
      </c>
      <c r="AB440" s="10">
        <f t="shared" ref="AB440" si="1873">+X440*(1+AB445)</f>
        <v>12647.196339999999</v>
      </c>
      <c r="AC440" s="10">
        <f t="shared" ref="AC440" si="1874">+Y440*(1+AC445)</f>
        <v>13212.463360000002</v>
      </c>
      <c r="AD440" s="10">
        <f t="shared" ref="AD440" si="1875">+Z440*(1+AD445)</f>
        <v>14599.385932800002</v>
      </c>
      <c r="AE440" s="10">
        <f t="shared" ref="AE440" si="1876">+AA440*(1+AE445)</f>
        <v>17322.796269599996</v>
      </c>
      <c r="AF440" s="10">
        <f t="shared" ref="AF440" si="1877">+AB440*(1+AF445)</f>
        <v>14923.691681199998</v>
      </c>
      <c r="AG440" s="10">
        <f t="shared" ref="AG440" si="1878">+AC440*(1+AG445)</f>
        <v>15590.706764800001</v>
      </c>
      <c r="AH440" s="10">
        <f t="shared" ref="AH440:AM440" si="1879">+AD440*(1+AH445)</f>
        <v>17227.275400704002</v>
      </c>
      <c r="AI440" s="10">
        <f t="shared" si="1879"/>
        <v>20440.899598127995</v>
      </c>
      <c r="AJ440" s="10">
        <f t="shared" si="1879"/>
        <v>17311.482350191996</v>
      </c>
      <c r="AK440" s="10">
        <f t="shared" si="1879"/>
        <v>18085.219847167999</v>
      </c>
      <c r="AL440" s="10">
        <f t="shared" si="1879"/>
        <v>19983.639464816642</v>
      </c>
      <c r="AM440" s="10">
        <f t="shared" si="1879"/>
        <v>23711.443533828471</v>
      </c>
      <c r="AO440" s="10">
        <f t="shared" ref="AO440:AP440" si="1880">+IFERROR(AO442-AO441,"n/a")</f>
        <v>168.42700000000002</v>
      </c>
      <c r="AP440" s="10">
        <f t="shared" si="1880"/>
        <v>1342.9070000000002</v>
      </c>
      <c r="AQ440" s="14">
        <f>+SUM(H440:K440)</f>
        <v>13036.008</v>
      </c>
      <c r="AR440" s="14">
        <f>+SUM(L440:O440)</f>
        <v>26313.387000000002</v>
      </c>
      <c r="AS440" s="14">
        <f>+SUM(P440:S440)</f>
        <v>40101.052000000003</v>
      </c>
      <c r="AT440" s="14">
        <f>+SUM(T440:W440)</f>
        <v>43189.500999999997</v>
      </c>
      <c r="AU440" s="14">
        <f>+SUM(X440:AA440)</f>
        <v>48853.657019999999</v>
      </c>
      <c r="AV440" s="14">
        <f>+SUM(AB440:AE440)</f>
        <v>57781.841902399996</v>
      </c>
      <c r="AW440" s="14">
        <f>+SUM(AF440:AI440)</f>
        <v>68182.573444832</v>
      </c>
      <c r="AX440" s="10">
        <f t="shared" ref="AX440:AX442" si="1881">+SUM(AJ440:AM440)</f>
        <v>79091.785196005105</v>
      </c>
    </row>
    <row r="441" spans="2:50" ht="13.5" x14ac:dyDescent="0.35">
      <c r="B441" t="s">
        <v>415</v>
      </c>
      <c r="H441" s="13">
        <v>0</v>
      </c>
      <c r="I441" s="13">
        <v>0</v>
      </c>
      <c r="J441" s="13">
        <v>0</v>
      </c>
      <c r="K441" s="13">
        <v>0</v>
      </c>
      <c r="L441" s="13">
        <v>0</v>
      </c>
      <c r="M441" s="13">
        <v>0</v>
      </c>
      <c r="N441" s="13">
        <v>0</v>
      </c>
      <c r="O441" s="13">
        <v>0</v>
      </c>
      <c r="P441" s="13">
        <v>0</v>
      </c>
      <c r="Q441" s="13">
        <v>0</v>
      </c>
      <c r="R441" s="13">
        <v>0</v>
      </c>
      <c r="S441" s="13">
        <v>0</v>
      </c>
      <c r="T441" s="13">
        <v>0</v>
      </c>
      <c r="U441" s="13">
        <v>0</v>
      </c>
      <c r="V441" s="13">
        <v>0</v>
      </c>
      <c r="W441" s="13">
        <v>0</v>
      </c>
      <c r="X441" s="13">
        <v>0</v>
      </c>
      <c r="Y441" s="13">
        <v>0</v>
      </c>
      <c r="Z441" s="15">
        <f t="shared" ref="Y441:AF441" si="1882">+Z442-Z440</f>
        <v>1067.9970399999984</v>
      </c>
      <c r="AA441" s="15">
        <f t="shared" si="1882"/>
        <v>2263.3889400000025</v>
      </c>
      <c r="AB441" s="15">
        <f t="shared" si="1882"/>
        <v>3123.7186600000023</v>
      </c>
      <c r="AC441" s="15">
        <f t="shared" si="1882"/>
        <v>3340.4196399999964</v>
      </c>
      <c r="AD441" s="15">
        <f t="shared" si="1882"/>
        <v>6684.1130671999981</v>
      </c>
      <c r="AE441" s="15">
        <f t="shared" si="1882"/>
        <v>8904.6797304000065</v>
      </c>
      <c r="AF441" s="15">
        <f t="shared" si="1882"/>
        <v>7814.5883188000007</v>
      </c>
      <c r="AG441" s="15">
        <f>+AG442-AG440</f>
        <v>9820.4332351999983</v>
      </c>
      <c r="AH441" s="25">
        <f t="shared" ref="AH441:AM441" si="1883">+IFERROR(AH456*AH381,"n/a")</f>
        <v>11316.021203255801</v>
      </c>
      <c r="AI441" s="25">
        <f t="shared" si="1883"/>
        <v>12447.623323581383</v>
      </c>
      <c r="AJ441" s="25">
        <f t="shared" si="1883"/>
        <v>11466.392233973156</v>
      </c>
      <c r="AK441" s="25">
        <f t="shared" si="1883"/>
        <v>13878.139211540134</v>
      </c>
      <c r="AL441" s="25">
        <f t="shared" si="1883"/>
        <v>14710.827564232541</v>
      </c>
      <c r="AM441" s="25">
        <f t="shared" si="1883"/>
        <v>16181.910320655799</v>
      </c>
      <c r="AO441" s="13">
        <v>0</v>
      </c>
      <c r="AP441" s="13">
        <v>0</v>
      </c>
      <c r="AQ441" s="15">
        <f>+SUM(H441:K441)</f>
        <v>0</v>
      </c>
      <c r="AR441" s="15">
        <f>+SUM(L441:O441)</f>
        <v>0</v>
      </c>
      <c r="AS441" s="15">
        <f>+SUM(P441:S441)</f>
        <v>0</v>
      </c>
      <c r="AT441" s="15">
        <f>+SUM(T441:W441)</f>
        <v>0</v>
      </c>
      <c r="AU441" s="15">
        <f>+SUM(X441:AA441)</f>
        <v>3331.3859800000009</v>
      </c>
      <c r="AV441" s="15">
        <f>+SUM(AB441:AE441)</f>
        <v>22052.931097600005</v>
      </c>
      <c r="AW441" s="15">
        <f>+SUM(AF441:AI441)</f>
        <v>41398.666080837182</v>
      </c>
      <c r="AX441" s="25">
        <f t="shared" si="1881"/>
        <v>56237.269330401628</v>
      </c>
    </row>
    <row r="442" spans="2:50" s="1" customFormat="1" ht="10.15" x14ac:dyDescent="0.2">
      <c r="B442" s="38" t="s">
        <v>416</v>
      </c>
      <c r="H442" s="42">
        <f t="shared" ref="H442:AG442" si="1884">+H44</f>
        <v>1216.2560000000001</v>
      </c>
      <c r="I442" s="42">
        <f t="shared" si="1884"/>
        <v>2938.4429999999998</v>
      </c>
      <c r="J442" s="42">
        <f t="shared" si="1884"/>
        <v>3049.1790000000001</v>
      </c>
      <c r="K442" s="42">
        <f t="shared" si="1884"/>
        <v>5832.13</v>
      </c>
      <c r="L442" s="42">
        <f t="shared" si="1884"/>
        <v>4693.134</v>
      </c>
      <c r="M442" s="42">
        <f t="shared" si="1884"/>
        <v>5895.3240000000005</v>
      </c>
      <c r="N442" s="42">
        <f t="shared" si="1884"/>
        <v>6689.7470000000003</v>
      </c>
      <c r="O442" s="42">
        <f t="shared" si="1884"/>
        <v>9035.1820000000007</v>
      </c>
      <c r="P442" s="42">
        <f t="shared" si="1884"/>
        <v>7064.8220000000001</v>
      </c>
      <c r="Q442" s="42">
        <f t="shared" si="1884"/>
        <v>8864.0420000000013</v>
      </c>
      <c r="R442" s="42">
        <f t="shared" si="1884"/>
        <v>9736.5370000000003</v>
      </c>
      <c r="S442" s="42">
        <f t="shared" si="1884"/>
        <v>14435.651</v>
      </c>
      <c r="T442" s="42">
        <f t="shared" si="1884"/>
        <v>12697.923999999999</v>
      </c>
      <c r="U442" s="42">
        <f t="shared" si="1884"/>
        <v>10004.332999999999</v>
      </c>
      <c r="V442" s="42">
        <f t="shared" si="1884"/>
        <v>9665.9070000000011</v>
      </c>
      <c r="W442" s="42">
        <f t="shared" si="1884"/>
        <v>10821.336999999998</v>
      </c>
      <c r="X442" s="42">
        <f t="shared" si="1884"/>
        <v>10717.963</v>
      </c>
      <c r="Y442" s="42">
        <f t="shared" si="1884"/>
        <v>10829.888000000001</v>
      </c>
      <c r="Z442" s="42">
        <f t="shared" si="1884"/>
        <v>13440.358</v>
      </c>
      <c r="AA442" s="42">
        <f t="shared" si="1884"/>
        <v>17196.833999999999</v>
      </c>
      <c r="AB442" s="42">
        <f t="shared" si="1884"/>
        <v>15770.915000000001</v>
      </c>
      <c r="AC442" s="42">
        <f t="shared" si="1884"/>
        <v>16552.882999999998</v>
      </c>
      <c r="AD442" s="42">
        <f t="shared" si="1884"/>
        <v>21283.499</v>
      </c>
      <c r="AE442" s="42">
        <f t="shared" si="1884"/>
        <v>26227.476000000002</v>
      </c>
      <c r="AF442" s="42">
        <f t="shared" si="1884"/>
        <v>22738.28</v>
      </c>
      <c r="AG442" s="42">
        <f t="shared" si="1884"/>
        <v>25411.14</v>
      </c>
      <c r="AH442" s="42">
        <f t="shared" ref="AH442:AI442" si="1885">IFERROR(AH440+AH441,"n/a")</f>
        <v>28543.296603959803</v>
      </c>
      <c r="AI442" s="42">
        <f t="shared" si="1885"/>
        <v>32888.52292170938</v>
      </c>
      <c r="AJ442" s="42">
        <f t="shared" ref="AJ442:AM442" si="1886">IFERROR(AJ440+AJ441,"n/a")</f>
        <v>28777.874584165154</v>
      </c>
      <c r="AK442" s="42">
        <f t="shared" si="1886"/>
        <v>31963.359058708134</v>
      </c>
      <c r="AL442" s="42">
        <f t="shared" si="1886"/>
        <v>34694.467029049185</v>
      </c>
      <c r="AM442" s="42">
        <f t="shared" si="1886"/>
        <v>39893.353854484274</v>
      </c>
      <c r="AO442" s="42">
        <f>+AO44</f>
        <v>168.42700000000002</v>
      </c>
      <c r="AP442" s="42">
        <f>+AP44</f>
        <v>1342.9070000000002</v>
      </c>
      <c r="AQ442" s="48">
        <f>+SUM(H442:K442)</f>
        <v>13036.008</v>
      </c>
      <c r="AR442" s="48">
        <f>+SUM(L442:O442)</f>
        <v>26313.387000000002</v>
      </c>
      <c r="AS442" s="48">
        <f>+SUM(P442:S442)</f>
        <v>40101.052000000003</v>
      </c>
      <c r="AT442" s="48">
        <f>+SUM(T442:W442)</f>
        <v>43189.500999999997</v>
      </c>
      <c r="AU442" s="48">
        <f>+SUM(X442:AA442)</f>
        <v>52185.043000000005</v>
      </c>
      <c r="AV442" s="48">
        <f>+SUM(AB442:AE442)</f>
        <v>79834.773000000001</v>
      </c>
      <c r="AW442" s="48">
        <f>+SUM(AF442:AI442)</f>
        <v>109581.23952566917</v>
      </c>
      <c r="AX442" s="42">
        <f t="shared" si="1881"/>
        <v>135329.05452640675</v>
      </c>
    </row>
    <row r="443" spans="2:50" x14ac:dyDescent="0.2">
      <c r="B443" s="273"/>
    </row>
    <row r="444" spans="2:50" ht="10.15" x14ac:dyDescent="0.2">
      <c r="B444" s="19" t="s">
        <v>86</v>
      </c>
    </row>
    <row r="445" spans="2:50" x14ac:dyDescent="0.2">
      <c r="B445" s="20" t="s">
        <v>414</v>
      </c>
      <c r="L445" s="173">
        <f t="shared" ref="L445:U447" si="1887">+IFERROR(L440/H440-1,"n/a")</f>
        <v>2.8586728451904859</v>
      </c>
      <c r="M445" s="173">
        <f t="shared" si="1887"/>
        <v>1.006274751628669</v>
      </c>
      <c r="N445" s="173">
        <f t="shared" si="1887"/>
        <v>1.1939502403761799</v>
      </c>
      <c r="O445" s="173">
        <f t="shared" si="1887"/>
        <v>0.54920792231997573</v>
      </c>
      <c r="P445" s="173">
        <f t="shared" si="1887"/>
        <v>0.50535271313369701</v>
      </c>
      <c r="Q445" s="173">
        <f t="shared" si="1887"/>
        <v>0.50357164423872214</v>
      </c>
      <c r="R445" s="173">
        <f t="shared" si="1887"/>
        <v>0.45544173793119525</v>
      </c>
      <c r="S445" s="173">
        <f t="shared" si="1887"/>
        <v>0.59771557451748047</v>
      </c>
      <c r="T445" s="173">
        <f t="shared" si="1887"/>
        <v>0.79734521266070102</v>
      </c>
      <c r="U445" s="173">
        <f t="shared" si="1887"/>
        <v>0.12864232818391397</v>
      </c>
      <c r="V445" s="173">
        <f t="shared" ref="V445:AE447" si="1888">+IFERROR(V440/R440-1,"n/a")</f>
        <v>-7.2541192006972954E-3</v>
      </c>
      <c r="W445" s="173">
        <f t="shared" si="1888"/>
        <v>-0.25037416047256911</v>
      </c>
      <c r="X445" s="173">
        <f t="shared" si="1888"/>
        <v>-0.15592792963637203</v>
      </c>
      <c r="Y445" s="173">
        <f t="shared" si="1888"/>
        <v>8.251974419484065E-2</v>
      </c>
      <c r="Z445" s="168">
        <v>0.28000000000000003</v>
      </c>
      <c r="AA445" s="168">
        <v>0.38</v>
      </c>
      <c r="AB445" s="168">
        <v>0.18</v>
      </c>
      <c r="AC445" s="168">
        <v>0.22</v>
      </c>
      <c r="AD445" s="168">
        <v>0.18</v>
      </c>
      <c r="AE445" s="168">
        <v>0.16</v>
      </c>
      <c r="AF445" s="168">
        <v>0.18</v>
      </c>
      <c r="AG445" s="168">
        <v>0.18</v>
      </c>
      <c r="AH445" s="168">
        <v>0.18</v>
      </c>
      <c r="AI445" s="168">
        <v>0.18</v>
      </c>
      <c r="AJ445" s="168">
        <v>0.16</v>
      </c>
      <c r="AK445" s="168">
        <v>0.16</v>
      </c>
      <c r="AL445" s="168">
        <v>0.16</v>
      </c>
      <c r="AM445" s="168">
        <v>0.16</v>
      </c>
      <c r="AP445" s="173">
        <f t="shared" ref="AP445:AX445" si="1889">+IFERROR(AP440/AO440-1,"n/a")</f>
        <v>6.9732287578594878</v>
      </c>
      <c r="AQ445" s="173">
        <f t="shared" si="1889"/>
        <v>8.7073051223949225</v>
      </c>
      <c r="AR445" s="173">
        <f t="shared" si="1889"/>
        <v>1.0185157143199057</v>
      </c>
      <c r="AS445" s="173">
        <f t="shared" si="1889"/>
        <v>0.52397910614851662</v>
      </c>
      <c r="AT445" s="173">
        <f t="shared" si="1889"/>
        <v>7.7016657817355894E-2</v>
      </c>
      <c r="AU445" s="173">
        <f t="shared" si="1889"/>
        <v>0.1311465955580271</v>
      </c>
      <c r="AV445" s="173">
        <f t="shared" si="1889"/>
        <v>0.18275366527310166</v>
      </c>
      <c r="AW445" s="173">
        <f t="shared" si="1889"/>
        <v>0.18000000000000016</v>
      </c>
      <c r="AX445" s="173">
        <f t="shared" si="1889"/>
        <v>0.1599999999999997</v>
      </c>
    </row>
    <row r="446" spans="2:50" ht="12" x14ac:dyDescent="0.35">
      <c r="B446" s="20" t="s">
        <v>415</v>
      </c>
      <c r="L446" s="180" t="str">
        <f t="shared" si="1887"/>
        <v>n/a</v>
      </c>
      <c r="M446" s="180" t="str">
        <f t="shared" si="1887"/>
        <v>n/a</v>
      </c>
      <c r="N446" s="180" t="str">
        <f t="shared" si="1887"/>
        <v>n/a</v>
      </c>
      <c r="O446" s="180" t="str">
        <f t="shared" si="1887"/>
        <v>n/a</v>
      </c>
      <c r="P446" s="180" t="str">
        <f t="shared" si="1887"/>
        <v>n/a</v>
      </c>
      <c r="Q446" s="180" t="str">
        <f t="shared" si="1887"/>
        <v>n/a</v>
      </c>
      <c r="R446" s="180" t="str">
        <f t="shared" si="1887"/>
        <v>n/a</v>
      </c>
      <c r="S446" s="180" t="str">
        <f t="shared" si="1887"/>
        <v>n/a</v>
      </c>
      <c r="T446" s="180" t="str">
        <f t="shared" si="1887"/>
        <v>n/a</v>
      </c>
      <c r="U446" s="180" t="str">
        <f t="shared" si="1887"/>
        <v>n/a</v>
      </c>
      <c r="V446" s="180" t="str">
        <f t="shared" si="1888"/>
        <v>n/a</v>
      </c>
      <c r="W446" s="180" t="str">
        <f t="shared" si="1888"/>
        <v>n/a</v>
      </c>
      <c r="X446" s="180" t="str">
        <f t="shared" si="1888"/>
        <v>n/a</v>
      </c>
      <c r="Y446" s="180" t="str">
        <f t="shared" si="1888"/>
        <v>n/a</v>
      </c>
      <c r="Z446" s="180" t="str">
        <f t="shared" si="1888"/>
        <v>n/a</v>
      </c>
      <c r="AA446" s="180" t="str">
        <f t="shared" si="1888"/>
        <v>n/a</v>
      </c>
      <c r="AB446" s="180" t="str">
        <f t="shared" si="1888"/>
        <v>n/a</v>
      </c>
      <c r="AC446" s="180" t="str">
        <f t="shared" si="1888"/>
        <v>n/a</v>
      </c>
      <c r="AD446" s="180">
        <f t="shared" si="1888"/>
        <v>5.2585501802514436</v>
      </c>
      <c r="AE446" s="180">
        <f t="shared" si="1888"/>
        <v>2.9342242833438941</v>
      </c>
      <c r="AF446" s="180">
        <f t="shared" ref="AF445:AG447" si="1890">+IFERROR(AF441/AB441-1,"n/a")</f>
        <v>1.501694028616519</v>
      </c>
      <c r="AG446" s="180">
        <f t="shared" si="1890"/>
        <v>1.9398801029681434</v>
      </c>
      <c r="AH446" s="180">
        <f t="shared" ref="AH446:AM447" si="1891">+IFERROR(AH441/AD441-1,"n/a")</f>
        <v>0.69297273841540918</v>
      </c>
      <c r="AI446" s="180">
        <f t="shared" si="1891"/>
        <v>0.39787434253092724</v>
      </c>
      <c r="AJ446" s="180">
        <f t="shared" si="1891"/>
        <v>0.46730598800551038</v>
      </c>
      <c r="AK446" s="180">
        <f t="shared" si="1891"/>
        <v>0.41319011892426949</v>
      </c>
      <c r="AL446" s="180">
        <f t="shared" si="1891"/>
        <v>0.30000000000000004</v>
      </c>
      <c r="AM446" s="180">
        <f t="shared" si="1891"/>
        <v>0.30000000000000004</v>
      </c>
      <c r="AP446" s="180" t="str">
        <f t="shared" ref="AP446:AX446" si="1892">+IFERROR(AP441/AO441-1,"n/a")</f>
        <v>n/a</v>
      </c>
      <c r="AQ446" s="180" t="str">
        <f t="shared" si="1892"/>
        <v>n/a</v>
      </c>
      <c r="AR446" s="180" t="str">
        <f t="shared" si="1892"/>
        <v>n/a</v>
      </c>
      <c r="AS446" s="180" t="str">
        <f t="shared" si="1892"/>
        <v>n/a</v>
      </c>
      <c r="AT446" s="180" t="str">
        <f t="shared" si="1892"/>
        <v>n/a</v>
      </c>
      <c r="AU446" s="180" t="str">
        <f t="shared" si="1892"/>
        <v>n/a</v>
      </c>
      <c r="AV446" s="180">
        <f t="shared" si="1892"/>
        <v>5.6197466249767913</v>
      </c>
      <c r="AW446" s="180">
        <f t="shared" si="1892"/>
        <v>0.87724098432169639</v>
      </c>
      <c r="AX446" s="180">
        <f t="shared" si="1892"/>
        <v>0.35843191711998212</v>
      </c>
    </row>
    <row r="447" spans="2:50" ht="10.15" x14ac:dyDescent="0.2">
      <c r="B447" s="30" t="s">
        <v>416</v>
      </c>
      <c r="L447" s="173">
        <f t="shared" si="1887"/>
        <v>2.8586728451904859</v>
      </c>
      <c r="M447" s="173">
        <f t="shared" si="1887"/>
        <v>1.006274751628669</v>
      </c>
      <c r="N447" s="173">
        <f t="shared" si="1887"/>
        <v>1.1939502403761799</v>
      </c>
      <c r="O447" s="173">
        <f t="shared" si="1887"/>
        <v>0.54920792231997573</v>
      </c>
      <c r="P447" s="173">
        <f t="shared" si="1887"/>
        <v>0.50535271313369701</v>
      </c>
      <c r="Q447" s="173">
        <f t="shared" si="1887"/>
        <v>0.50357164423872214</v>
      </c>
      <c r="R447" s="173">
        <f t="shared" si="1887"/>
        <v>0.45544173793119525</v>
      </c>
      <c r="S447" s="173">
        <f t="shared" si="1887"/>
        <v>0.59771557451748047</v>
      </c>
      <c r="T447" s="173">
        <f t="shared" si="1887"/>
        <v>0.79734521266070102</v>
      </c>
      <c r="U447" s="173">
        <f t="shared" si="1887"/>
        <v>0.12864232818391397</v>
      </c>
      <c r="V447" s="173">
        <f t="shared" si="1888"/>
        <v>-7.2541192006972954E-3</v>
      </c>
      <c r="W447" s="173">
        <f t="shared" si="1888"/>
        <v>-0.25037416047256911</v>
      </c>
      <c r="X447" s="173">
        <f t="shared" si="1888"/>
        <v>-0.15592792963637203</v>
      </c>
      <c r="Y447" s="173">
        <f t="shared" si="1888"/>
        <v>8.251974419484065E-2</v>
      </c>
      <c r="Z447" s="173">
        <f t="shared" si="1888"/>
        <v>0.39049113549302716</v>
      </c>
      <c r="AA447" s="173">
        <f t="shared" si="1888"/>
        <v>0.58915982378147946</v>
      </c>
      <c r="AB447" s="173">
        <f t="shared" si="1888"/>
        <v>0.47144704642104118</v>
      </c>
      <c r="AC447" s="173">
        <f t="shared" si="1888"/>
        <v>0.52844452315665658</v>
      </c>
      <c r="AD447" s="173">
        <f t="shared" si="1888"/>
        <v>0.58355149468488854</v>
      </c>
      <c r="AE447" s="173">
        <f t="shared" si="1888"/>
        <v>0.52513398687223489</v>
      </c>
      <c r="AF447" s="173">
        <f t="shared" si="1890"/>
        <v>0.4417857175693356</v>
      </c>
      <c r="AG447" s="173">
        <f t="shared" si="1890"/>
        <v>0.53514889218995876</v>
      </c>
      <c r="AH447" s="173">
        <f t="shared" si="1891"/>
        <v>0.34109981652733912</v>
      </c>
      <c r="AI447" s="173">
        <f t="shared" si="1891"/>
        <v>0.25397209101285156</v>
      </c>
      <c r="AJ447" s="173">
        <f t="shared" si="1891"/>
        <v>0.26561351976337511</v>
      </c>
      <c r="AK447" s="173">
        <f t="shared" si="1891"/>
        <v>0.25784829246968588</v>
      </c>
      <c r="AL447" s="173">
        <f t="shared" si="1891"/>
        <v>0.21550315334760706</v>
      </c>
      <c r="AM447" s="173">
        <f t="shared" si="1891"/>
        <v>0.21298709429577567</v>
      </c>
      <c r="AP447" s="173">
        <f t="shared" ref="AP447:AX447" si="1893">+IFERROR(AP442/AO442-1,"n/a")</f>
        <v>6.9732287578594878</v>
      </c>
      <c r="AQ447" s="173">
        <f t="shared" si="1893"/>
        <v>8.7073051223949225</v>
      </c>
      <c r="AR447" s="173">
        <f t="shared" si="1893"/>
        <v>1.0185157143199057</v>
      </c>
      <c r="AS447" s="173">
        <f t="shared" si="1893"/>
        <v>0.52397910614851662</v>
      </c>
      <c r="AT447" s="173">
        <f t="shared" si="1893"/>
        <v>7.7016657817355894E-2</v>
      </c>
      <c r="AU447" s="173">
        <f t="shared" si="1893"/>
        <v>0.20828075786288913</v>
      </c>
      <c r="AV447" s="173">
        <f t="shared" si="1893"/>
        <v>0.52984013062900015</v>
      </c>
      <c r="AW447" s="173">
        <f t="shared" si="1893"/>
        <v>0.37260037710220795</v>
      </c>
      <c r="AX447" s="173">
        <f t="shared" si="1893"/>
        <v>0.23496553892061245</v>
      </c>
    </row>
    <row r="448" spans="2:50" ht="10.15" x14ac:dyDescent="0.2">
      <c r="B448" s="30"/>
      <c r="L448" s="173"/>
      <c r="M448" s="173"/>
      <c r="N448" s="173"/>
      <c r="O448" s="173"/>
      <c r="P448" s="173"/>
      <c r="Q448" s="173"/>
      <c r="R448" s="173"/>
      <c r="S448" s="173"/>
      <c r="T448" s="173"/>
      <c r="U448" s="173"/>
      <c r="V448" s="173"/>
      <c r="W448" s="173"/>
      <c r="X448" s="173"/>
      <c r="Y448" s="173"/>
      <c r="Z448" s="173"/>
      <c r="AA448" s="173"/>
      <c r="AB448" s="173"/>
      <c r="AC448" s="173"/>
      <c r="AD448" s="173"/>
      <c r="AE448" s="173"/>
    </row>
    <row r="449" spans="2:50" ht="10.15" x14ac:dyDescent="0.2">
      <c r="B449" s="19" t="s">
        <v>262</v>
      </c>
      <c r="L449" s="173"/>
      <c r="M449" s="173"/>
      <c r="N449" s="173"/>
      <c r="O449" s="173"/>
      <c r="P449" s="173"/>
      <c r="Q449" s="173"/>
      <c r="R449" s="173"/>
      <c r="S449" s="173"/>
      <c r="T449" s="173"/>
      <c r="U449" s="173"/>
      <c r="V449" s="173"/>
      <c r="W449" s="173"/>
      <c r="X449" s="173"/>
      <c r="Y449" s="173"/>
      <c r="Z449" s="173"/>
      <c r="AA449" s="173"/>
      <c r="AB449" s="173"/>
      <c r="AC449" s="173"/>
      <c r="AD449" s="173"/>
      <c r="AE449" s="173"/>
    </row>
    <row r="450" spans="2:50" ht="10.15" x14ac:dyDescent="0.2">
      <c r="B450" s="20" t="s">
        <v>414</v>
      </c>
      <c r="I450" s="173">
        <f t="shared" ref="I450:AM450" si="1894">IFERROR(I440/H440-1,"n/a")</f>
        <v>1.4159741041359708</v>
      </c>
      <c r="J450" s="173">
        <f t="shared" si="1894"/>
        <v>3.7685263930592017E-2</v>
      </c>
      <c r="K450" s="173">
        <f t="shared" si="1894"/>
        <v>0.9126886286439726</v>
      </c>
      <c r="L450" s="173">
        <f t="shared" si="1894"/>
        <v>-0.19529674407120556</v>
      </c>
      <c r="M450" s="173">
        <f t="shared" si="1894"/>
        <v>0.25615931699371908</v>
      </c>
      <c r="N450" s="173">
        <f t="shared" si="1894"/>
        <v>0.13475476496287553</v>
      </c>
      <c r="O450" s="173">
        <f t="shared" si="1894"/>
        <v>0.350601450249165</v>
      </c>
      <c r="P450" s="173">
        <f t="shared" si="1894"/>
        <v>-0.21807640399496109</v>
      </c>
      <c r="Q450" s="173">
        <f t="shared" si="1894"/>
        <v>0.25467308305856839</v>
      </c>
      <c r="R450" s="173">
        <f t="shared" si="1894"/>
        <v>9.8430828734791476E-2</v>
      </c>
      <c r="S450" s="173">
        <f t="shared" si="1894"/>
        <v>0.48262683128508632</v>
      </c>
      <c r="T450" s="173">
        <f t="shared" si="1894"/>
        <v>-0.12037745994274873</v>
      </c>
      <c r="U450" s="173">
        <f t="shared" si="1894"/>
        <v>-0.21212845501359123</v>
      </c>
      <c r="V450" s="173">
        <f t="shared" si="1894"/>
        <v>-3.3827942352578355E-2</v>
      </c>
      <c r="W450" s="173">
        <f t="shared" si="1894"/>
        <v>0.1195366353100642</v>
      </c>
      <c r="X450" s="173">
        <f t="shared" si="1894"/>
        <v>-9.5527937074686431E-3</v>
      </c>
      <c r="Y450" s="173">
        <f t="shared" si="1894"/>
        <v>1.0442749242556726E-2</v>
      </c>
      <c r="Z450" s="173">
        <f t="shared" si="1894"/>
        <v>0.14242741568518547</v>
      </c>
      <c r="AA450" s="173">
        <f t="shared" si="1894"/>
        <v>0.20700043494366294</v>
      </c>
      <c r="AB450" s="173">
        <f t="shared" si="1894"/>
        <v>-0.15309586708319789</v>
      </c>
      <c r="AC450" s="173">
        <f t="shared" si="1894"/>
        <v>4.4695045827050306E-2</v>
      </c>
      <c r="AD450" s="173">
        <f t="shared" si="1894"/>
        <v>0.10497077910534314</v>
      </c>
      <c r="AE450" s="173">
        <f t="shared" si="1894"/>
        <v>0.18654280045309224</v>
      </c>
      <c r="AF450" s="173">
        <f t="shared" si="1894"/>
        <v>-0.13849407168808059</v>
      </c>
      <c r="AG450" s="173">
        <f t="shared" si="1894"/>
        <v>4.4695045827050306E-2</v>
      </c>
      <c r="AH450" s="173">
        <f t="shared" si="1894"/>
        <v>0.10497077910534314</v>
      </c>
      <c r="AI450" s="173">
        <f t="shared" si="1894"/>
        <v>0.18654280045309224</v>
      </c>
      <c r="AJ450" s="173">
        <f t="shared" si="1894"/>
        <v>-0.153095867083198</v>
      </c>
      <c r="AK450" s="173">
        <f t="shared" si="1894"/>
        <v>4.4695045827050306E-2</v>
      </c>
      <c r="AL450" s="173">
        <f t="shared" si="1894"/>
        <v>0.10497077910534336</v>
      </c>
      <c r="AM450" s="173">
        <f t="shared" si="1894"/>
        <v>0.18654280045309224</v>
      </c>
    </row>
    <row r="451" spans="2:50" ht="12" x14ac:dyDescent="0.35">
      <c r="B451" s="20" t="s">
        <v>415</v>
      </c>
      <c r="I451" s="180" t="str">
        <f t="shared" ref="I451:AM451" si="1895">IFERROR(I441/H441-1,"n/a")</f>
        <v>n/a</v>
      </c>
      <c r="J451" s="180" t="str">
        <f t="shared" si="1895"/>
        <v>n/a</v>
      </c>
      <c r="K451" s="180" t="str">
        <f t="shared" si="1895"/>
        <v>n/a</v>
      </c>
      <c r="L451" s="180" t="str">
        <f t="shared" si="1895"/>
        <v>n/a</v>
      </c>
      <c r="M451" s="180" t="str">
        <f t="shared" si="1895"/>
        <v>n/a</v>
      </c>
      <c r="N451" s="180" t="str">
        <f t="shared" si="1895"/>
        <v>n/a</v>
      </c>
      <c r="O451" s="180" t="str">
        <f t="shared" si="1895"/>
        <v>n/a</v>
      </c>
      <c r="P451" s="180" t="str">
        <f t="shared" si="1895"/>
        <v>n/a</v>
      </c>
      <c r="Q451" s="180" t="str">
        <f t="shared" si="1895"/>
        <v>n/a</v>
      </c>
      <c r="R451" s="180" t="str">
        <f t="shared" si="1895"/>
        <v>n/a</v>
      </c>
      <c r="S451" s="180" t="str">
        <f t="shared" si="1895"/>
        <v>n/a</v>
      </c>
      <c r="T451" s="180" t="str">
        <f t="shared" si="1895"/>
        <v>n/a</v>
      </c>
      <c r="U451" s="180" t="str">
        <f t="shared" si="1895"/>
        <v>n/a</v>
      </c>
      <c r="V451" s="180" t="str">
        <f t="shared" si="1895"/>
        <v>n/a</v>
      </c>
      <c r="W451" s="180" t="str">
        <f t="shared" si="1895"/>
        <v>n/a</v>
      </c>
      <c r="X451" s="180" t="str">
        <f t="shared" si="1895"/>
        <v>n/a</v>
      </c>
      <c r="Y451" s="180" t="str">
        <f t="shared" si="1895"/>
        <v>n/a</v>
      </c>
      <c r="Z451" s="180" t="str">
        <f t="shared" si="1895"/>
        <v>n/a</v>
      </c>
      <c r="AA451" s="180">
        <f t="shared" si="1895"/>
        <v>1.1192839073786254</v>
      </c>
      <c r="AB451" s="180">
        <f t="shared" si="1895"/>
        <v>0.38010688520904345</v>
      </c>
      <c r="AC451" s="180">
        <f t="shared" si="1895"/>
        <v>6.9372758428889458E-2</v>
      </c>
      <c r="AD451" s="180">
        <f t="shared" si="1895"/>
        <v>1.0009800526738628</v>
      </c>
      <c r="AE451" s="180">
        <f t="shared" si="1895"/>
        <v>0.3322156045050586</v>
      </c>
      <c r="AF451" s="180">
        <f t="shared" si="1895"/>
        <v>-0.12241781227442727</v>
      </c>
      <c r="AG451" s="180">
        <f t="shared" si="1895"/>
        <v>0.25667953762508788</v>
      </c>
      <c r="AH451" s="180">
        <f t="shared" si="1895"/>
        <v>0.15229348158440437</v>
      </c>
      <c r="AI451" s="180">
        <f t="shared" si="1895"/>
        <v>0.10000000000000009</v>
      </c>
      <c r="AJ451" s="180">
        <f t="shared" si="1895"/>
        <v>-7.8828790372322377E-2</v>
      </c>
      <c r="AK451" s="180">
        <f t="shared" si="1895"/>
        <v>0.21033180518815175</v>
      </c>
      <c r="AL451" s="180">
        <f t="shared" si="1895"/>
        <v>5.9999999999999831E-2</v>
      </c>
      <c r="AM451" s="180">
        <f t="shared" si="1895"/>
        <v>0.10000000000000031</v>
      </c>
    </row>
    <row r="452" spans="2:50" ht="10.15" x14ac:dyDescent="0.2">
      <c r="B452" s="30" t="s">
        <v>416</v>
      </c>
      <c r="I452" s="173">
        <f t="shared" ref="I452:AM452" si="1896">IFERROR(I442/H442-1,"n/a")</f>
        <v>1.4159741041359708</v>
      </c>
      <c r="J452" s="173">
        <f t="shared" si="1896"/>
        <v>3.7685263930592017E-2</v>
      </c>
      <c r="K452" s="173">
        <f t="shared" si="1896"/>
        <v>0.9126886286439726</v>
      </c>
      <c r="L452" s="173">
        <f t="shared" si="1896"/>
        <v>-0.19529674407120556</v>
      </c>
      <c r="M452" s="173">
        <f t="shared" si="1896"/>
        <v>0.25615931699371908</v>
      </c>
      <c r="N452" s="173">
        <f t="shared" si="1896"/>
        <v>0.13475476496287553</v>
      </c>
      <c r="O452" s="173">
        <f t="shared" si="1896"/>
        <v>0.350601450249165</v>
      </c>
      <c r="P452" s="173">
        <f t="shared" si="1896"/>
        <v>-0.21807640399496109</v>
      </c>
      <c r="Q452" s="173">
        <f t="shared" si="1896"/>
        <v>0.25467308305856839</v>
      </c>
      <c r="R452" s="173">
        <f t="shared" si="1896"/>
        <v>9.8430828734791476E-2</v>
      </c>
      <c r="S452" s="173">
        <f t="shared" si="1896"/>
        <v>0.48262683128508632</v>
      </c>
      <c r="T452" s="173">
        <f t="shared" si="1896"/>
        <v>-0.12037745994274873</v>
      </c>
      <c r="U452" s="173">
        <f t="shared" si="1896"/>
        <v>-0.21212845501359123</v>
      </c>
      <c r="V452" s="173">
        <f t="shared" si="1896"/>
        <v>-3.3827942352578355E-2</v>
      </c>
      <c r="W452" s="173">
        <f t="shared" si="1896"/>
        <v>0.1195366353100642</v>
      </c>
      <c r="X452" s="173">
        <f t="shared" si="1896"/>
        <v>-9.5527937074686431E-3</v>
      </c>
      <c r="Y452" s="173">
        <f t="shared" si="1896"/>
        <v>1.0442749242556726E-2</v>
      </c>
      <c r="Z452" s="173">
        <f t="shared" si="1896"/>
        <v>0.24104312066754519</v>
      </c>
      <c r="AA452" s="173">
        <f t="shared" si="1896"/>
        <v>0.27949225757230556</v>
      </c>
      <c r="AB452" s="173">
        <f t="shared" si="1896"/>
        <v>-8.2917530052333932E-2</v>
      </c>
      <c r="AC452" s="173">
        <f t="shared" si="1896"/>
        <v>4.9582918936535769E-2</v>
      </c>
      <c r="AD452" s="173">
        <f t="shared" si="1896"/>
        <v>0.2857880406694111</v>
      </c>
      <c r="AE452" s="173">
        <f t="shared" si="1896"/>
        <v>0.23229155130930312</v>
      </c>
      <c r="AF452" s="173">
        <f t="shared" si="1896"/>
        <v>-0.13303590478931349</v>
      </c>
      <c r="AG452" s="173">
        <f t="shared" si="1896"/>
        <v>0.11754890871253232</v>
      </c>
      <c r="AH452" s="173">
        <f t="shared" si="1896"/>
        <v>0.12325919277764807</v>
      </c>
      <c r="AI452" s="173">
        <f t="shared" si="1896"/>
        <v>0.15223281241966857</v>
      </c>
      <c r="AJ452" s="173">
        <f t="shared" si="1896"/>
        <v>-0.12498731996354961</v>
      </c>
      <c r="AK452" s="173">
        <f t="shared" si="1896"/>
        <v>0.11069213833796376</v>
      </c>
      <c r="AL452" s="173">
        <f t="shared" si="1896"/>
        <v>8.5444961066974745E-2</v>
      </c>
      <c r="AM452" s="173">
        <f t="shared" si="1896"/>
        <v>0.14984772128311219</v>
      </c>
    </row>
    <row r="453" spans="2:50" ht="10.15" x14ac:dyDescent="0.2">
      <c r="B453" s="38"/>
    </row>
    <row r="454" spans="2:50" ht="10.15" x14ac:dyDescent="0.2">
      <c r="B454" s="19" t="s">
        <v>95</v>
      </c>
    </row>
    <row r="455" spans="2:50" ht="10.15" x14ac:dyDescent="0.2">
      <c r="B455" s="20" t="s">
        <v>414</v>
      </c>
      <c r="H455" s="196">
        <f t="shared" ref="H455:AM455" si="1897">IFERROR(H440/H380,"n/a")</f>
        <v>0.87841433362896559</v>
      </c>
      <c r="I455" s="196">
        <f t="shared" si="1897"/>
        <v>1.0846781486914581</v>
      </c>
      <c r="J455" s="196">
        <f t="shared" si="1897"/>
        <v>0.90415215432962348</v>
      </c>
      <c r="K455" s="196">
        <f t="shared" si="1897"/>
        <v>1.03151935948179</v>
      </c>
      <c r="L455" s="196">
        <f t="shared" si="1897"/>
        <v>1.032546393957235</v>
      </c>
      <c r="M455" s="196">
        <f t="shared" si="1897"/>
        <v>0.80868553230668616</v>
      </c>
      <c r="N455" s="196">
        <f t="shared" si="1897"/>
        <v>0.8903105265035105</v>
      </c>
      <c r="O455" s="196">
        <f t="shared" si="1897"/>
        <v>0.83715476516312937</v>
      </c>
      <c r="P455" s="196">
        <f t="shared" si="1897"/>
        <v>1.0800731196584528</v>
      </c>
      <c r="Q455" s="196">
        <f t="shared" si="1897"/>
        <v>0.72695915753837248</v>
      </c>
      <c r="R455" s="196">
        <f t="shared" si="1897"/>
        <v>0.68519960404740909</v>
      </c>
      <c r="S455" s="196">
        <f t="shared" si="1897"/>
        <v>0.54376258983402304</v>
      </c>
      <c r="T455" s="196">
        <f t="shared" si="1897"/>
        <v>0.57282750440190655</v>
      </c>
      <c r="U455" s="196">
        <f t="shared" si="1897"/>
        <v>0.43409865045113682</v>
      </c>
      <c r="V455" s="196">
        <f t="shared" si="1897"/>
        <v>0.449456698991963</v>
      </c>
      <c r="W455" s="196">
        <f t="shared" si="1897"/>
        <v>0.39739237781014769</v>
      </c>
      <c r="X455" s="196">
        <f t="shared" si="1897"/>
        <v>0.45045402585534344</v>
      </c>
      <c r="Y455" s="196">
        <f t="shared" si="1897"/>
        <v>0.34446681964586795</v>
      </c>
      <c r="Z455" s="196">
        <f t="shared" si="1897"/>
        <v>0.34847496123286914</v>
      </c>
      <c r="AA455" s="196">
        <f t="shared" si="1897"/>
        <v>0.37916803485991679</v>
      </c>
      <c r="AB455" s="196">
        <f t="shared" si="1897"/>
        <v>0.34948038908327034</v>
      </c>
      <c r="AC455" s="196">
        <f t="shared" si="1897"/>
        <v>0.27639884192563641</v>
      </c>
      <c r="AD455" s="196">
        <f t="shared" si="1897"/>
        <v>0.29276874038957484</v>
      </c>
      <c r="AE455" s="196">
        <f t="shared" si="1897"/>
        <v>0.27801802766801975</v>
      </c>
      <c r="AF455" s="196">
        <f t="shared" si="1897"/>
        <v>0.27562824916285605</v>
      </c>
      <c r="AG455" s="196">
        <f t="shared" si="1897"/>
        <v>0.25361234149461698</v>
      </c>
      <c r="AH455" s="196">
        <f t="shared" si="1897"/>
        <v>0.28757607617274378</v>
      </c>
      <c r="AI455" s="196">
        <f t="shared" si="1897"/>
        <v>0.29681445507911203</v>
      </c>
      <c r="AJ455" s="196">
        <f t="shared" si="1897"/>
        <v>0.29879211375426584</v>
      </c>
      <c r="AK455" s="196">
        <f t="shared" si="1897"/>
        <v>0.27024897134356973</v>
      </c>
      <c r="AL455" s="196">
        <f t="shared" si="1897"/>
        <v>0.29666423795602903</v>
      </c>
      <c r="AM455" s="196">
        <f t="shared" si="1897"/>
        <v>0.29403453769619292</v>
      </c>
      <c r="AO455" s="196">
        <f t="shared" ref="AO455:AX455" si="1898">IFERROR(AO440/AO380,"n/a")</f>
        <v>0.33360865500411996</v>
      </c>
      <c r="AP455" s="196">
        <f t="shared" si="1898"/>
        <v>0.76998192739307225</v>
      </c>
      <c r="AQ455" s="196">
        <f t="shared" si="1898"/>
        <v>0.99359892804796335</v>
      </c>
      <c r="AR455" s="196">
        <f t="shared" si="1898"/>
        <v>0.87298409263441579</v>
      </c>
      <c r="AS455" s="196">
        <f t="shared" si="1898"/>
        <v>0.67405941972066274</v>
      </c>
      <c r="AT455" s="196">
        <f t="shared" si="1898"/>
        <v>0.45970760023590851</v>
      </c>
      <c r="AU455" s="196">
        <f t="shared" si="1898"/>
        <v>0.37544407190651063</v>
      </c>
      <c r="AV455" s="196">
        <f t="shared" si="1898"/>
        <v>0.29455655187838037</v>
      </c>
      <c r="AW455" s="196">
        <f t="shared" si="1898"/>
        <v>0.27898908898711283</v>
      </c>
      <c r="AX455" s="196">
        <f t="shared" si="1898"/>
        <v>0.28986041109881788</v>
      </c>
    </row>
    <row r="456" spans="2:50" ht="12" x14ac:dyDescent="0.35">
      <c r="B456" s="20" t="s">
        <v>415</v>
      </c>
      <c r="H456" s="198" t="str">
        <f t="shared" ref="H456:AG456" si="1899">IFERROR(H441/H381,"n/a")</f>
        <v>n/a</v>
      </c>
      <c r="I456" s="198" t="str">
        <f t="shared" si="1899"/>
        <v>n/a</v>
      </c>
      <c r="J456" s="198" t="str">
        <f t="shared" si="1899"/>
        <v>n/a</v>
      </c>
      <c r="K456" s="198" t="str">
        <f t="shared" si="1899"/>
        <v>n/a</v>
      </c>
      <c r="L456" s="198" t="str">
        <f t="shared" si="1899"/>
        <v>n/a</v>
      </c>
      <c r="M456" s="198" t="str">
        <f t="shared" si="1899"/>
        <v>n/a</v>
      </c>
      <c r="N456" s="198" t="str">
        <f t="shared" si="1899"/>
        <v>n/a</v>
      </c>
      <c r="O456" s="198" t="str">
        <f t="shared" si="1899"/>
        <v>n/a</v>
      </c>
      <c r="P456" s="198" t="str">
        <f t="shared" si="1899"/>
        <v>n/a</v>
      </c>
      <c r="Q456" s="198" t="str">
        <f t="shared" si="1899"/>
        <v>n/a</v>
      </c>
      <c r="R456" s="198" t="str">
        <f t="shared" si="1899"/>
        <v>n/a</v>
      </c>
      <c r="S456" s="198" t="str">
        <f t="shared" si="1899"/>
        <v>n/a</v>
      </c>
      <c r="T456" s="198" t="str">
        <f t="shared" si="1899"/>
        <v>n/a</v>
      </c>
      <c r="U456" s="198" t="str">
        <f t="shared" si="1899"/>
        <v>n/a</v>
      </c>
      <c r="V456" s="198" t="str">
        <f t="shared" si="1899"/>
        <v>n/a</v>
      </c>
      <c r="W456" s="198" t="str">
        <f t="shared" si="1899"/>
        <v>n/a</v>
      </c>
      <c r="X456" s="198" t="str">
        <f t="shared" si="1899"/>
        <v>n/a</v>
      </c>
      <c r="Y456" s="198" t="str">
        <f t="shared" si="1899"/>
        <v>n/a</v>
      </c>
      <c r="Z456" s="198" t="str">
        <f t="shared" si="1899"/>
        <v>n/a</v>
      </c>
      <c r="AA456" s="198">
        <f t="shared" si="1899"/>
        <v>5.2000840504165424</v>
      </c>
      <c r="AB456" s="198">
        <f t="shared" si="1899"/>
        <v>2.1565528661265905</v>
      </c>
      <c r="AC456" s="198">
        <f t="shared" si="1899"/>
        <v>0.74586548539612307</v>
      </c>
      <c r="AD456" s="198">
        <f t="shared" si="1899"/>
        <v>0.35228201063033826</v>
      </c>
      <c r="AE456" s="198">
        <f t="shared" si="1899"/>
        <v>0.33510430624937254</v>
      </c>
      <c r="AF456" s="198">
        <f t="shared" si="1899"/>
        <v>0.23921390825720662</v>
      </c>
      <c r="AG456" s="198">
        <f t="shared" si="1899"/>
        <v>0.27597136066651162</v>
      </c>
      <c r="AH456" s="205">
        <v>0.3</v>
      </c>
      <c r="AI456" s="205">
        <v>0.3</v>
      </c>
      <c r="AJ456" s="205">
        <v>0.3</v>
      </c>
      <c r="AK456" s="205">
        <v>0.3</v>
      </c>
      <c r="AL456" s="205">
        <v>0.3</v>
      </c>
      <c r="AM456" s="205">
        <v>0.3</v>
      </c>
      <c r="AO456" s="198" t="str">
        <f t="shared" ref="AO456:AX456" si="1900">IFERROR(AO441/AO381,"n/a")</f>
        <v>n/a</v>
      </c>
      <c r="AP456" s="198" t="str">
        <f t="shared" si="1900"/>
        <v>n/a</v>
      </c>
      <c r="AQ456" s="198" t="str">
        <f t="shared" si="1900"/>
        <v>n/a</v>
      </c>
      <c r="AR456" s="198" t="str">
        <f t="shared" si="1900"/>
        <v>n/a</v>
      </c>
      <c r="AS456" s="198" t="str">
        <f t="shared" si="1900"/>
        <v>n/a</v>
      </c>
      <c r="AT456" s="198" t="str">
        <f t="shared" si="1900"/>
        <v>n/a</v>
      </c>
      <c r="AU456" s="198">
        <f t="shared" si="1900"/>
        <v>7.6537826947140903</v>
      </c>
      <c r="AV456" s="198">
        <f t="shared" si="1900"/>
        <v>0.42843124742006677</v>
      </c>
      <c r="AW456" s="198">
        <f t="shared" si="1900"/>
        <v>0.28073571883577242</v>
      </c>
      <c r="AX456" s="198">
        <f t="shared" si="1900"/>
        <v>0.29999999999999993</v>
      </c>
    </row>
    <row r="457" spans="2:50" ht="10.15" x14ac:dyDescent="0.2">
      <c r="B457" s="30" t="s">
        <v>416</v>
      </c>
      <c r="H457" s="196">
        <f t="shared" ref="H457:AG457" si="1901">IFERROR(H442/H382,"n/a")</f>
        <v>0.87841433362896559</v>
      </c>
      <c r="I457" s="196">
        <f t="shared" si="1901"/>
        <v>1.0846781486914581</v>
      </c>
      <c r="J457" s="196">
        <f t="shared" si="1901"/>
        <v>0.90415215432962348</v>
      </c>
      <c r="K457" s="196">
        <f t="shared" si="1901"/>
        <v>1.03151935948179</v>
      </c>
      <c r="L457" s="196">
        <f t="shared" si="1901"/>
        <v>1.032546393957235</v>
      </c>
      <c r="M457" s="196">
        <f t="shared" si="1901"/>
        <v>0.80868553230668616</v>
      </c>
      <c r="N457" s="196">
        <f t="shared" si="1901"/>
        <v>0.8903105265035105</v>
      </c>
      <c r="O457" s="196">
        <f t="shared" si="1901"/>
        <v>0.83715476516312937</v>
      </c>
      <c r="P457" s="196">
        <f t="shared" si="1901"/>
        <v>1.0800731196584528</v>
      </c>
      <c r="Q457" s="196">
        <f t="shared" si="1901"/>
        <v>0.72695915753837248</v>
      </c>
      <c r="R457" s="196">
        <f t="shared" si="1901"/>
        <v>0.68519960404740909</v>
      </c>
      <c r="S457" s="196">
        <f t="shared" si="1901"/>
        <v>0.54376258983402304</v>
      </c>
      <c r="T457" s="196">
        <f t="shared" si="1901"/>
        <v>0.57282750440190655</v>
      </c>
      <c r="U457" s="196">
        <f t="shared" si="1901"/>
        <v>0.43409865045113682</v>
      </c>
      <c r="V457" s="196">
        <f t="shared" si="1901"/>
        <v>0.449456698991963</v>
      </c>
      <c r="W457" s="196">
        <f t="shared" si="1901"/>
        <v>0.39739237781014769</v>
      </c>
      <c r="X457" s="196">
        <f t="shared" si="1901"/>
        <v>0.45045402585534344</v>
      </c>
      <c r="Y457" s="196">
        <f t="shared" si="1901"/>
        <v>0.34446681964586795</v>
      </c>
      <c r="Z457" s="196">
        <f t="shared" si="1901"/>
        <v>0.37855573791842245</v>
      </c>
      <c r="AA457" s="196">
        <f t="shared" si="1901"/>
        <v>0.43186393540456586</v>
      </c>
      <c r="AB457" s="196">
        <f t="shared" si="1901"/>
        <v>0.41902633176617199</v>
      </c>
      <c r="AC457" s="196">
        <f t="shared" si="1901"/>
        <v>0.31661526724904543</v>
      </c>
      <c r="AD457" s="196">
        <f t="shared" si="1901"/>
        <v>0.30917176492264981</v>
      </c>
      <c r="AE457" s="196">
        <f t="shared" si="1901"/>
        <v>0.29508517429972358</v>
      </c>
      <c r="AF457" s="196">
        <f t="shared" si="1901"/>
        <v>0.26192536223567736</v>
      </c>
      <c r="AG457" s="196">
        <f t="shared" si="1901"/>
        <v>0.26180983709884192</v>
      </c>
      <c r="AH457" s="196">
        <f t="shared" ref="AH457:AM457" si="1902">IFERROR(AH442/AH382,"n/a")</f>
        <v>0.29237638793208076</v>
      </c>
      <c r="AI457" s="196">
        <f t="shared" si="1902"/>
        <v>0.29801212870844601</v>
      </c>
      <c r="AJ457" s="196">
        <f t="shared" si="1902"/>
        <v>0.29927222211361199</v>
      </c>
      <c r="AK457" s="196">
        <f t="shared" si="1902"/>
        <v>0.2824091021821557</v>
      </c>
      <c r="AL457" s="196">
        <f t="shared" si="1902"/>
        <v>0.29806953548733173</v>
      </c>
      <c r="AM457" s="196">
        <f t="shared" si="1902"/>
        <v>0.29642547182674078</v>
      </c>
      <c r="AO457" s="196">
        <f t="shared" ref="AO457:AX457" si="1903">IFERROR(AO442/AO382,"n/a")</f>
        <v>0.33360865500411996</v>
      </c>
      <c r="AP457" s="196">
        <f t="shared" si="1903"/>
        <v>0.76998192739307225</v>
      </c>
      <c r="AQ457" s="196">
        <f t="shared" si="1903"/>
        <v>0.99359892804796346</v>
      </c>
      <c r="AR457" s="196">
        <f t="shared" si="1903"/>
        <v>0.8729840926344159</v>
      </c>
      <c r="AS457" s="196">
        <f t="shared" si="1903"/>
        <v>0.67405941972066274</v>
      </c>
      <c r="AT457" s="196">
        <f t="shared" si="1903"/>
        <v>0.45970760023590851</v>
      </c>
      <c r="AU457" s="196">
        <f t="shared" si="1903"/>
        <v>0.3997089973835225</v>
      </c>
      <c r="AV457" s="196">
        <f t="shared" si="1903"/>
        <v>0.3223834166322736</v>
      </c>
      <c r="AW457" s="196">
        <f t="shared" si="1903"/>
        <v>0.27964638736020919</v>
      </c>
      <c r="AX457" s="196">
        <f t="shared" si="1903"/>
        <v>0.29398959504164657</v>
      </c>
    </row>
    <row r="458" spans="2:50" ht="10.15" x14ac:dyDescent="0.2">
      <c r="B458" s="30"/>
      <c r="H458" s="196"/>
      <c r="I458" s="196"/>
      <c r="J458" s="196"/>
      <c r="K458" s="196"/>
      <c r="L458" s="196"/>
      <c r="M458" s="196"/>
      <c r="N458" s="196"/>
      <c r="O458" s="196"/>
      <c r="P458" s="196"/>
      <c r="Q458" s="196"/>
      <c r="R458" s="196"/>
      <c r="S458" s="196"/>
      <c r="T458" s="196"/>
      <c r="U458" s="196"/>
      <c r="V458" s="196"/>
      <c r="W458" s="196"/>
      <c r="X458" s="196"/>
      <c r="Y458" s="196"/>
      <c r="Z458" s="196"/>
      <c r="AA458" s="196"/>
      <c r="AB458" s="196"/>
      <c r="AC458" s="196"/>
      <c r="AD458" s="196"/>
      <c r="AE458" s="196"/>
      <c r="AF458" s="196"/>
      <c r="AG458" s="196"/>
      <c r="AH458" s="196"/>
      <c r="AI458" s="196"/>
      <c r="AJ458" s="196"/>
      <c r="AK458" s="196"/>
      <c r="AL458" s="196"/>
      <c r="AM458" s="196"/>
      <c r="AO458" s="196"/>
      <c r="AP458" s="196"/>
      <c r="AQ458" s="196"/>
      <c r="AR458" s="196"/>
      <c r="AS458" s="196"/>
      <c r="AT458" s="196"/>
      <c r="AU458" s="196"/>
      <c r="AV458" s="196"/>
      <c r="AW458" s="196"/>
      <c r="AX458" s="196"/>
    </row>
    <row r="459" spans="2:50" ht="10.15" x14ac:dyDescent="0.2">
      <c r="B459" s="24" t="s">
        <v>90</v>
      </c>
    </row>
    <row r="460" spans="2:50" x14ac:dyDescent="0.2">
      <c r="B460" t="s">
        <v>417</v>
      </c>
      <c r="H460" s="10">
        <f>+IFERROR(H462-H461,"n/a")</f>
        <v>65.736999999999995</v>
      </c>
      <c r="I460" s="10">
        <f t="shared" ref="I460:AE460" si="1904">+IFERROR(I462-I461,"n/a")</f>
        <v>169.047</v>
      </c>
      <c r="J460" s="10">
        <f t="shared" si="1904"/>
        <v>298.34500000000003</v>
      </c>
      <c r="K460" s="10">
        <f t="shared" si="1904"/>
        <v>446.83399999999995</v>
      </c>
      <c r="L460" s="10">
        <f t="shared" si="1904"/>
        <v>537.85400000000004</v>
      </c>
      <c r="M460" s="10">
        <f t="shared" si="1904"/>
        <v>610.84799999999996</v>
      </c>
      <c r="N460" s="10">
        <f t="shared" si="1904"/>
        <v>892.452</v>
      </c>
      <c r="O460" s="10">
        <f t="shared" si="1904"/>
        <v>942.83600000000001</v>
      </c>
      <c r="P460" s="10">
        <f t="shared" si="1904"/>
        <v>1124.211</v>
      </c>
      <c r="Q460" s="10">
        <f t="shared" si="1904"/>
        <v>1265.2</v>
      </c>
      <c r="R460" s="10">
        <f t="shared" si="1904"/>
        <v>1424.723</v>
      </c>
      <c r="S460" s="10">
        <f t="shared" si="1904"/>
        <v>1557.299</v>
      </c>
      <c r="T460" s="10">
        <f t="shared" si="1904"/>
        <v>1740.951</v>
      </c>
      <c r="U460" s="10">
        <f t="shared" si="1904"/>
        <v>1752.415</v>
      </c>
      <c r="V460" s="10">
        <f t="shared" si="1904"/>
        <v>1851.4919999999997</v>
      </c>
      <c r="W460" s="10">
        <f t="shared" si="1904"/>
        <v>1304.2659999999996</v>
      </c>
      <c r="X460" s="10">
        <f t="shared" si="1904"/>
        <v>2039.3389999999999</v>
      </c>
      <c r="Y460" s="10">
        <f t="shared" si="1904"/>
        <v>1948.585</v>
      </c>
      <c r="Z460" s="10">
        <f t="shared" si="1904"/>
        <v>2127.8389999999999</v>
      </c>
      <c r="AA460" s="10">
        <f t="shared" si="1904"/>
        <v>1747.3790000000006</v>
      </c>
      <c r="AB460" s="10">
        <f t="shared" si="1904"/>
        <v>1977.4580000000001</v>
      </c>
      <c r="AC460" s="10">
        <f t="shared" si="1904"/>
        <v>2086.7359999999999</v>
      </c>
      <c r="AD460" s="10">
        <f t="shared" si="1904"/>
        <v>2217.9290000000001</v>
      </c>
      <c r="AE460" s="10">
        <f t="shared" si="1904"/>
        <v>2367.2959999999998</v>
      </c>
      <c r="AF460" s="10">
        <f t="shared" ref="AF460:AG460" si="1905">+IFERROR(AF462-AF461,"n/a")</f>
        <v>2272.7349999999997</v>
      </c>
      <c r="AG460" s="10">
        <f t="shared" si="1905"/>
        <v>2407.1120000000001</v>
      </c>
      <c r="AH460" s="58">
        <v>2700</v>
      </c>
      <c r="AI460" s="58">
        <v>3000</v>
      </c>
      <c r="AJ460" s="58">
        <v>3000</v>
      </c>
      <c r="AK460" s="58">
        <v>3000</v>
      </c>
      <c r="AL460" s="58">
        <v>3000</v>
      </c>
      <c r="AM460" s="58">
        <v>3000</v>
      </c>
      <c r="AO460" s="10">
        <f t="shared" ref="AO460:AP460" si="1906">+IFERROR(AO462-AO461,"n/a")</f>
        <v>27.672999999999998</v>
      </c>
      <c r="AP460" s="10">
        <f t="shared" si="1906"/>
        <v>123.28800000000001</v>
      </c>
      <c r="AQ460" s="14">
        <f>+SUM(H460:K460)</f>
        <v>979.96299999999997</v>
      </c>
      <c r="AR460" s="14">
        <f>+SUM(L460:O460)</f>
        <v>2983.99</v>
      </c>
      <c r="AS460" s="14">
        <f>+SUM(P460:S460)</f>
        <v>5371.433</v>
      </c>
      <c r="AT460" s="14">
        <f>+SUM(T460:W460)</f>
        <v>6649.1239999999998</v>
      </c>
      <c r="AU460" s="14">
        <f>+SUM(X460:AA460)</f>
        <v>7863.1420000000007</v>
      </c>
      <c r="AV460" s="14">
        <f>+SUM(AB460:AE460)</f>
        <v>8649.4189999999999</v>
      </c>
      <c r="AW460" s="14">
        <f>+SUM(AF460:AI460)</f>
        <v>10379.847</v>
      </c>
      <c r="AX460" s="10">
        <f t="shared" ref="AX460:AX462" si="1907">+SUM(AJ460:AM460)</f>
        <v>12000</v>
      </c>
    </row>
    <row r="461" spans="2:50" ht="13.5" x14ac:dyDescent="0.35">
      <c r="B461" t="s">
        <v>418</v>
      </c>
      <c r="H461" s="13">
        <v>0</v>
      </c>
      <c r="I461" s="13">
        <v>0</v>
      </c>
      <c r="J461" s="13">
        <v>0</v>
      </c>
      <c r="K461" s="13">
        <v>0</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54">
        <v>0</v>
      </c>
      <c r="AI461" s="54">
        <v>0</v>
      </c>
      <c r="AJ461" s="54">
        <v>0</v>
      </c>
      <c r="AK461" s="54">
        <v>0</v>
      </c>
      <c r="AL461" s="54">
        <v>0</v>
      </c>
      <c r="AM461" s="54">
        <v>0</v>
      </c>
      <c r="AO461" s="13">
        <v>0</v>
      </c>
      <c r="AP461" s="13">
        <v>0</v>
      </c>
      <c r="AQ461" s="15">
        <f>+SUM(H461:K461)</f>
        <v>0</v>
      </c>
      <c r="AR461" s="15">
        <f>+SUM(L461:O461)</f>
        <v>0</v>
      </c>
      <c r="AS461" s="15">
        <f>+SUM(P461:S461)</f>
        <v>0</v>
      </c>
      <c r="AT461" s="15">
        <f>+SUM(T461:W461)</f>
        <v>0</v>
      </c>
      <c r="AU461" s="15">
        <f>+SUM(X461:AA461)</f>
        <v>0</v>
      </c>
      <c r="AV461" s="15">
        <f>+SUM(AB461:AE461)</f>
        <v>0</v>
      </c>
      <c r="AW461" s="15">
        <f>+SUM(AF461:AI461)</f>
        <v>0</v>
      </c>
      <c r="AX461" s="25">
        <f t="shared" si="1907"/>
        <v>0</v>
      </c>
    </row>
    <row r="462" spans="2:50" x14ac:dyDescent="0.2">
      <c r="B462" s="4" t="s">
        <v>419</v>
      </c>
      <c r="H462" s="10">
        <f t="shared" ref="H462:AG462" si="1908">+H45</f>
        <v>65.736999999999995</v>
      </c>
      <c r="I462" s="10">
        <f t="shared" si="1908"/>
        <v>169.047</v>
      </c>
      <c r="J462" s="10">
        <f t="shared" si="1908"/>
        <v>298.34500000000003</v>
      </c>
      <c r="K462" s="10">
        <f t="shared" si="1908"/>
        <v>446.83399999999995</v>
      </c>
      <c r="L462" s="10">
        <f t="shared" si="1908"/>
        <v>537.85400000000004</v>
      </c>
      <c r="M462" s="10">
        <f t="shared" si="1908"/>
        <v>610.84799999999996</v>
      </c>
      <c r="N462" s="10">
        <f t="shared" si="1908"/>
        <v>892.452</v>
      </c>
      <c r="O462" s="10">
        <f t="shared" si="1908"/>
        <v>942.83600000000001</v>
      </c>
      <c r="P462" s="10">
        <f t="shared" si="1908"/>
        <v>1124.211</v>
      </c>
      <c r="Q462" s="10">
        <f t="shared" si="1908"/>
        <v>1265.2</v>
      </c>
      <c r="R462" s="10">
        <f t="shared" si="1908"/>
        <v>1424.723</v>
      </c>
      <c r="S462" s="10">
        <f t="shared" si="1908"/>
        <v>1557.299</v>
      </c>
      <c r="T462" s="10">
        <f t="shared" si="1908"/>
        <v>1740.951</v>
      </c>
      <c r="U462" s="10">
        <f t="shared" si="1908"/>
        <v>1752.415</v>
      </c>
      <c r="V462" s="10">
        <f t="shared" si="1908"/>
        <v>1851.4919999999997</v>
      </c>
      <c r="W462" s="10">
        <f t="shared" si="1908"/>
        <v>1304.2659999999996</v>
      </c>
      <c r="X462" s="10">
        <f t="shared" si="1908"/>
        <v>2039.3389999999999</v>
      </c>
      <c r="Y462" s="10">
        <f t="shared" si="1908"/>
        <v>1948.585</v>
      </c>
      <c r="Z462" s="10">
        <f t="shared" si="1908"/>
        <v>2127.8389999999999</v>
      </c>
      <c r="AA462" s="10">
        <f t="shared" si="1908"/>
        <v>1747.3790000000006</v>
      </c>
      <c r="AB462" s="10">
        <f t="shared" si="1908"/>
        <v>1977.4580000000001</v>
      </c>
      <c r="AC462" s="10">
        <f t="shared" si="1908"/>
        <v>2086.7359999999999</v>
      </c>
      <c r="AD462" s="10">
        <f t="shared" si="1908"/>
        <v>2217.9290000000001</v>
      </c>
      <c r="AE462" s="10">
        <f t="shared" si="1908"/>
        <v>2367.2959999999998</v>
      </c>
      <c r="AF462" s="10">
        <f t="shared" si="1908"/>
        <v>2272.7349999999997</v>
      </c>
      <c r="AG462" s="10">
        <f t="shared" si="1908"/>
        <v>2407.1120000000001</v>
      </c>
      <c r="AH462" s="10">
        <f t="shared" ref="AH462" si="1909">IFERROR(AH460+AH461,"n/a")</f>
        <v>2700</v>
      </c>
      <c r="AI462" s="10">
        <f t="shared" ref="AI462:AM462" si="1910">IFERROR(AI460+AI461,"n/a")</f>
        <v>3000</v>
      </c>
      <c r="AJ462" s="10">
        <f t="shared" si="1910"/>
        <v>3000</v>
      </c>
      <c r="AK462" s="10">
        <f t="shared" si="1910"/>
        <v>3000</v>
      </c>
      <c r="AL462" s="10">
        <f t="shared" si="1910"/>
        <v>3000</v>
      </c>
      <c r="AM462" s="10">
        <f t="shared" si="1910"/>
        <v>3000</v>
      </c>
      <c r="AO462" s="10">
        <f>+AO45</f>
        <v>27.672999999999998</v>
      </c>
      <c r="AP462" s="10">
        <f>+AP45</f>
        <v>123.28800000000001</v>
      </c>
      <c r="AQ462" s="14">
        <f>+SUM(H462:K462)</f>
        <v>979.96299999999997</v>
      </c>
      <c r="AR462" s="14">
        <f>+SUM(L462:O462)</f>
        <v>2983.99</v>
      </c>
      <c r="AS462" s="14">
        <f>+SUM(P462:S462)</f>
        <v>5371.433</v>
      </c>
      <c r="AT462" s="14">
        <f>+SUM(T462:W462)</f>
        <v>6649.1239999999998</v>
      </c>
      <c r="AU462" s="14">
        <f>+SUM(X462:AA462)</f>
        <v>7863.1420000000007</v>
      </c>
      <c r="AV462" s="14">
        <f>+SUM(AB462:AE462)</f>
        <v>8649.4189999999999</v>
      </c>
      <c r="AW462" s="14">
        <f>+SUM(AF462:AI462)</f>
        <v>10379.847</v>
      </c>
      <c r="AX462" s="10">
        <f t="shared" si="1907"/>
        <v>12000</v>
      </c>
    </row>
    <row r="463" spans="2:50" x14ac:dyDescent="0.2">
      <c r="B463" s="30" t="s">
        <v>86</v>
      </c>
      <c r="H463" s="10"/>
      <c r="I463" s="10"/>
      <c r="J463" s="10"/>
      <c r="K463" s="10"/>
      <c r="L463" s="173">
        <f>+IFERROR(L462/H462-1,"n/a")</f>
        <v>7.1819066887749674</v>
      </c>
      <c r="M463" s="173">
        <f t="shared" ref="M463" si="1911">+IFERROR(M462/I462-1,"n/a")</f>
        <v>2.6134802747164989</v>
      </c>
      <c r="N463" s="173">
        <f t="shared" ref="N463" si="1912">+IFERROR(N462/J462-1,"n/a")</f>
        <v>1.9913422380130381</v>
      </c>
      <c r="O463" s="173">
        <f t="shared" ref="O463" si="1913">+IFERROR(O462/K462-1,"n/a")</f>
        <v>1.1100363893526457</v>
      </c>
      <c r="P463" s="173">
        <f t="shared" ref="P463" si="1914">+IFERROR(P462/L462-1,"n/a")</f>
        <v>1.0901787473924149</v>
      </c>
      <c r="Q463" s="173">
        <f t="shared" ref="Q463" si="1915">+IFERROR(Q462/M462-1,"n/a")</f>
        <v>1.0712190266645716</v>
      </c>
      <c r="R463" s="173">
        <f t="shared" ref="R463" si="1916">+IFERROR(R462/N462-1,"n/a")</f>
        <v>0.59641414888419764</v>
      </c>
      <c r="S463" s="173">
        <f t="shared" ref="S463" si="1917">+IFERROR(S462/O462-1,"n/a")</f>
        <v>0.65171779609603364</v>
      </c>
      <c r="T463" s="173">
        <f t="shared" ref="T463" si="1918">+IFERROR(T462/P462-1,"n/a")</f>
        <v>0.54859808345586369</v>
      </c>
      <c r="U463" s="173">
        <f t="shared" ref="U463" si="1919">+IFERROR(U462/Q462-1,"n/a")</f>
        <v>0.3850893139424596</v>
      </c>
      <c r="V463" s="173">
        <f t="shared" ref="V463" si="1920">+IFERROR(V462/R462-1,"n/a")</f>
        <v>0.29954524493533108</v>
      </c>
      <c r="W463" s="173">
        <f t="shared" ref="W463" si="1921">+IFERROR(W462/S462-1,"n/a")</f>
        <v>-0.16248196396453107</v>
      </c>
      <c r="X463" s="173">
        <f t="shared" ref="X463" si="1922">+IFERROR(X462/T462-1,"n/a")</f>
        <v>0.17139368081008599</v>
      </c>
      <c r="Y463" s="173">
        <f t="shared" ref="Y463" si="1923">+IFERROR(Y462/U462-1,"n/a")</f>
        <v>0.11194266198360547</v>
      </c>
      <c r="Z463" s="173">
        <f t="shared" ref="Z463" si="1924">+IFERROR(Z462/V462-1,"n/a")</f>
        <v>0.1492563835004419</v>
      </c>
      <c r="AA463" s="173">
        <f t="shared" ref="AA463" si="1925">+IFERROR(AA462/W462-1,"n/a")</f>
        <v>0.33974127976961843</v>
      </c>
      <c r="AB463" s="173">
        <f t="shared" ref="AB463" si="1926">+IFERROR(AB462/X462-1,"n/a")</f>
        <v>-3.0343655468757169E-2</v>
      </c>
      <c r="AC463" s="173">
        <f t="shared" ref="AC463" si="1927">+IFERROR(AC462/Y462-1,"n/a")</f>
        <v>7.0898113246278704E-2</v>
      </c>
      <c r="AD463" s="173">
        <f t="shared" ref="AD463" si="1928">+IFERROR(AD462/Z462-1,"n/a")</f>
        <v>4.2338729574935119E-2</v>
      </c>
      <c r="AE463" s="173">
        <f t="shared" ref="AE463:AG463" si="1929">+IFERROR(AE462/AA462-1,"n/a")</f>
        <v>0.35476962925615974</v>
      </c>
      <c r="AF463" s="173">
        <f t="shared" si="1929"/>
        <v>0.14932150265644051</v>
      </c>
      <c r="AG463" s="173">
        <f t="shared" si="1929"/>
        <v>0.15352972297406109</v>
      </c>
      <c r="AH463" s="173">
        <f t="shared" ref="AH463" si="1930">+IFERROR(AH462/AD462-1,"n/a")</f>
        <v>0.2173518629315907</v>
      </c>
      <c r="AI463" s="173">
        <f t="shared" ref="AI463" si="1931">+IFERROR(AI462/AE462-1,"n/a")</f>
        <v>0.2672686474357242</v>
      </c>
      <c r="AJ463" s="173">
        <f t="shared" ref="AJ463" si="1932">+IFERROR(AJ462/AF462-1,"n/a")</f>
        <v>0.31999551201525933</v>
      </c>
      <c r="AK463" s="173">
        <f t="shared" ref="AK463" si="1933">+IFERROR(AK462/AG462-1,"n/a")</f>
        <v>0.24630677758243058</v>
      </c>
      <c r="AL463" s="173">
        <f t="shared" ref="AL463" si="1934">+IFERROR(AL462/AH462-1,"n/a")</f>
        <v>0.11111111111111116</v>
      </c>
      <c r="AM463" s="173">
        <f t="shared" ref="AM463" si="1935">+IFERROR(AM462/AI462-1,"n/a")</f>
        <v>0</v>
      </c>
      <c r="AP463" s="173">
        <f>+IFERROR(AP462/AO462-1,"n/a")</f>
        <v>3.4551729122249126</v>
      </c>
      <c r="AQ463" s="173">
        <f t="shared" ref="AQ463" si="1936">+IFERROR(AQ462/AP462-1,"n/a")</f>
        <v>6.9485675815975592</v>
      </c>
      <c r="AR463" s="173">
        <f t="shared" ref="AR463" si="1937">+IFERROR(AR462/AQ462-1,"n/a")</f>
        <v>2.0450027194904297</v>
      </c>
      <c r="AS463" s="173">
        <f t="shared" ref="AS463" si="1938">+IFERROR(AS462/AR462-1,"n/a")</f>
        <v>0.80008411556338999</v>
      </c>
      <c r="AT463" s="173">
        <f t="shared" ref="AT463" si="1939">+IFERROR(AT462/AS462-1,"n/a")</f>
        <v>0.23786780920473172</v>
      </c>
      <c r="AU463" s="173">
        <f t="shared" ref="AU463" si="1940">+IFERROR(AU462/AT462-1,"n/a")</f>
        <v>0.18258314929906572</v>
      </c>
      <c r="AV463" s="173">
        <f t="shared" ref="AV463" si="1941">+IFERROR(AV462/AU462-1,"n/a")</f>
        <v>9.9995269066741832E-2</v>
      </c>
      <c r="AW463" s="173">
        <f t="shared" ref="AW463:AX463" si="1942">+IFERROR(AW462/AV462-1,"n/a")</f>
        <v>0.2000629175208184</v>
      </c>
      <c r="AX463" s="173">
        <f t="shared" si="1942"/>
        <v>0.15608640474180402</v>
      </c>
    </row>
    <row r="464" spans="2:50" x14ac:dyDescent="0.2">
      <c r="B464" s="30" t="s">
        <v>95</v>
      </c>
      <c r="H464" s="196">
        <f t="shared" ref="H464:AM464" si="1943">+IFERROR(H462/H382,"n/a")</f>
        <v>4.7477112589592405E-2</v>
      </c>
      <c r="I464" s="196">
        <f t="shared" si="1943"/>
        <v>6.2400933760445552E-2</v>
      </c>
      <c r="J464" s="196">
        <f t="shared" si="1943"/>
        <v>8.8466198436848581E-2</v>
      </c>
      <c r="K464" s="196">
        <f t="shared" si="1943"/>
        <v>7.9030803750034045E-2</v>
      </c>
      <c r="L464" s="196">
        <f t="shared" si="1943"/>
        <v>0.1183344025922709</v>
      </c>
      <c r="M464" s="196">
        <f t="shared" si="1943"/>
        <v>8.3792500639231118E-2</v>
      </c>
      <c r="N464" s="196">
        <f t="shared" si="1943"/>
        <v>0.11877271442389539</v>
      </c>
      <c r="O464" s="196">
        <f t="shared" si="1943"/>
        <v>8.7358467175021395E-2</v>
      </c>
      <c r="P464" s="196">
        <f t="shared" si="1943"/>
        <v>0.17186987611639032</v>
      </c>
      <c r="Q464" s="196">
        <f t="shared" si="1943"/>
        <v>0.10376177438211019</v>
      </c>
      <c r="R464" s="196">
        <f t="shared" si="1943"/>
        <v>0.10026353676643315</v>
      </c>
      <c r="S464" s="196">
        <f t="shared" si="1943"/>
        <v>5.8660391373131303E-2</v>
      </c>
      <c r="T464" s="196">
        <f t="shared" si="1943"/>
        <v>7.8537611078472638E-2</v>
      </c>
      <c r="U464" s="196">
        <f t="shared" si="1943"/>
        <v>7.6039150888952717E-2</v>
      </c>
      <c r="V464" s="196">
        <f t="shared" si="1943"/>
        <v>8.6092850110189079E-2</v>
      </c>
      <c r="W464" s="196">
        <f t="shared" si="1943"/>
        <v>4.7896610838099769E-2</v>
      </c>
      <c r="X464" s="196">
        <f t="shared" si="1943"/>
        <v>8.5709239958545319E-2</v>
      </c>
      <c r="Y464" s="196">
        <f t="shared" si="1943"/>
        <v>6.1978746018393129E-2</v>
      </c>
      <c r="Z464" s="196">
        <f t="shared" si="1943"/>
        <v>5.9931860655541923E-2</v>
      </c>
      <c r="AA464" s="196">
        <f t="shared" si="1943"/>
        <v>4.3881912890669013E-2</v>
      </c>
      <c r="AB464" s="196">
        <f t="shared" si="1943"/>
        <v>5.2540196428784942E-2</v>
      </c>
      <c r="AC464" s="196">
        <f t="shared" si="1943"/>
        <v>3.9914042545833507E-2</v>
      </c>
      <c r="AD464" s="196">
        <f t="shared" si="1943"/>
        <v>3.2218434732142857E-2</v>
      </c>
      <c r="AE464" s="196">
        <f t="shared" si="1943"/>
        <v>2.6634433018985063E-2</v>
      </c>
      <c r="AF464" s="196">
        <f t="shared" si="1943"/>
        <v>2.6179945806837728E-2</v>
      </c>
      <c r="AG464" s="196">
        <f t="shared" si="1943"/>
        <v>2.4800367106657461E-2</v>
      </c>
      <c r="AH464" s="196">
        <f t="shared" si="1943"/>
        <v>2.7656800066573339E-2</v>
      </c>
      <c r="AI464" s="196">
        <f t="shared" si="1943"/>
        <v>2.7183841252268394E-2</v>
      </c>
      <c r="AJ464" s="196">
        <f t="shared" si="1943"/>
        <v>3.1198157588568198E-2</v>
      </c>
      <c r="AK464" s="196">
        <f t="shared" si="1943"/>
        <v>2.6506203712517742E-2</v>
      </c>
      <c r="AL464" s="196">
        <f t="shared" si="1943"/>
        <v>2.577381014999559E-2</v>
      </c>
      <c r="AM464" s="196">
        <f t="shared" si="1943"/>
        <v>2.2291342530988072E-2</v>
      </c>
      <c r="AO464" s="196">
        <f t="shared" ref="AO464:AX464" si="1944">+IFERROR(AO462/AO382,"n/a")</f>
        <v>5.4812781263865115E-2</v>
      </c>
      <c r="AP464" s="196">
        <f t="shared" si="1944"/>
        <v>7.0689580041236738E-2</v>
      </c>
      <c r="AQ464" s="196">
        <f t="shared" si="1944"/>
        <v>7.4692358759419791E-2</v>
      </c>
      <c r="AR464" s="196">
        <f t="shared" si="1944"/>
        <v>9.8998118432270632E-2</v>
      </c>
      <c r="AS464" s="196">
        <f t="shared" si="1944"/>
        <v>9.0288529364476983E-2</v>
      </c>
      <c r="AT464" s="196">
        <f t="shared" si="1944"/>
        <v>7.0773052870209935E-2</v>
      </c>
      <c r="AU464" s="196">
        <f t="shared" si="1944"/>
        <v>6.0227383641405952E-2</v>
      </c>
      <c r="AV464" s="196">
        <f t="shared" si="1944"/>
        <v>3.4927502694898409E-2</v>
      </c>
      <c r="AW464" s="196">
        <f t="shared" si="1944"/>
        <v>2.6488902000618066E-2</v>
      </c>
      <c r="AX464" s="196">
        <f t="shared" si="1944"/>
        <v>2.606886712425353E-2</v>
      </c>
    </row>
    <row r="465" spans="2:52" x14ac:dyDescent="0.2">
      <c r="B465" s="30"/>
    </row>
    <row r="466" spans="2:52" x14ac:dyDescent="0.2">
      <c r="B466" s="24" t="s">
        <v>91</v>
      </c>
    </row>
    <row r="467" spans="2:52" x14ac:dyDescent="0.2">
      <c r="B467" t="s">
        <v>420</v>
      </c>
      <c r="H467" s="10">
        <f>+IFERROR(H469-H468,"n/a")</f>
        <v>23.733999999999998</v>
      </c>
      <c r="I467" s="10">
        <f t="shared" ref="I467:AE467" si="1945">+IFERROR(I469-I468,"n/a")</f>
        <v>29.966999999999643</v>
      </c>
      <c r="J467" s="10">
        <f t="shared" si="1945"/>
        <v>40.787000000000035</v>
      </c>
      <c r="K467" s="10">
        <f t="shared" si="1945"/>
        <v>65.937999999999477</v>
      </c>
      <c r="L467" s="10">
        <f t="shared" si="1945"/>
        <v>67.072000000000003</v>
      </c>
      <c r="M467" s="10">
        <f t="shared" si="1945"/>
        <v>91.296000000000021</v>
      </c>
      <c r="N467" s="10">
        <f t="shared" si="1945"/>
        <v>230.54400000000001</v>
      </c>
      <c r="O467" s="10">
        <f t="shared" si="1945"/>
        <v>121.15900000000002</v>
      </c>
      <c r="P467" s="10">
        <f t="shared" si="1945"/>
        <v>118.08600000000001</v>
      </c>
      <c r="Q467" s="10">
        <f t="shared" si="1945"/>
        <v>136.52600000000001</v>
      </c>
      <c r="R467" s="10">
        <f t="shared" si="1945"/>
        <v>132.6</v>
      </c>
      <c r="S467" s="10">
        <f t="shared" si="1945"/>
        <v>153.1</v>
      </c>
      <c r="T467" s="10">
        <f t="shared" si="1945"/>
        <v>160.68500000000003</v>
      </c>
      <c r="U467" s="10">
        <f t="shared" si="1945"/>
        <v>213.786</v>
      </c>
      <c r="V467" s="10">
        <f t="shared" si="1945"/>
        <v>178.07499999999999</v>
      </c>
      <c r="W467" s="10">
        <f t="shared" si="1945"/>
        <v>195.80699999999968</v>
      </c>
      <c r="X467" s="10">
        <f t="shared" si="1945"/>
        <v>208.81700000000006</v>
      </c>
      <c r="Y467" s="10">
        <f t="shared" si="1945"/>
        <v>164.70299999999997</v>
      </c>
      <c r="Z467" s="10">
        <f t="shared" si="1945"/>
        <v>226.32100000000003</v>
      </c>
      <c r="AA467" s="10">
        <f t="shared" si="1945"/>
        <v>360.76699999999983</v>
      </c>
      <c r="AB467" s="10">
        <f t="shared" si="1945"/>
        <v>338.34000000000003</v>
      </c>
      <c r="AC467" s="10">
        <f t="shared" si="1945"/>
        <v>370.23400000000004</v>
      </c>
      <c r="AD467" s="10">
        <f t="shared" si="1945"/>
        <v>403.29200000000003</v>
      </c>
      <c r="AE467" s="10">
        <f t="shared" si="1945"/>
        <v>674.48400000000015</v>
      </c>
      <c r="AF467" s="10">
        <f t="shared" ref="AF467:AG467" si="1946">+IFERROR(AF469-AF468,"n/a")</f>
        <v>571.67699999999991</v>
      </c>
      <c r="AG467" s="10">
        <f t="shared" si="1946"/>
        <v>593.58899999999994</v>
      </c>
      <c r="AH467" s="58">
        <v>800</v>
      </c>
      <c r="AI467" s="58">
        <v>900</v>
      </c>
      <c r="AJ467" s="58">
        <v>900</v>
      </c>
      <c r="AK467" s="58">
        <v>900</v>
      </c>
      <c r="AL467" s="58">
        <v>1100</v>
      </c>
      <c r="AM467" s="58">
        <v>1200</v>
      </c>
      <c r="AO467" s="10">
        <f t="shared" ref="AO467:AP467" si="1947">+IFERROR(AO469-AO468,"n/a")</f>
        <v>13.315999999999999</v>
      </c>
      <c r="AP467" s="10">
        <f t="shared" si="1947"/>
        <v>25.065999999999988</v>
      </c>
      <c r="AQ467" s="14">
        <f>+SUM(H467:K467)</f>
        <v>160.42599999999914</v>
      </c>
      <c r="AR467" s="14">
        <f>+SUM(L467:O467)</f>
        <v>510.07100000000003</v>
      </c>
      <c r="AS467" s="14">
        <f>+SUM(P467:S467)</f>
        <v>540.31200000000001</v>
      </c>
      <c r="AT467" s="14">
        <f>+SUM(T467:W467)</f>
        <v>748.35299999999972</v>
      </c>
      <c r="AU467" s="14">
        <f>+SUM(X467:AA467)</f>
        <v>960.60799999999995</v>
      </c>
      <c r="AV467" s="14">
        <f>+SUM(AB467:AE467)</f>
        <v>1786.3500000000001</v>
      </c>
      <c r="AW467" s="14">
        <f>+SUM(AF467:AI467)</f>
        <v>2865.2659999999996</v>
      </c>
      <c r="AX467" s="10">
        <f t="shared" ref="AX467:AX469" si="1948">+SUM(AJ467:AM467)</f>
        <v>4100</v>
      </c>
    </row>
    <row r="468" spans="2:52" ht="13.5" x14ac:dyDescent="0.35">
      <c r="B468" t="s">
        <v>421</v>
      </c>
      <c r="H468" s="13">
        <v>0</v>
      </c>
      <c r="I468" s="13">
        <v>0</v>
      </c>
      <c r="J468" s="13">
        <v>0</v>
      </c>
      <c r="K468" s="13">
        <v>0</v>
      </c>
      <c r="L468" s="13">
        <v>0</v>
      </c>
      <c r="M468" s="13">
        <v>0</v>
      </c>
      <c r="N468" s="13">
        <v>0</v>
      </c>
      <c r="O468" s="13">
        <v>0</v>
      </c>
      <c r="P468" s="13">
        <v>0</v>
      </c>
      <c r="Q468" s="13">
        <v>0</v>
      </c>
      <c r="R468" s="13">
        <v>0</v>
      </c>
      <c r="S468" s="13">
        <v>0</v>
      </c>
      <c r="T468" s="13">
        <v>0</v>
      </c>
      <c r="U468" s="13">
        <v>0</v>
      </c>
      <c r="V468" s="13">
        <v>0</v>
      </c>
      <c r="W468" s="13">
        <v>0</v>
      </c>
      <c r="X468" s="13">
        <v>0</v>
      </c>
      <c r="Y468" s="13">
        <v>0</v>
      </c>
      <c r="Z468" s="13">
        <v>0</v>
      </c>
      <c r="AA468" s="13">
        <v>0</v>
      </c>
      <c r="AB468" s="13">
        <v>0</v>
      </c>
      <c r="AC468" s="13">
        <v>0</v>
      </c>
      <c r="AD468" s="13">
        <v>0</v>
      </c>
      <c r="AE468" s="13">
        <v>0</v>
      </c>
      <c r="AF468" s="13">
        <v>0</v>
      </c>
      <c r="AG468" s="13">
        <v>0</v>
      </c>
      <c r="AH468" s="54">
        <v>0</v>
      </c>
      <c r="AI468" s="54">
        <v>0</v>
      </c>
      <c r="AJ468" s="54">
        <v>0</v>
      </c>
      <c r="AK468" s="54">
        <v>0</v>
      </c>
      <c r="AL468" s="54">
        <v>0</v>
      </c>
      <c r="AM468" s="54">
        <v>0</v>
      </c>
      <c r="AO468" s="13">
        <v>0</v>
      </c>
      <c r="AP468" s="13">
        <v>0</v>
      </c>
      <c r="AQ468" s="15">
        <f>+SUM(H468:K468)</f>
        <v>0</v>
      </c>
      <c r="AR468" s="15">
        <f>+SUM(L468:O468)</f>
        <v>0</v>
      </c>
      <c r="AS468" s="15">
        <f>+SUM(P468:S468)</f>
        <v>0</v>
      </c>
      <c r="AT468" s="15">
        <f>+SUM(T468:W468)</f>
        <v>0</v>
      </c>
      <c r="AU468" s="15">
        <f>+SUM(X468:AA468)</f>
        <v>0</v>
      </c>
      <c r="AV468" s="15">
        <f>+SUM(AB468:AE468)</f>
        <v>0</v>
      </c>
      <c r="AW468" s="15">
        <f>+SUM(AF468:AI468)</f>
        <v>0</v>
      </c>
      <c r="AX468" s="25">
        <f t="shared" si="1948"/>
        <v>0</v>
      </c>
    </row>
    <row r="469" spans="2:52" x14ac:dyDescent="0.2">
      <c r="B469" s="4" t="s">
        <v>422</v>
      </c>
      <c r="H469" s="10">
        <f t="shared" ref="H469:AG469" si="1949">+H46</f>
        <v>23.733999999999998</v>
      </c>
      <c r="I469" s="10">
        <f t="shared" si="1949"/>
        <v>29.966999999999643</v>
      </c>
      <c r="J469" s="10">
        <f t="shared" si="1949"/>
        <v>40.787000000000035</v>
      </c>
      <c r="K469" s="10">
        <f t="shared" si="1949"/>
        <v>65.937999999999477</v>
      </c>
      <c r="L469" s="10">
        <f t="shared" si="1949"/>
        <v>67.072000000000003</v>
      </c>
      <c r="M469" s="10">
        <f t="shared" si="1949"/>
        <v>91.296000000000021</v>
      </c>
      <c r="N469" s="10">
        <f t="shared" si="1949"/>
        <v>230.54400000000001</v>
      </c>
      <c r="O469" s="10">
        <f t="shared" si="1949"/>
        <v>121.15900000000002</v>
      </c>
      <c r="P469" s="10">
        <f t="shared" si="1949"/>
        <v>118.08600000000001</v>
      </c>
      <c r="Q469" s="10">
        <f t="shared" si="1949"/>
        <v>136.52600000000001</v>
      </c>
      <c r="R469" s="10">
        <f t="shared" si="1949"/>
        <v>132.6</v>
      </c>
      <c r="S469" s="10">
        <f t="shared" si="1949"/>
        <v>153.1</v>
      </c>
      <c r="T469" s="10">
        <f t="shared" si="1949"/>
        <v>160.68500000000003</v>
      </c>
      <c r="U469" s="10">
        <f t="shared" si="1949"/>
        <v>213.786</v>
      </c>
      <c r="V469" s="10">
        <f t="shared" si="1949"/>
        <v>178.07499999999999</v>
      </c>
      <c r="W469" s="10">
        <f t="shared" si="1949"/>
        <v>195.80699999999968</v>
      </c>
      <c r="X469" s="10">
        <f t="shared" si="1949"/>
        <v>208.81700000000006</v>
      </c>
      <c r="Y469" s="10">
        <f t="shared" si="1949"/>
        <v>164.70299999999997</v>
      </c>
      <c r="Z469" s="10">
        <f t="shared" si="1949"/>
        <v>226.32100000000003</v>
      </c>
      <c r="AA469" s="10">
        <f t="shared" si="1949"/>
        <v>360.76699999999983</v>
      </c>
      <c r="AB469" s="10">
        <f t="shared" si="1949"/>
        <v>338.34000000000003</v>
      </c>
      <c r="AC469" s="10">
        <f t="shared" si="1949"/>
        <v>370.23400000000004</v>
      </c>
      <c r="AD469" s="10">
        <f t="shared" si="1949"/>
        <v>403.29200000000003</v>
      </c>
      <c r="AE469" s="10">
        <f t="shared" si="1949"/>
        <v>674.48400000000015</v>
      </c>
      <c r="AF469" s="10">
        <f t="shared" si="1949"/>
        <v>571.67699999999991</v>
      </c>
      <c r="AG469" s="10">
        <f t="shared" si="1949"/>
        <v>593.58899999999994</v>
      </c>
      <c r="AH469" s="10">
        <f t="shared" ref="AH469" si="1950">IFERROR(AH467+AH468,"n/a")</f>
        <v>800</v>
      </c>
      <c r="AI469" s="10">
        <f t="shared" ref="AI469:AM469" si="1951">IFERROR(AI467+AI468,"n/a")</f>
        <v>900</v>
      </c>
      <c r="AJ469" s="10">
        <f t="shared" si="1951"/>
        <v>900</v>
      </c>
      <c r="AK469" s="10">
        <f t="shared" si="1951"/>
        <v>900</v>
      </c>
      <c r="AL469" s="10">
        <f t="shared" si="1951"/>
        <v>1100</v>
      </c>
      <c r="AM469" s="10">
        <f t="shared" si="1951"/>
        <v>1200</v>
      </c>
      <c r="AO469" s="10">
        <f>+AO46</f>
        <v>13.315999999999999</v>
      </c>
      <c r="AP469" s="10">
        <f>+AP46</f>
        <v>25.065999999999988</v>
      </c>
      <c r="AQ469" s="14">
        <f>+SUM(H469:K469)</f>
        <v>160.42599999999914</v>
      </c>
      <c r="AR469" s="14">
        <f>+SUM(L469:O469)</f>
        <v>510.07100000000003</v>
      </c>
      <c r="AS469" s="14">
        <f>+SUM(P469:S469)</f>
        <v>540.31200000000001</v>
      </c>
      <c r="AT469" s="14">
        <f>+SUM(T469:W469)</f>
        <v>748.35299999999972</v>
      </c>
      <c r="AU469" s="14">
        <f>+SUM(X469:AA469)</f>
        <v>960.60799999999995</v>
      </c>
      <c r="AV469" s="14">
        <f>+SUM(AB469:AE469)</f>
        <v>1786.3500000000001</v>
      </c>
      <c r="AW469" s="14">
        <f>+SUM(AF469:AI469)</f>
        <v>2865.2659999999996</v>
      </c>
      <c r="AX469" s="10">
        <f t="shared" si="1948"/>
        <v>4100</v>
      </c>
    </row>
    <row r="470" spans="2:52" x14ac:dyDescent="0.2">
      <c r="B470" s="30" t="s">
        <v>86</v>
      </c>
      <c r="L470" s="173">
        <f>+IFERROR(L469/H469-1,"n/a")</f>
        <v>1.8259880340439878</v>
      </c>
      <c r="M470" s="173">
        <f t="shared" ref="M470" si="1952">+IFERROR(M469/I469-1,"n/a")</f>
        <v>2.0465512063269964</v>
      </c>
      <c r="N470" s="173">
        <f t="shared" ref="N470" si="1953">+IFERROR(N469/J469-1,"n/a")</f>
        <v>4.6523892416701358</v>
      </c>
      <c r="O470" s="173">
        <f t="shared" ref="O470" si="1954">+IFERROR(O469/K469-1,"n/a")</f>
        <v>0.83746853104432928</v>
      </c>
      <c r="P470" s="173">
        <f t="shared" ref="P470" si="1955">+IFERROR(P469/L469-1,"n/a")</f>
        <v>0.76058563931297729</v>
      </c>
      <c r="Q470" s="173">
        <f t="shared" ref="Q470" si="1956">+IFERROR(Q469/M469-1,"n/a")</f>
        <v>0.49542148615492443</v>
      </c>
      <c r="R470" s="173">
        <f t="shared" ref="R470" si="1957">+IFERROR(R469/N469-1,"n/a")</f>
        <v>-0.42483864251509473</v>
      </c>
      <c r="S470" s="173">
        <f t="shared" ref="S470" si="1958">+IFERROR(S469/O469-1,"n/a")</f>
        <v>0.2636287853151642</v>
      </c>
      <c r="T470" s="173">
        <f t="shared" ref="T470" si="1959">+IFERROR(T469/P469-1,"n/a")</f>
        <v>0.36074555832190103</v>
      </c>
      <c r="U470" s="173">
        <f t="shared" ref="U470" si="1960">+IFERROR(U469/Q469-1,"n/a")</f>
        <v>0.56589953561958883</v>
      </c>
      <c r="V470" s="173">
        <f t="shared" ref="V470" si="1961">+IFERROR(V469/R469-1,"n/a")</f>
        <v>0.34294871794871784</v>
      </c>
      <c r="W470" s="173">
        <f t="shared" ref="W470" si="1962">+IFERROR(W469/S469-1,"n/a")</f>
        <v>0.27894839973873076</v>
      </c>
      <c r="X470" s="173">
        <f t="shared" ref="X470" si="1963">+IFERROR(X469/T469-1,"n/a")</f>
        <v>0.29954258331518213</v>
      </c>
      <c r="Y470" s="173">
        <f t="shared" ref="Y470" si="1964">+IFERROR(Y469/U469-1,"n/a")</f>
        <v>-0.22958940248659887</v>
      </c>
      <c r="Z470" s="173">
        <f t="shared" ref="Z470" si="1965">+IFERROR(Z469/V469-1,"n/a")</f>
        <v>0.27093078758949907</v>
      </c>
      <c r="AA470" s="173">
        <f t="shared" ref="AA470" si="1966">+IFERROR(AA469/W469-1,"n/a")</f>
        <v>0.84246222045177355</v>
      </c>
      <c r="AB470" s="173">
        <f t="shared" ref="AB470" si="1967">+IFERROR(AB469/X469-1,"n/a")</f>
        <v>0.62027038028512971</v>
      </c>
      <c r="AC470" s="173">
        <f t="shared" ref="AC470" si="1968">+IFERROR(AC469/Y469-1,"n/a")</f>
        <v>1.2478886237652023</v>
      </c>
      <c r="AD470" s="173">
        <f t="shared" ref="AD470" si="1969">+IFERROR(AD469/Z469-1,"n/a")</f>
        <v>0.78194688075786156</v>
      </c>
      <c r="AE470" s="173">
        <f t="shared" ref="AE470:AG470" si="1970">+IFERROR(AE469/AA469-1,"n/a")</f>
        <v>0.86958341533455252</v>
      </c>
      <c r="AF470" s="173">
        <f t="shared" si="1970"/>
        <v>0.68965242064195742</v>
      </c>
      <c r="AG470" s="173">
        <f t="shared" si="1970"/>
        <v>0.6032806279272025</v>
      </c>
      <c r="AH470" s="173">
        <f t="shared" ref="AH470" si="1971">+IFERROR(AH469/AD469-1,"n/a")</f>
        <v>0.98367436001705943</v>
      </c>
      <c r="AI470" s="173">
        <f t="shared" ref="AI470" si="1972">+IFERROR(AI469/AE469-1,"n/a")</f>
        <v>0.33435337235575613</v>
      </c>
      <c r="AJ470" s="173">
        <f t="shared" ref="AJ470" si="1973">+IFERROR(AJ469/AF469-1,"n/a")</f>
        <v>0.5743155663075481</v>
      </c>
      <c r="AK470" s="173">
        <f t="shared" ref="AK470" si="1974">+IFERROR(AK469/AG469-1,"n/a")</f>
        <v>0.51620060344784036</v>
      </c>
      <c r="AL470" s="173">
        <f t="shared" ref="AL470" si="1975">+IFERROR(AL469/AH469-1,"n/a")</f>
        <v>0.375</v>
      </c>
      <c r="AM470" s="173">
        <f t="shared" ref="AM470" si="1976">+IFERROR(AM469/AI469-1,"n/a")</f>
        <v>0.33333333333333326</v>
      </c>
      <c r="AP470" s="173">
        <f>+IFERROR(AP469/AO469-1,"n/a")</f>
        <v>0.88239711625112571</v>
      </c>
      <c r="AQ470" s="173">
        <f t="shared" ref="AQ470" si="1977">+IFERROR(AQ469/AP469-1,"n/a")</f>
        <v>5.4001436208409483</v>
      </c>
      <c r="AR470" s="173">
        <f t="shared" ref="AR470" si="1978">+IFERROR(AR469/AQ469-1,"n/a")</f>
        <v>2.1794783887898643</v>
      </c>
      <c r="AS470" s="173">
        <f t="shared" ref="AS470" si="1979">+IFERROR(AS469/AR469-1,"n/a")</f>
        <v>5.9287824636178099E-2</v>
      </c>
      <c r="AT470" s="173">
        <f t="shared" ref="AT470" si="1980">+IFERROR(AT469/AS469-1,"n/a")</f>
        <v>0.38503864433882584</v>
      </c>
      <c r="AU470" s="173">
        <f t="shared" ref="AU470" si="1981">+IFERROR(AU469/AT469-1,"n/a")</f>
        <v>0.28362951708618844</v>
      </c>
      <c r="AV470" s="173">
        <f t="shared" ref="AV470" si="1982">+IFERROR(AV469/AU469-1,"n/a")</f>
        <v>0.85960350111596018</v>
      </c>
      <c r="AW470" s="173">
        <f t="shared" ref="AW470:AX470" si="1983">+IFERROR(AW469/AV469-1,"n/a")</f>
        <v>0.60397794385198833</v>
      </c>
      <c r="AX470" s="173">
        <f t="shared" si="1983"/>
        <v>0.43093171803246211</v>
      </c>
    </row>
    <row r="471" spans="2:52" x14ac:dyDescent="0.2">
      <c r="B471" s="30" t="s">
        <v>95</v>
      </c>
      <c r="H471" s="196">
        <f t="shared" ref="H471:AM471" si="1984">+IFERROR(H469/H382,"n/a")</f>
        <v>1.7141363162319335E-2</v>
      </c>
      <c r="I471" s="196">
        <f t="shared" si="1984"/>
        <v>1.1061827669223645E-2</v>
      </c>
      <c r="J471" s="196">
        <f t="shared" si="1984"/>
        <v>1.2094289616530345E-2</v>
      </c>
      <c r="K471" s="196">
        <f t="shared" si="1984"/>
        <v>1.1662346951372778E-2</v>
      </c>
      <c r="L471" s="196">
        <f t="shared" si="1984"/>
        <v>1.4756653386734679E-2</v>
      </c>
      <c r="M471" s="196">
        <f t="shared" si="1984"/>
        <v>1.2523443046976083E-2</v>
      </c>
      <c r="N471" s="196">
        <f t="shared" si="1984"/>
        <v>3.0682139402614977E-2</v>
      </c>
      <c r="O471" s="196">
        <f t="shared" si="1984"/>
        <v>1.1225986835948583E-2</v>
      </c>
      <c r="P471" s="196">
        <f t="shared" si="1984"/>
        <v>1.8053040035260346E-2</v>
      </c>
      <c r="Q471" s="196">
        <f t="shared" si="1984"/>
        <v>1.1196791028526698E-2</v>
      </c>
      <c r="R471" s="196">
        <f t="shared" si="1984"/>
        <v>9.331599879575915E-3</v>
      </c>
      <c r="S471" s="196">
        <f t="shared" si="1984"/>
        <v>5.7669759752150369E-3</v>
      </c>
      <c r="T471" s="196">
        <f t="shared" si="1984"/>
        <v>7.2488059894531085E-3</v>
      </c>
      <c r="U471" s="196">
        <f t="shared" si="1984"/>
        <v>9.276401943572524E-3</v>
      </c>
      <c r="V471" s="196">
        <f t="shared" si="1984"/>
        <v>8.2803405487962799E-3</v>
      </c>
      <c r="W471" s="196">
        <f t="shared" si="1984"/>
        <v>7.1906280454874924E-3</v>
      </c>
      <c r="X471" s="196">
        <f t="shared" si="1984"/>
        <v>8.7761506843264236E-3</v>
      </c>
      <c r="Y471" s="196">
        <f t="shared" si="1984"/>
        <v>5.2387170205392131E-3</v>
      </c>
      <c r="Z471" s="196">
        <f t="shared" si="1984"/>
        <v>6.3744665998803976E-3</v>
      </c>
      <c r="AA471" s="196">
        <f t="shared" si="1984"/>
        <v>9.0599383807565357E-3</v>
      </c>
      <c r="AB471" s="196">
        <f t="shared" si="1984"/>
        <v>8.9895462051356335E-3</v>
      </c>
      <c r="AC471" s="196">
        <f t="shared" si="1984"/>
        <v>7.0816507828082341E-3</v>
      </c>
      <c r="AD471" s="196">
        <f t="shared" si="1984"/>
        <v>5.8583647086968785E-3</v>
      </c>
      <c r="AE471" s="196">
        <f t="shared" si="1984"/>
        <v>7.5886154162289488E-3</v>
      </c>
      <c r="AF471" s="196">
        <f t="shared" si="1984"/>
        <v>6.5852256769995494E-3</v>
      </c>
      <c r="AG471" s="196">
        <f t="shared" si="1984"/>
        <v>6.1157208765000104E-3</v>
      </c>
      <c r="AH471" s="196">
        <f t="shared" si="1984"/>
        <v>8.1946074271328408E-3</v>
      </c>
      <c r="AI471" s="196">
        <f t="shared" si="1984"/>
        <v>8.1551523756805185E-3</v>
      </c>
      <c r="AJ471" s="196">
        <f t="shared" si="1984"/>
        <v>9.3594472765704591E-3</v>
      </c>
      <c r="AK471" s="196">
        <f t="shared" si="1984"/>
        <v>7.9518611137553222E-3</v>
      </c>
      <c r="AL471" s="196">
        <f t="shared" si="1984"/>
        <v>9.4503970549983836E-3</v>
      </c>
      <c r="AM471" s="196">
        <f t="shared" si="1984"/>
        <v>8.9165370123952294E-3</v>
      </c>
      <c r="AO471" s="196">
        <f t="shared" ref="AO471:AX471" si="1985">+IFERROR(AO469/AO382,"n/a")</f>
        <v>2.6375419915066232E-2</v>
      </c>
      <c r="AP471" s="196">
        <f t="shared" si="1985"/>
        <v>1.4372080115774762E-2</v>
      </c>
      <c r="AQ471" s="196">
        <f t="shared" si="1985"/>
        <v>1.2227600783232239E-2</v>
      </c>
      <c r="AR471" s="196">
        <f t="shared" si="1985"/>
        <v>1.6922331933708464E-2</v>
      </c>
      <c r="AS471" s="196">
        <f t="shared" si="1985"/>
        <v>9.0821156808582153E-3</v>
      </c>
      <c r="AT471" s="196">
        <f t="shared" si="1985"/>
        <v>7.9654442351473967E-3</v>
      </c>
      <c r="AU471" s="196">
        <f t="shared" si="1985"/>
        <v>7.3577339115844121E-3</v>
      </c>
      <c r="AV471" s="196">
        <f t="shared" si="1985"/>
        <v>7.2135185541400857E-3</v>
      </c>
      <c r="AW471" s="196">
        <f t="shared" si="1985"/>
        <v>7.3120297707377491E-3</v>
      </c>
      <c r="AX471" s="196">
        <f t="shared" si="1985"/>
        <v>8.9068629341199565E-3</v>
      </c>
    </row>
    <row r="472" spans="2:52" x14ac:dyDescent="0.2">
      <c r="B472" s="38"/>
      <c r="AE472" s="33"/>
      <c r="AF472" s="10"/>
    </row>
    <row r="473" spans="2:52" x14ac:dyDescent="0.2">
      <c r="B473" s="24" t="s">
        <v>94</v>
      </c>
      <c r="AF473" s="206"/>
    </row>
    <row r="474" spans="2:52" x14ac:dyDescent="0.2">
      <c r="B474" t="s">
        <v>401</v>
      </c>
      <c r="H474" s="10">
        <f>+IFERROR(H476-H475,"n/a")</f>
        <v>-239.52300000000037</v>
      </c>
      <c r="I474" s="10">
        <f t="shared" ref="I474:AE474" si="1986">+IFERROR(I476-I475,"n/a")</f>
        <v>-815.72999999999911</v>
      </c>
      <c r="J474" s="10">
        <f t="shared" si="1986"/>
        <v>-790.01800000000003</v>
      </c>
      <c r="K474" s="10">
        <f t="shared" si="1986"/>
        <v>-2112.896999999999</v>
      </c>
      <c r="L474" s="10">
        <f t="shared" si="1986"/>
        <v>-1621.8890000000006</v>
      </c>
      <c r="M474" s="10">
        <f t="shared" si="1986"/>
        <v>-898.43800000000101</v>
      </c>
      <c r="N474" s="10">
        <f t="shared" si="1986"/>
        <v>-2123.5460000000003</v>
      </c>
      <c r="O474" s="10">
        <f t="shared" si="1986"/>
        <v>-1336.6319999999996</v>
      </c>
      <c r="P474" s="10">
        <f t="shared" si="1986"/>
        <v>-3587.8600000000006</v>
      </c>
      <c r="Q474" s="10">
        <f t="shared" si="1986"/>
        <v>-725.07100000000173</v>
      </c>
      <c r="R474" s="10">
        <f t="shared" si="1986"/>
        <v>-339.80900000000111</v>
      </c>
      <c r="S474" s="10">
        <f t="shared" si="1986"/>
        <v>-1114.5419999999976</v>
      </c>
      <c r="T474" s="10">
        <f t="shared" si="1986"/>
        <v>-3174.1470000000008</v>
      </c>
      <c r="U474" s="10">
        <f t="shared" si="1986"/>
        <v>3185.2420000000002</v>
      </c>
      <c r="V474" s="10">
        <f t="shared" si="1986"/>
        <v>3260.7249999999985</v>
      </c>
      <c r="W474" s="10">
        <f t="shared" si="1986"/>
        <v>8399.6720000000132</v>
      </c>
      <c r="X474" s="10">
        <f t="shared" si="1986"/>
        <v>3677.1559999999972</v>
      </c>
      <c r="Y474" s="10">
        <f t="shared" si="1986"/>
        <v>10541.514999999998</v>
      </c>
      <c r="Z474" s="10">
        <f t="shared" si="1986"/>
        <v>13456.422766576517</v>
      </c>
      <c r="AA474" s="10">
        <f t="shared" si="1986"/>
        <v>14260.485285546629</v>
      </c>
      <c r="AB474" s="10">
        <f t="shared" si="1986"/>
        <v>12967.777262421114</v>
      </c>
      <c r="AC474" s="10">
        <f t="shared" si="1986"/>
        <v>22445.479656091324</v>
      </c>
      <c r="AD474" s="10">
        <f t="shared" si="1986"/>
        <v>22541.179448229224</v>
      </c>
      <c r="AE474" s="10">
        <f t="shared" si="1986"/>
        <v>29909.826200163232</v>
      </c>
      <c r="AF474" s="10">
        <f t="shared" ref="AF474:AG474" si="1987">+IFERROR(AF476-AF475,"n/a")</f>
        <v>25557.460857539689</v>
      </c>
      <c r="AG474" s="10">
        <f t="shared" si="1987"/>
        <v>29969.03377851408</v>
      </c>
      <c r="AH474" s="10">
        <f t="shared" ref="AH474:AM474" si="1988">+IFERROR(AH402-AH440-AH460-AH467,"n/a")</f>
        <v>26592.716434256236</v>
      </c>
      <c r="AI474" s="10">
        <f t="shared" si="1988"/>
        <v>31151.690548761369</v>
      </c>
      <c r="AJ474" s="10">
        <f t="shared" si="1988"/>
        <v>25058.849052078513</v>
      </c>
      <c r="AK474" s="10">
        <f t="shared" si="1988"/>
        <v>30800.575747415496</v>
      </c>
      <c r="AL474" s="10">
        <f t="shared" si="1988"/>
        <v>28883.345721932026</v>
      </c>
      <c r="AM474" s="10">
        <f t="shared" si="1988"/>
        <v>36583.217736125982</v>
      </c>
      <c r="AO474" s="10">
        <f t="shared" ref="AO474:AP474" si="1989">+IFERROR(AO476-AO475,"n/a")</f>
        <v>-282.14500000000004</v>
      </c>
      <c r="AP474" s="10">
        <f t="shared" si="1989"/>
        <v>-469.21899999999994</v>
      </c>
      <c r="AQ474" s="14">
        <f>+SUM(H474:K474)</f>
        <v>-3958.1679999999988</v>
      </c>
      <c r="AR474" s="14">
        <f>+SUM(L474:O474)</f>
        <v>-5980.505000000001</v>
      </c>
      <c r="AS474" s="14">
        <f>+SUM(P474:S474)</f>
        <v>-5767.2820000000011</v>
      </c>
      <c r="AT474" s="14">
        <f>+SUM(T474:W474)</f>
        <v>11671.492000000011</v>
      </c>
      <c r="AU474" s="14">
        <f>+SUM(X474:AA474)</f>
        <v>41935.579052123139</v>
      </c>
      <c r="AV474" s="14">
        <f>+SUM(AB474:AE474)</f>
        <v>87864.262566904887</v>
      </c>
      <c r="AW474" s="14">
        <f>+SUM(AF474:AI474)</f>
        <v>113270.90161907137</v>
      </c>
      <c r="AX474" s="10">
        <f t="shared" ref="AX474:AX476" si="1990">+SUM(AJ474:AM474)</f>
        <v>121325.98825755202</v>
      </c>
      <c r="AZ474" s="33"/>
    </row>
    <row r="475" spans="2:52" ht="13.5" x14ac:dyDescent="0.35">
      <c r="B475" t="s">
        <v>400</v>
      </c>
      <c r="H475" s="25">
        <f t="shared" ref="H475:AG475" si="1991">+IFERROR(H403-H441-H461-H468,"n/a")</f>
        <v>0</v>
      </c>
      <c r="I475" s="25">
        <f t="shared" si="1991"/>
        <v>0</v>
      </c>
      <c r="J475" s="25">
        <f t="shared" si="1991"/>
        <v>0</v>
      </c>
      <c r="K475" s="25">
        <f t="shared" si="1991"/>
        <v>0</v>
      </c>
      <c r="L475" s="25">
        <f t="shared" si="1991"/>
        <v>0</v>
      </c>
      <c r="M475" s="25">
        <f t="shared" si="1991"/>
        <v>0</v>
      </c>
      <c r="N475" s="25">
        <f t="shared" si="1991"/>
        <v>0</v>
      </c>
      <c r="O475" s="25">
        <f t="shared" si="1991"/>
        <v>0</v>
      </c>
      <c r="P475" s="25">
        <f t="shared" si="1991"/>
        <v>0</v>
      </c>
      <c r="Q475" s="25">
        <f t="shared" si="1991"/>
        <v>0</v>
      </c>
      <c r="R475" s="25">
        <f t="shared" si="1991"/>
        <v>0</v>
      </c>
      <c r="S475" s="25">
        <f t="shared" si="1991"/>
        <v>0</v>
      </c>
      <c r="T475" s="25">
        <f t="shared" si="1991"/>
        <v>0</v>
      </c>
      <c r="U475" s="25">
        <f t="shared" si="1991"/>
        <v>0</v>
      </c>
      <c r="V475" s="25">
        <f t="shared" si="1991"/>
        <v>0</v>
      </c>
      <c r="W475" s="25">
        <f t="shared" si="1991"/>
        <v>0</v>
      </c>
      <c r="X475" s="25">
        <f t="shared" si="1991"/>
        <v>0</v>
      </c>
      <c r="Y475" s="25">
        <f t="shared" si="1991"/>
        <v>0</v>
      </c>
      <c r="Z475" s="25">
        <f t="shared" si="1991"/>
        <v>-1154.9277665765185</v>
      </c>
      <c r="AA475" s="25">
        <f t="shared" si="1991"/>
        <v>-2660.3652855466371</v>
      </c>
      <c r="AB475" s="25">
        <f t="shared" si="1991"/>
        <v>-4505.357262421112</v>
      </c>
      <c r="AC475" s="25">
        <f t="shared" si="1991"/>
        <v>-7836.0956560913291</v>
      </c>
      <c r="AD475" s="25">
        <f t="shared" si="1991"/>
        <v>-4415.339448229226</v>
      </c>
      <c r="AE475" s="25">
        <f t="shared" si="1991"/>
        <v>-5329.9142001632354</v>
      </c>
      <c r="AF475" s="25">
        <f t="shared" si="1991"/>
        <v>2994.7341424603219</v>
      </c>
      <c r="AG475" s="25">
        <f t="shared" si="1991"/>
        <v>5018.2642214859225</v>
      </c>
      <c r="AH475" s="54">
        <v>0</v>
      </c>
      <c r="AI475" s="54">
        <v>0</v>
      </c>
      <c r="AJ475" s="54">
        <v>0</v>
      </c>
      <c r="AK475" s="54">
        <v>0</v>
      </c>
      <c r="AL475" s="54">
        <v>0</v>
      </c>
      <c r="AM475" s="54">
        <v>0</v>
      </c>
      <c r="AO475" s="25">
        <f>+IFERROR(AO403-AO441-AO461-AO468,"n/a")</f>
        <v>0</v>
      </c>
      <c r="AP475" s="25">
        <f>+IFERROR(AP403-AP441-AP461-AP468,"n/a")</f>
        <v>0</v>
      </c>
      <c r="AQ475" s="15">
        <f>+SUM(H475:K475)</f>
        <v>0</v>
      </c>
      <c r="AR475" s="15">
        <f>+SUM(L475:O475)</f>
        <v>0</v>
      </c>
      <c r="AS475" s="15">
        <f>+SUM(P475:S475)</f>
        <v>0</v>
      </c>
      <c r="AT475" s="15">
        <f>+SUM(T475:W475)</f>
        <v>0</v>
      </c>
      <c r="AU475" s="15">
        <f>+SUM(X475:AA475)</f>
        <v>-3815.2930521231556</v>
      </c>
      <c r="AV475" s="15">
        <f>+SUM(AB475:AE475)</f>
        <v>-22086.706566904904</v>
      </c>
      <c r="AW475" s="15">
        <f>+SUM(AF475:AI475)</f>
        <v>8012.9983639462444</v>
      </c>
      <c r="AX475" s="25">
        <f t="shared" si="1990"/>
        <v>0</v>
      </c>
    </row>
    <row r="476" spans="2:52" s="1" customFormat="1" x14ac:dyDescent="0.2">
      <c r="B476" s="38" t="s">
        <v>410</v>
      </c>
      <c r="H476" s="42">
        <f t="shared" ref="H476:AG476" si="1992">+H61</f>
        <v>-239.52300000000037</v>
      </c>
      <c r="I476" s="42">
        <f t="shared" si="1992"/>
        <v>-815.72999999999911</v>
      </c>
      <c r="J476" s="42">
        <f t="shared" si="1992"/>
        <v>-790.01800000000003</v>
      </c>
      <c r="K476" s="42">
        <f t="shared" si="1992"/>
        <v>-2112.896999999999</v>
      </c>
      <c r="L476" s="42">
        <f t="shared" si="1992"/>
        <v>-1621.8890000000006</v>
      </c>
      <c r="M476" s="42">
        <f t="shared" si="1992"/>
        <v>-898.43800000000101</v>
      </c>
      <c r="N476" s="42">
        <f t="shared" si="1992"/>
        <v>-2123.5460000000003</v>
      </c>
      <c r="O476" s="42">
        <f t="shared" si="1992"/>
        <v>-1336.6319999999996</v>
      </c>
      <c r="P476" s="42">
        <f t="shared" si="1992"/>
        <v>-3587.8600000000006</v>
      </c>
      <c r="Q476" s="42">
        <f t="shared" si="1992"/>
        <v>-725.07100000000173</v>
      </c>
      <c r="R476" s="42">
        <f t="shared" si="1992"/>
        <v>-339.80900000000111</v>
      </c>
      <c r="S476" s="42">
        <f t="shared" si="1992"/>
        <v>-1114.5419999999976</v>
      </c>
      <c r="T476" s="42">
        <f t="shared" si="1992"/>
        <v>-3174.1470000000008</v>
      </c>
      <c r="U476" s="42">
        <f t="shared" si="1992"/>
        <v>3185.2420000000002</v>
      </c>
      <c r="V476" s="42">
        <f t="shared" si="1992"/>
        <v>3260.7249999999985</v>
      </c>
      <c r="W476" s="42">
        <f t="shared" si="1992"/>
        <v>8399.6720000000132</v>
      </c>
      <c r="X476" s="42">
        <f t="shared" si="1992"/>
        <v>3677.1559999999972</v>
      </c>
      <c r="Y476" s="42">
        <f t="shared" si="1992"/>
        <v>10541.514999999998</v>
      </c>
      <c r="Z476" s="42">
        <f t="shared" si="1992"/>
        <v>12301.494999999999</v>
      </c>
      <c r="AA476" s="42">
        <f t="shared" si="1992"/>
        <v>11600.119999999992</v>
      </c>
      <c r="AB476" s="42">
        <f t="shared" si="1992"/>
        <v>8462.4200000000019</v>
      </c>
      <c r="AC476" s="42">
        <f t="shared" si="1992"/>
        <v>14609.383999999995</v>
      </c>
      <c r="AD476" s="42">
        <f t="shared" si="1992"/>
        <v>18125.839999999997</v>
      </c>
      <c r="AE476" s="42">
        <f t="shared" si="1992"/>
        <v>24579.911999999997</v>
      </c>
      <c r="AF476" s="42">
        <f t="shared" si="1992"/>
        <v>28552.195000000011</v>
      </c>
      <c r="AG476" s="42">
        <f t="shared" si="1992"/>
        <v>34987.298000000003</v>
      </c>
      <c r="AH476" s="42">
        <f t="shared" ref="AH476:AI476" si="1993">IFERROR(AH474+AH475,"n/a")</f>
        <v>26592.716434256236</v>
      </c>
      <c r="AI476" s="42">
        <f t="shared" si="1993"/>
        <v>31151.690548761369</v>
      </c>
      <c r="AJ476" s="42">
        <f t="shared" ref="AJ476:AM476" si="1994">IFERROR(AJ474+AJ475,"n/a")</f>
        <v>25058.849052078513</v>
      </c>
      <c r="AK476" s="42">
        <f t="shared" si="1994"/>
        <v>30800.575747415496</v>
      </c>
      <c r="AL476" s="42">
        <f t="shared" si="1994"/>
        <v>28883.345721932026</v>
      </c>
      <c r="AM476" s="42">
        <f t="shared" si="1994"/>
        <v>36583.217736125982</v>
      </c>
      <c r="AO476" s="42">
        <f>+AO61</f>
        <v>-282.14500000000004</v>
      </c>
      <c r="AP476" s="42">
        <f>+AP61</f>
        <v>-469.21899999999994</v>
      </c>
      <c r="AQ476" s="48">
        <f>+SUM(H476:K476)</f>
        <v>-3958.1679999999988</v>
      </c>
      <c r="AR476" s="48">
        <f>+SUM(L476:O476)</f>
        <v>-5980.505000000001</v>
      </c>
      <c r="AS476" s="48">
        <f>+SUM(P476:S476)</f>
        <v>-5767.2820000000011</v>
      </c>
      <c r="AT476" s="48">
        <f>+SUM(T476:W476)</f>
        <v>11671.492000000011</v>
      </c>
      <c r="AU476" s="48">
        <f>+SUM(X476:AA476)</f>
        <v>38120.285999999986</v>
      </c>
      <c r="AV476" s="48">
        <f>+SUM(AB476:AE476)</f>
        <v>65777.555999999982</v>
      </c>
      <c r="AW476" s="48">
        <f>+SUM(AF476:AI476)</f>
        <v>121283.89998301762</v>
      </c>
      <c r="AX476" s="42">
        <f t="shared" si="1990"/>
        <v>121325.98825755202</v>
      </c>
    </row>
    <row r="477" spans="2:52" x14ac:dyDescent="0.2">
      <c r="B477" s="38"/>
    </row>
    <row r="478" spans="2:52" x14ac:dyDescent="0.2">
      <c r="B478" s="19" t="s">
        <v>86</v>
      </c>
    </row>
    <row r="479" spans="2:52" x14ac:dyDescent="0.2">
      <c r="B479" s="20" t="s">
        <v>401</v>
      </c>
      <c r="L479" s="173">
        <f>+IFERROR(L474/H474-1,"n/a")</f>
        <v>5.7713288494215504</v>
      </c>
      <c r="M479" s="173">
        <f t="shared" ref="M479:AI481" si="1995">+IFERROR(M474/I474-1,"n/a")</f>
        <v>0.10139139175953082</v>
      </c>
      <c r="N479" s="173">
        <f t="shared" si="1995"/>
        <v>1.6879716664683593</v>
      </c>
      <c r="O479" s="173">
        <f t="shared" si="1995"/>
        <v>-0.36739367796915789</v>
      </c>
      <c r="P479" s="173">
        <f t="shared" si="1995"/>
        <v>1.2121489201788775</v>
      </c>
      <c r="Q479" s="173">
        <f t="shared" si="1995"/>
        <v>-0.19296490130648869</v>
      </c>
      <c r="R479" s="173">
        <f t="shared" si="1995"/>
        <v>-0.83998039128890967</v>
      </c>
      <c r="S479" s="173">
        <f t="shared" si="1995"/>
        <v>-0.16615642899466876</v>
      </c>
      <c r="T479" s="173">
        <f t="shared" si="1995"/>
        <v>-0.11530912577413821</v>
      </c>
      <c r="U479" s="173">
        <f t="shared" si="1995"/>
        <v>-5.3930070296563954</v>
      </c>
      <c r="V479" s="173">
        <f t="shared" si="1995"/>
        <v>-10.595758205344731</v>
      </c>
      <c r="W479" s="173">
        <f t="shared" si="1995"/>
        <v>-8.5364337997132722</v>
      </c>
      <c r="X479" s="173">
        <f t="shared" si="1995"/>
        <v>-2.1584706064337906</v>
      </c>
      <c r="Y479" s="173">
        <f t="shared" si="1995"/>
        <v>2.3094863749755894</v>
      </c>
      <c r="Z479" s="173">
        <f t="shared" si="1995"/>
        <v>3.1268192707378031</v>
      </c>
      <c r="AA479" s="173">
        <f t="shared" si="1995"/>
        <v>0.69774311253422838</v>
      </c>
      <c r="AB479" s="173">
        <f t="shared" si="1995"/>
        <v>2.5265779483984696</v>
      </c>
      <c r="AC479" s="173">
        <f t="shared" si="1995"/>
        <v>1.1292460956600006</v>
      </c>
      <c r="AD479" s="173">
        <f t="shared" si="1995"/>
        <v>0.67512420196976186</v>
      </c>
      <c r="AE479" s="173">
        <f t="shared" si="1995"/>
        <v>1.0973918910373701</v>
      </c>
      <c r="AF479" s="173">
        <f t="shared" si="1995"/>
        <v>0.97084360259655256</v>
      </c>
      <c r="AG479" s="173">
        <f t="shared" si="1995"/>
        <v>0.33519239676310453</v>
      </c>
      <c r="AH479" s="173">
        <f t="shared" si="1995"/>
        <v>0.17973935194173207</v>
      </c>
      <c r="AI479" s="173">
        <f t="shared" si="1995"/>
        <v>4.1520279666197535E-2</v>
      </c>
      <c r="AJ479" s="173">
        <f t="shared" ref="AJ479:AJ481" si="1996">+IFERROR(AJ474/AF474-1,"n/a")</f>
        <v>-1.950944220321793E-2</v>
      </c>
      <c r="AK479" s="173">
        <f t="shared" ref="AK479:AK481" si="1997">+IFERROR(AK474/AG474-1,"n/a")</f>
        <v>2.7746705984814879E-2</v>
      </c>
      <c r="AL479" s="173">
        <f t="shared" ref="AL479:AL481" si="1998">+IFERROR(AL474/AH474-1,"n/a")</f>
        <v>8.6137469007304679E-2</v>
      </c>
      <c r="AM479" s="173">
        <f t="shared" ref="AM479:AM481" si="1999">+IFERROR(AM474/AI474-1,"n/a")</f>
        <v>0.17435738130688949</v>
      </c>
      <c r="AP479" s="173">
        <f>+IFERROR(AP474/AO474-1,"n/a")</f>
        <v>0.66304205284516771</v>
      </c>
      <c r="AQ479" s="173">
        <f t="shared" ref="AQ479:AX479" si="2000">+IFERROR(AQ474/AP474-1,"n/a")</f>
        <v>7.4356515827364174</v>
      </c>
      <c r="AR479" s="173">
        <f t="shared" si="2000"/>
        <v>0.51092753010988989</v>
      </c>
      <c r="AS479" s="173">
        <f t="shared" si="2000"/>
        <v>-3.5653009235842137E-2</v>
      </c>
      <c r="AT479" s="173">
        <f t="shared" si="2000"/>
        <v>-3.0237422064674502</v>
      </c>
      <c r="AU479" s="173">
        <f t="shared" si="2000"/>
        <v>2.5929921429173834</v>
      </c>
      <c r="AV479" s="173">
        <f t="shared" si="2000"/>
        <v>1.0952199672191352</v>
      </c>
      <c r="AW479" s="173">
        <f t="shared" si="2000"/>
        <v>0.28915782492137132</v>
      </c>
      <c r="AX479" s="173">
        <f t="shared" si="2000"/>
        <v>7.1113468007607095E-2</v>
      </c>
    </row>
    <row r="480" spans="2:52" ht="13.5" x14ac:dyDescent="0.35">
      <c r="B480" s="20" t="s">
        <v>400</v>
      </c>
      <c r="L480" s="180" t="str">
        <f>+IFERROR(L475/H475-1,"n/a")</f>
        <v>n/a</v>
      </c>
      <c r="M480" s="180" t="str">
        <f t="shared" ref="M480:M481" si="2001">+IFERROR(M475/I475-1,"n/a")</f>
        <v>n/a</v>
      </c>
      <c r="N480" s="180" t="str">
        <f t="shared" ref="N480:N481" si="2002">+IFERROR(N475/J475-1,"n/a")</f>
        <v>n/a</v>
      </c>
      <c r="O480" s="180" t="str">
        <f t="shared" ref="O480:O481" si="2003">+IFERROR(O475/K475-1,"n/a")</f>
        <v>n/a</v>
      </c>
      <c r="P480" s="180" t="str">
        <f t="shared" ref="P480:P481" si="2004">+IFERROR(P475/L475-1,"n/a")</f>
        <v>n/a</v>
      </c>
      <c r="Q480" s="180" t="str">
        <f t="shared" ref="Q480:Q481" si="2005">+IFERROR(Q475/M475-1,"n/a")</f>
        <v>n/a</v>
      </c>
      <c r="R480" s="180" t="str">
        <f t="shared" ref="R480:R481" si="2006">+IFERROR(R475/N475-1,"n/a")</f>
        <v>n/a</v>
      </c>
      <c r="S480" s="180" t="str">
        <f t="shared" ref="S480:S481" si="2007">+IFERROR(S475/O475-1,"n/a")</f>
        <v>n/a</v>
      </c>
      <c r="T480" s="180" t="str">
        <f t="shared" ref="T480:T481" si="2008">+IFERROR(T475/P475-1,"n/a")</f>
        <v>n/a</v>
      </c>
      <c r="U480" s="180" t="str">
        <f t="shared" ref="U480:U481" si="2009">+IFERROR(U475/Q475-1,"n/a")</f>
        <v>n/a</v>
      </c>
      <c r="V480" s="180" t="str">
        <f t="shared" ref="V480:V481" si="2010">+IFERROR(V475/R475-1,"n/a")</f>
        <v>n/a</v>
      </c>
      <c r="W480" s="180" t="str">
        <f t="shared" ref="W480:W481" si="2011">+IFERROR(W475/S475-1,"n/a")</f>
        <v>n/a</v>
      </c>
      <c r="X480" s="180" t="str">
        <f t="shared" ref="X480:X481" si="2012">+IFERROR(X475/T475-1,"n/a")</f>
        <v>n/a</v>
      </c>
      <c r="Y480" s="180" t="str">
        <f t="shared" ref="Y480:Y481" si="2013">+IFERROR(Y475/U475-1,"n/a")</f>
        <v>n/a</v>
      </c>
      <c r="Z480" s="180" t="str">
        <f t="shared" ref="Z480:Z481" si="2014">+IFERROR(Z475/V475-1,"n/a")</f>
        <v>n/a</v>
      </c>
      <c r="AA480" s="180" t="str">
        <f t="shared" ref="AA480:AA481" si="2015">+IFERROR(AA475/W475-1,"n/a")</f>
        <v>n/a</v>
      </c>
      <c r="AB480" s="180" t="str">
        <f t="shared" ref="AB480:AB481" si="2016">+IFERROR(AB475/X475-1,"n/a")</f>
        <v>n/a</v>
      </c>
      <c r="AC480" s="180" t="str">
        <f t="shared" ref="AC480:AC481" si="2017">+IFERROR(AC475/Y475-1,"n/a")</f>
        <v>n/a</v>
      </c>
      <c r="AD480" s="180">
        <f t="shared" ref="AD480:AD481" si="2018">+IFERROR(AD475/Z475-1,"n/a")</f>
        <v>2.8230438093261414</v>
      </c>
      <c r="AE480" s="180">
        <f t="shared" ref="AE480:AF481" si="2019">+IFERROR(AE475/AA475-1,"n/a")</f>
        <v>1.0034520180818229</v>
      </c>
      <c r="AF480" s="180">
        <f t="shared" si="2019"/>
        <v>-1.6647051427950457</v>
      </c>
      <c r="AG480" s="180">
        <f t="shared" si="1995"/>
        <v>-1.6404036450965238</v>
      </c>
      <c r="AH480" s="180">
        <f t="shared" ref="AH480:AH481" si="2020">+IFERROR(AH475/AD475-1,"n/a")</f>
        <v>-1</v>
      </c>
      <c r="AI480" s="180">
        <f t="shared" ref="AI480:AI481" si="2021">+IFERROR(AI475/AE475-1,"n/a")</f>
        <v>-1</v>
      </c>
      <c r="AJ480" s="180">
        <f t="shared" si="1996"/>
        <v>-1</v>
      </c>
      <c r="AK480" s="180">
        <f t="shared" si="1997"/>
        <v>-1</v>
      </c>
      <c r="AL480" s="180" t="str">
        <f t="shared" si="1998"/>
        <v>n/a</v>
      </c>
      <c r="AM480" s="180" t="str">
        <f t="shared" si="1999"/>
        <v>n/a</v>
      </c>
      <c r="AP480" s="180" t="str">
        <f t="shared" ref="AP480:AX480" si="2022">+IFERROR(AP475/AO475-1,"n/a")</f>
        <v>n/a</v>
      </c>
      <c r="AQ480" s="180" t="str">
        <f t="shared" si="2022"/>
        <v>n/a</v>
      </c>
      <c r="AR480" s="180" t="str">
        <f t="shared" si="2022"/>
        <v>n/a</v>
      </c>
      <c r="AS480" s="180" t="str">
        <f t="shared" si="2022"/>
        <v>n/a</v>
      </c>
      <c r="AT480" s="180" t="str">
        <f t="shared" si="2022"/>
        <v>n/a</v>
      </c>
      <c r="AU480" s="180" t="str">
        <f t="shared" si="2022"/>
        <v>n/a</v>
      </c>
      <c r="AV480" s="180">
        <f t="shared" si="2022"/>
        <v>4.7889934705314365</v>
      </c>
      <c r="AW480" s="180">
        <f t="shared" si="2022"/>
        <v>-1.3627973387373677</v>
      </c>
      <c r="AX480" s="180">
        <f t="shared" si="2022"/>
        <v>-1</v>
      </c>
    </row>
    <row r="481" spans="2:50" x14ac:dyDescent="0.2">
      <c r="B481" s="30" t="s">
        <v>410</v>
      </c>
      <c r="L481" s="173">
        <f>+IFERROR(L476/H476-1,"n/a")</f>
        <v>5.7713288494215504</v>
      </c>
      <c r="M481" s="173">
        <f t="shared" si="2001"/>
        <v>0.10139139175953082</v>
      </c>
      <c r="N481" s="173">
        <f t="shared" si="2002"/>
        <v>1.6879716664683593</v>
      </c>
      <c r="O481" s="173">
        <f t="shared" si="2003"/>
        <v>-0.36739367796915789</v>
      </c>
      <c r="P481" s="173">
        <f t="shared" si="2004"/>
        <v>1.2121489201788775</v>
      </c>
      <c r="Q481" s="173">
        <f t="shared" si="2005"/>
        <v>-0.19296490130648869</v>
      </c>
      <c r="R481" s="173">
        <f t="shared" si="2006"/>
        <v>-0.83998039128890967</v>
      </c>
      <c r="S481" s="173">
        <f t="shared" si="2007"/>
        <v>-0.16615642899466876</v>
      </c>
      <c r="T481" s="173">
        <f t="shared" si="2008"/>
        <v>-0.11530912577413821</v>
      </c>
      <c r="U481" s="173">
        <f t="shared" si="2009"/>
        <v>-5.3930070296563954</v>
      </c>
      <c r="V481" s="173">
        <f t="shared" si="2010"/>
        <v>-10.595758205344731</v>
      </c>
      <c r="W481" s="173">
        <f t="shared" si="2011"/>
        <v>-8.5364337997132722</v>
      </c>
      <c r="X481" s="173">
        <f t="shared" si="2012"/>
        <v>-2.1584706064337906</v>
      </c>
      <c r="Y481" s="173">
        <f t="shared" si="2013"/>
        <v>2.3094863749755894</v>
      </c>
      <c r="Z481" s="173">
        <f t="shared" si="2014"/>
        <v>2.7726257197402431</v>
      </c>
      <c r="AA481" s="173">
        <f t="shared" si="2015"/>
        <v>0.38102059223264595</v>
      </c>
      <c r="AB481" s="173">
        <f t="shared" si="2016"/>
        <v>1.3013491948669049</v>
      </c>
      <c r="AC481" s="173">
        <f t="shared" si="2017"/>
        <v>0.38589035826444285</v>
      </c>
      <c r="AD481" s="173">
        <f t="shared" si="2018"/>
        <v>0.47346643639655173</v>
      </c>
      <c r="AE481" s="173">
        <f t="shared" si="2019"/>
        <v>1.1189360110067841</v>
      </c>
      <c r="AF481" s="173">
        <f t="shared" si="2019"/>
        <v>2.3739988088513693</v>
      </c>
      <c r="AG481" s="173">
        <f t="shared" si="1995"/>
        <v>1.3948510080917864</v>
      </c>
      <c r="AH481" s="173">
        <f t="shared" si="2020"/>
        <v>0.46711636173861404</v>
      </c>
      <c r="AI481" s="173">
        <f t="shared" si="2021"/>
        <v>0.26736379482405681</v>
      </c>
      <c r="AJ481" s="173">
        <f t="shared" si="1996"/>
        <v>-0.12234947078224623</v>
      </c>
      <c r="AK481" s="173">
        <f t="shared" si="1997"/>
        <v>-0.11966406358629078</v>
      </c>
      <c r="AL481" s="173">
        <f t="shared" si="1998"/>
        <v>8.6137469007304679E-2</v>
      </c>
      <c r="AM481" s="173">
        <f t="shared" si="1999"/>
        <v>0.17435738130688949</v>
      </c>
      <c r="AP481" s="173">
        <f t="shared" ref="AP481:AX481" si="2023">+IFERROR(AP476/AO476-1,"n/a")</f>
        <v>0.66304205284516771</v>
      </c>
      <c r="AQ481" s="173">
        <f t="shared" si="2023"/>
        <v>7.4356515827364174</v>
      </c>
      <c r="AR481" s="173">
        <f t="shared" si="2023"/>
        <v>0.51092753010988989</v>
      </c>
      <c r="AS481" s="173">
        <f t="shared" si="2023"/>
        <v>-3.5653009235842137E-2</v>
      </c>
      <c r="AT481" s="173">
        <f t="shared" si="2023"/>
        <v>-3.0237422064674502</v>
      </c>
      <c r="AU481" s="173">
        <f t="shared" si="2023"/>
        <v>2.2661022258336767</v>
      </c>
      <c r="AV481" s="173">
        <f t="shared" si="2023"/>
        <v>0.7255262985172779</v>
      </c>
      <c r="AW481" s="173">
        <f t="shared" si="2023"/>
        <v>0.84384929082828264</v>
      </c>
      <c r="AX481" s="173">
        <f t="shared" si="2023"/>
        <v>3.4702276675058208E-4</v>
      </c>
    </row>
    <row r="482" spans="2:50" x14ac:dyDescent="0.2">
      <c r="B482" s="38"/>
    </row>
    <row r="483" spans="2:50" x14ac:dyDescent="0.2">
      <c r="B483" s="19" t="s">
        <v>88</v>
      </c>
    </row>
    <row r="484" spans="2:50" x14ac:dyDescent="0.2">
      <c r="B484" s="20" t="s">
        <v>401</v>
      </c>
      <c r="H484" s="196">
        <f t="shared" ref="H484:AM484" si="2024">IFERROR(H474/H380,"n/a")</f>
        <v>-0.17299025569765825</v>
      </c>
      <c r="I484" s="196">
        <f t="shared" si="2024"/>
        <v>-0.30111338087282352</v>
      </c>
      <c r="J484" s="196">
        <f t="shared" si="2024"/>
        <v>-0.23425862393095992</v>
      </c>
      <c r="K484" s="196">
        <f t="shared" si="2024"/>
        <v>-0.37370466023408161</v>
      </c>
      <c r="L484" s="196">
        <f t="shared" si="2024"/>
        <v>-0.35683524875891176</v>
      </c>
      <c r="M484" s="196">
        <f t="shared" si="2024"/>
        <v>-0.12324238876006735</v>
      </c>
      <c r="N484" s="196">
        <f t="shared" si="2024"/>
        <v>-0.28261388021317158</v>
      </c>
      <c r="O484" s="196">
        <f t="shared" si="2024"/>
        <v>-0.12384563455052963</v>
      </c>
      <c r="P484" s="196">
        <f t="shared" si="2024"/>
        <v>-0.54851362753340105</v>
      </c>
      <c r="Q484" s="196">
        <f t="shared" si="2024"/>
        <v>-5.946463287465318E-2</v>
      </c>
      <c r="R484" s="196">
        <f t="shared" si="2024"/>
        <v>-2.3913737733626112E-2</v>
      </c>
      <c r="S484" s="196">
        <f t="shared" si="2024"/>
        <v>-4.1982605730686511E-2</v>
      </c>
      <c r="T484" s="196">
        <f t="shared" si="2024"/>
        <v>-0.1431918087251742</v>
      </c>
      <c r="U484" s="196">
        <f t="shared" si="2024"/>
        <v>0.13821103851304031</v>
      </c>
      <c r="V484" s="196">
        <f t="shared" si="2024"/>
        <v>0.15162102168172814</v>
      </c>
      <c r="W484" s="196">
        <f t="shared" si="2024"/>
        <v>0.30846148021314973</v>
      </c>
      <c r="X484" s="196">
        <f t="shared" si="2024"/>
        <v>0.15454333289806374</v>
      </c>
      <c r="Y484" s="196">
        <f t="shared" si="2024"/>
        <v>0.33529452440313423</v>
      </c>
      <c r="Z484" s="196">
        <f t="shared" si="2024"/>
        <v>0.37900821169671473</v>
      </c>
      <c r="AA484" s="196">
        <f t="shared" si="2024"/>
        <v>0.36208123176832957</v>
      </c>
      <c r="AB484" s="196">
        <f t="shared" si="2024"/>
        <v>0.35833901217161918</v>
      </c>
      <c r="AC484" s="196">
        <f t="shared" si="2024"/>
        <v>0.46954942574834679</v>
      </c>
      <c r="AD484" s="196">
        <f t="shared" si="2024"/>
        <v>0.45202947194695869</v>
      </c>
      <c r="AE484" s="196">
        <f t="shared" si="2024"/>
        <v>0.48003051924449253</v>
      </c>
      <c r="AF484" s="196">
        <f t="shared" si="2024"/>
        <v>0.47202517578716557</v>
      </c>
      <c r="AG484" s="196">
        <f t="shared" si="2024"/>
        <v>0.48750303264380096</v>
      </c>
      <c r="AH484" s="196">
        <f t="shared" si="2024"/>
        <v>0.44391401826810817</v>
      </c>
      <c r="AI484" s="196">
        <f t="shared" si="2024"/>
        <v>0.4523417382212726</v>
      </c>
      <c r="AJ484" s="196">
        <f t="shared" si="2024"/>
        <v>0.43250984087082406</v>
      </c>
      <c r="AK484" s="196">
        <f t="shared" si="2024"/>
        <v>0.46025561109406055</v>
      </c>
      <c r="AL484" s="196">
        <f t="shared" si="2024"/>
        <v>0.42878354382361333</v>
      </c>
      <c r="AM484" s="196">
        <f t="shared" si="2024"/>
        <v>0.45365139828516288</v>
      </c>
      <c r="AN484" s="196"/>
      <c r="AO484" s="196">
        <f t="shared" ref="AO484:AX484" si="2025">IFERROR(AO474/AO380,"n/a")</f>
        <v>-0.55885347341066116</v>
      </c>
      <c r="AP484" s="196">
        <f t="shared" si="2025"/>
        <v>-0.26903586770301285</v>
      </c>
      <c r="AQ484" s="196">
        <f t="shared" si="2025"/>
        <v>-0.30168986409288406</v>
      </c>
      <c r="AR484" s="196">
        <f t="shared" si="2025"/>
        <v>-0.19841177157925688</v>
      </c>
      <c r="AS484" s="196">
        <f t="shared" si="2025"/>
        <v>-9.6942363464315687E-2</v>
      </c>
      <c r="AT484" s="196">
        <f t="shared" si="2025"/>
        <v>0.12423096943149702</v>
      </c>
      <c r="AU484" s="196">
        <f t="shared" si="2025"/>
        <v>0.32227811626550124</v>
      </c>
      <c r="AV484" s="196">
        <f t="shared" si="2025"/>
        <v>0.44790877831066811</v>
      </c>
      <c r="AW484" s="196">
        <f t="shared" si="2025"/>
        <v>0.46348126881750723</v>
      </c>
      <c r="AX484" s="196">
        <f t="shared" si="2025"/>
        <v>0.44464290123370082</v>
      </c>
    </row>
    <row r="485" spans="2:50" ht="13.5" x14ac:dyDescent="0.35">
      <c r="B485" s="20" t="s">
        <v>400</v>
      </c>
      <c r="H485" s="198" t="str">
        <f t="shared" ref="H485:AM485" si="2026">IFERROR(H475/H381,"n/a")</f>
        <v>n/a</v>
      </c>
      <c r="I485" s="198" t="str">
        <f t="shared" si="2026"/>
        <v>n/a</v>
      </c>
      <c r="J485" s="198" t="str">
        <f t="shared" si="2026"/>
        <v>n/a</v>
      </c>
      <c r="K485" s="198" t="str">
        <f t="shared" si="2026"/>
        <v>n/a</v>
      </c>
      <c r="L485" s="198" t="str">
        <f t="shared" si="2026"/>
        <v>n/a</v>
      </c>
      <c r="M485" s="198" t="str">
        <f t="shared" si="2026"/>
        <v>n/a</v>
      </c>
      <c r="N485" s="198" t="str">
        <f t="shared" si="2026"/>
        <v>n/a</v>
      </c>
      <c r="O485" s="198" t="str">
        <f t="shared" si="2026"/>
        <v>n/a</v>
      </c>
      <c r="P485" s="198" t="str">
        <f t="shared" si="2026"/>
        <v>n/a</v>
      </c>
      <c r="Q485" s="198" t="str">
        <f t="shared" si="2026"/>
        <v>n/a</v>
      </c>
      <c r="R485" s="198" t="str">
        <f t="shared" si="2026"/>
        <v>n/a</v>
      </c>
      <c r="S485" s="198" t="str">
        <f t="shared" si="2026"/>
        <v>n/a</v>
      </c>
      <c r="T485" s="198" t="str">
        <f t="shared" si="2026"/>
        <v>n/a</v>
      </c>
      <c r="U485" s="198" t="str">
        <f t="shared" si="2026"/>
        <v>n/a</v>
      </c>
      <c r="V485" s="198" t="str">
        <f t="shared" si="2026"/>
        <v>n/a</v>
      </c>
      <c r="W485" s="198" t="str">
        <f t="shared" si="2026"/>
        <v>n/a</v>
      </c>
      <c r="X485" s="198" t="str">
        <f t="shared" si="2026"/>
        <v>n/a</v>
      </c>
      <c r="Y485" s="198" t="str">
        <f t="shared" si="2026"/>
        <v>n/a</v>
      </c>
      <c r="Z485" s="198" t="str">
        <f t="shared" si="2026"/>
        <v>n/a</v>
      </c>
      <c r="AA485" s="198">
        <f t="shared" si="2026"/>
        <v>-6.1121280771359183</v>
      </c>
      <c r="AB485" s="198">
        <f t="shared" si="2026"/>
        <v>-3.1104085145742579</v>
      </c>
      <c r="AC485" s="198">
        <f t="shared" si="2026"/>
        <v>-1.7496823513290736</v>
      </c>
      <c r="AD485" s="198">
        <f t="shared" si="2026"/>
        <v>-0.2327077119731043</v>
      </c>
      <c r="AE485" s="198">
        <f t="shared" si="2026"/>
        <v>-0.20057736544042423</v>
      </c>
      <c r="AF485" s="198">
        <f t="shared" si="2026"/>
        <v>9.1672399003513289E-2</v>
      </c>
      <c r="AG485" s="198">
        <f t="shared" si="2026"/>
        <v>0.14102200709675092</v>
      </c>
      <c r="AH485" s="198">
        <f t="shared" si="2026"/>
        <v>0</v>
      </c>
      <c r="AI485" s="198">
        <f t="shared" si="2026"/>
        <v>0</v>
      </c>
      <c r="AJ485" s="198">
        <f t="shared" si="2026"/>
        <v>0</v>
      </c>
      <c r="AK485" s="198">
        <f t="shared" si="2026"/>
        <v>0</v>
      </c>
      <c r="AL485" s="198">
        <f t="shared" si="2026"/>
        <v>0</v>
      </c>
      <c r="AM485" s="198">
        <f t="shared" si="2026"/>
        <v>0</v>
      </c>
      <c r="AN485" s="198"/>
      <c r="AO485" s="198" t="str">
        <f t="shared" ref="AO485:AX485" si="2027">IFERROR(AO475/AO381,"n/a")</f>
        <v>n/a</v>
      </c>
      <c r="AP485" s="198" t="str">
        <f t="shared" si="2027"/>
        <v>n/a</v>
      </c>
      <c r="AQ485" s="198" t="str">
        <f t="shared" si="2027"/>
        <v>n/a</v>
      </c>
      <c r="AR485" s="198" t="str">
        <f t="shared" si="2027"/>
        <v>n/a</v>
      </c>
      <c r="AS485" s="198" t="str">
        <f t="shared" si="2027"/>
        <v>n/a</v>
      </c>
      <c r="AT485" s="198" t="str">
        <f t="shared" si="2027"/>
        <v>n/a</v>
      </c>
      <c r="AU485" s="198">
        <f t="shared" si="2027"/>
        <v>-8.7655480670549935</v>
      </c>
      <c r="AV485" s="198">
        <f t="shared" si="2027"/>
        <v>-0.4290874171773863</v>
      </c>
      <c r="AW485" s="198">
        <f t="shared" si="2027"/>
        <v>5.4338341514186921E-2</v>
      </c>
      <c r="AX485" s="198">
        <f t="shared" si="2027"/>
        <v>0</v>
      </c>
    </row>
    <row r="486" spans="2:50" x14ac:dyDescent="0.2">
      <c r="B486" s="30" t="s">
        <v>410</v>
      </c>
      <c r="H486" s="196">
        <f t="shared" ref="H486:AM486" si="2028">IFERROR(H476/H382,"n/a")</f>
        <v>-0.17299025569765825</v>
      </c>
      <c r="I486" s="196">
        <f t="shared" si="2028"/>
        <v>-0.30111338087282352</v>
      </c>
      <c r="J486" s="196">
        <f t="shared" si="2028"/>
        <v>-0.23425862393095992</v>
      </c>
      <c r="K486" s="196">
        <f t="shared" si="2028"/>
        <v>-0.37370466023408161</v>
      </c>
      <c r="L486" s="196">
        <f t="shared" si="2028"/>
        <v>-0.35683524875891176</v>
      </c>
      <c r="M486" s="196">
        <f t="shared" si="2028"/>
        <v>-0.12324238876006735</v>
      </c>
      <c r="N486" s="196">
        <f t="shared" si="2028"/>
        <v>-0.28261388021317158</v>
      </c>
      <c r="O486" s="196">
        <f t="shared" si="2028"/>
        <v>-0.12384563455052963</v>
      </c>
      <c r="P486" s="196">
        <f t="shared" si="2028"/>
        <v>-0.54851362753340105</v>
      </c>
      <c r="Q486" s="196">
        <f t="shared" si="2028"/>
        <v>-5.946463287465318E-2</v>
      </c>
      <c r="R486" s="196">
        <f t="shared" si="2028"/>
        <v>-2.3913737733626112E-2</v>
      </c>
      <c r="S486" s="196">
        <f t="shared" si="2028"/>
        <v>-4.1982605730686511E-2</v>
      </c>
      <c r="T486" s="196">
        <f t="shared" si="2028"/>
        <v>-0.1431918087251742</v>
      </c>
      <c r="U486" s="196">
        <f t="shared" si="2028"/>
        <v>0.13821103851304031</v>
      </c>
      <c r="V486" s="196">
        <f t="shared" si="2028"/>
        <v>0.15162102168172814</v>
      </c>
      <c r="W486" s="196">
        <f t="shared" si="2028"/>
        <v>0.30846148021314973</v>
      </c>
      <c r="X486" s="196">
        <f t="shared" si="2028"/>
        <v>0.15454333289806374</v>
      </c>
      <c r="Y486" s="196">
        <f t="shared" si="2028"/>
        <v>0.33529452440313423</v>
      </c>
      <c r="Z486" s="196">
        <f t="shared" si="2028"/>
        <v>0.34647897899927843</v>
      </c>
      <c r="AA486" s="196">
        <f t="shared" si="2028"/>
        <v>0.29131370776534848</v>
      </c>
      <c r="AB486" s="196">
        <f t="shared" si="2028"/>
        <v>0.22484280781835991</v>
      </c>
      <c r="AC486" s="196">
        <f t="shared" si="2028"/>
        <v>0.27944099040051978</v>
      </c>
      <c r="AD486" s="196">
        <f t="shared" si="2028"/>
        <v>0.26330247406714291</v>
      </c>
      <c r="AE486" s="196">
        <f t="shared" si="2028"/>
        <v>0.27654844167207948</v>
      </c>
      <c r="AF486" s="196">
        <f t="shared" si="2028"/>
        <v>0.32889664556856102</v>
      </c>
      <c r="AG486" s="196">
        <f t="shared" si="2028"/>
        <v>0.36047256399786232</v>
      </c>
      <c r="AH486" s="196">
        <f t="shared" si="2028"/>
        <v>0.27239608949974214</v>
      </c>
      <c r="AI486" s="196">
        <f t="shared" si="2028"/>
        <v>0.28227420353910626</v>
      </c>
      <c r="AJ486" s="196">
        <f t="shared" si="2028"/>
        <v>0.2605966405716294</v>
      </c>
      <c r="AK486" s="196">
        <f t="shared" si="2028"/>
        <v>0.27213544507460952</v>
      </c>
      <c r="AL486" s="196">
        <f t="shared" si="2028"/>
        <v>0.24814462304458779</v>
      </c>
      <c r="AM486" s="196">
        <f t="shared" si="2028"/>
        <v>0.2718296791472341</v>
      </c>
      <c r="AN486" s="196"/>
      <c r="AO486" s="196">
        <f t="shared" ref="AO486:AX486" si="2029">IFERROR(AO476/AO382,"n/a")</f>
        <v>-0.55885347341066116</v>
      </c>
      <c r="AP486" s="196">
        <f t="shared" si="2029"/>
        <v>-0.26903586770301285</v>
      </c>
      <c r="AQ486" s="196">
        <f t="shared" si="2029"/>
        <v>-0.30168986409288412</v>
      </c>
      <c r="AR486" s="196">
        <f t="shared" si="2029"/>
        <v>-0.19841177157925691</v>
      </c>
      <c r="AS486" s="196">
        <f t="shared" si="2029"/>
        <v>-9.6942363464315687E-2</v>
      </c>
      <c r="AT486" s="196">
        <f t="shared" si="2029"/>
        <v>0.12423096943149702</v>
      </c>
      <c r="AU486" s="196">
        <f t="shared" si="2029"/>
        <v>0.29198062167033423</v>
      </c>
      <c r="AV486" s="196">
        <f t="shared" si="2029"/>
        <v>0.26561850737648746</v>
      </c>
      <c r="AW486" s="196">
        <f t="shared" si="2029"/>
        <v>0.30951104971999266</v>
      </c>
      <c r="AX486" s="196">
        <f t="shared" si="2029"/>
        <v>0.26356925555040567</v>
      </c>
    </row>
    <row r="487" spans="2:50" x14ac:dyDescent="0.2">
      <c r="B487" s="30"/>
      <c r="H487" s="196"/>
      <c r="I487" s="196"/>
      <c r="J487" s="196"/>
      <c r="K487" s="196"/>
      <c r="L487" s="196"/>
      <c r="M487" s="196"/>
      <c r="N487" s="196"/>
      <c r="O487" s="196"/>
      <c r="P487" s="196"/>
      <c r="Q487" s="196"/>
      <c r="R487" s="196"/>
      <c r="S487" s="196"/>
      <c r="T487" s="196"/>
      <c r="U487" s="196"/>
      <c r="V487" s="196"/>
      <c r="W487" s="196"/>
      <c r="X487" s="196"/>
      <c r="Y487" s="196"/>
      <c r="Z487" s="196"/>
      <c r="AA487" s="196"/>
      <c r="AB487" s="196"/>
      <c r="AC487" s="196"/>
      <c r="AD487" s="196"/>
      <c r="AE487" s="196"/>
      <c r="AF487" s="196"/>
      <c r="AG487" s="196"/>
      <c r="AH487" s="196"/>
      <c r="AI487" s="196"/>
      <c r="AJ487" s="196"/>
      <c r="AK487" s="196"/>
      <c r="AL487" s="196"/>
      <c r="AM487" s="196"/>
      <c r="AN487" s="196"/>
      <c r="AO487" s="196"/>
      <c r="AP487" s="196"/>
      <c r="AQ487" s="196"/>
      <c r="AR487" s="196"/>
      <c r="AS487" s="196"/>
      <c r="AT487" s="196"/>
      <c r="AU487" s="196"/>
      <c r="AV487" s="196"/>
      <c r="AW487" s="196"/>
      <c r="AX487" s="196"/>
    </row>
    <row r="488" spans="2:50" x14ac:dyDescent="0.2">
      <c r="B488" s="6" t="s">
        <v>222</v>
      </c>
      <c r="C488" s="5"/>
      <c r="AG488" s="196"/>
    </row>
    <row r="490" spans="2:50" x14ac:dyDescent="0.2">
      <c r="B490" s="24" t="s">
        <v>334</v>
      </c>
    </row>
    <row r="491" spans="2:50" x14ac:dyDescent="0.2">
      <c r="B491" t="s">
        <v>106</v>
      </c>
      <c r="H491" s="11">
        <v>294.89999999999998</v>
      </c>
      <c r="I491" s="11">
        <v>343.6</v>
      </c>
      <c r="J491" s="11">
        <v>385.5</v>
      </c>
      <c r="K491" s="11">
        <v>418.5</v>
      </c>
      <c r="L491" s="11">
        <v>443.3</v>
      </c>
      <c r="M491" s="11">
        <v>483.2</v>
      </c>
      <c r="N491" s="11">
        <v>536.29999999999995</v>
      </c>
      <c r="O491" s="11">
        <v>585.20000000000005</v>
      </c>
      <c r="P491" s="11">
        <v>628.1</v>
      </c>
      <c r="Q491" s="11">
        <v>683.2</v>
      </c>
      <c r="R491" s="11">
        <v>731.3</v>
      </c>
      <c r="S491" s="11">
        <v>788.4</v>
      </c>
      <c r="T491" s="11">
        <v>823.8</v>
      </c>
      <c r="U491" s="11">
        <v>849.9</v>
      </c>
      <c r="V491" s="11">
        <v>867.3</v>
      </c>
      <c r="W491" s="11">
        <v>868.7</v>
      </c>
      <c r="X491" s="11">
        <v>881.9</v>
      </c>
      <c r="Y491" s="12" t="s">
        <v>65</v>
      </c>
      <c r="Z491" s="12" t="s">
        <v>65</v>
      </c>
      <c r="AA491" s="12" t="s">
        <v>65</v>
      </c>
      <c r="AB491" s="12" t="s">
        <v>65</v>
      </c>
      <c r="AC491" s="12" t="s">
        <v>65</v>
      </c>
      <c r="AD491" s="12" t="s">
        <v>65</v>
      </c>
      <c r="AE491" s="12" t="s">
        <v>65</v>
      </c>
      <c r="AF491" s="12" t="s">
        <v>65</v>
      </c>
      <c r="AG491" s="12" t="s">
        <v>65</v>
      </c>
      <c r="AO491" s="12" t="s">
        <v>65</v>
      </c>
      <c r="AP491" s="11">
        <v>244.8</v>
      </c>
      <c r="AQ491" s="11">
        <v>418.5</v>
      </c>
      <c r="AR491" s="11">
        <v>585.20000000000005</v>
      </c>
      <c r="AS491" s="11">
        <v>788.4</v>
      </c>
      <c r="AT491" s="11">
        <v>868.7</v>
      </c>
      <c r="AU491" s="12" t="s">
        <v>65</v>
      </c>
      <c r="AV491" s="12" t="s">
        <v>65</v>
      </c>
    </row>
    <row r="492" spans="2:50" ht="13.5" x14ac:dyDescent="0.35">
      <c r="B492" t="s">
        <v>111</v>
      </c>
      <c r="H492" s="13">
        <v>673.9</v>
      </c>
      <c r="I492" s="13">
        <v>762.8</v>
      </c>
      <c r="J492" s="13">
        <v>894.4</v>
      </c>
      <c r="K492" s="13">
        <v>1126.9000000000001</v>
      </c>
      <c r="L492" s="13">
        <v>1257.3</v>
      </c>
      <c r="M492" s="13">
        <v>1467.5</v>
      </c>
      <c r="N492" s="13">
        <v>1566.7</v>
      </c>
      <c r="O492" s="13">
        <v>1720.1</v>
      </c>
      <c r="P492" s="13">
        <v>1842.4</v>
      </c>
      <c r="Q492" s="13">
        <v>1857</v>
      </c>
      <c r="R492" s="13">
        <v>1993.1</v>
      </c>
      <c r="S492" s="13">
        <v>2115.1999999999998</v>
      </c>
      <c r="T492" s="36" t="str">
        <f>IFERROR(T493/T491*1000,"n/a")</f>
        <v>n/a</v>
      </c>
      <c r="U492" s="36" t="str">
        <f t="shared" ref="U492:AD492" si="2030">IFERROR(U493/U491*1000,"n/a")</f>
        <v>n/a</v>
      </c>
      <c r="V492" s="36" t="str">
        <f t="shared" si="2030"/>
        <v>n/a</v>
      </c>
      <c r="W492" s="36">
        <f t="shared" si="2030"/>
        <v>2809.9458961666855</v>
      </c>
      <c r="X492" s="36" t="str">
        <f t="shared" si="2030"/>
        <v>n/a</v>
      </c>
      <c r="Y492" s="36" t="str">
        <f t="shared" si="2030"/>
        <v>n/a</v>
      </c>
      <c r="Z492" s="36" t="str">
        <f t="shared" si="2030"/>
        <v>n/a</v>
      </c>
      <c r="AA492" s="36" t="str">
        <f t="shared" si="2030"/>
        <v>n/a</v>
      </c>
      <c r="AB492" s="36" t="str">
        <f t="shared" si="2030"/>
        <v>n/a</v>
      </c>
      <c r="AC492" s="36" t="str">
        <f t="shared" si="2030"/>
        <v>n/a</v>
      </c>
      <c r="AD492" s="36" t="str">
        <f t="shared" si="2030"/>
        <v>n/a</v>
      </c>
      <c r="AE492" s="36" t="str">
        <f t="shared" ref="AE492:AG492" si="2031">IFERROR(AE493/AE491*1000,"n/a")</f>
        <v>n/a</v>
      </c>
      <c r="AF492" s="36" t="str">
        <f t="shared" si="2031"/>
        <v>n/a</v>
      </c>
      <c r="AG492" s="36" t="str">
        <f t="shared" si="2031"/>
        <v>n/a</v>
      </c>
      <c r="AH492" s="16"/>
      <c r="AI492" s="16"/>
      <c r="AJ492" s="16"/>
      <c r="AK492" s="16"/>
      <c r="AL492" s="16"/>
      <c r="AM492" s="16"/>
      <c r="AN492" s="16"/>
      <c r="AO492" s="36" t="str">
        <f t="shared" ref="AO492" si="2032">IFERROR(AO493/AO491*1000,"n/a")</f>
        <v>n/a</v>
      </c>
      <c r="AP492" s="13">
        <v>576.9</v>
      </c>
      <c r="AQ492" s="13">
        <v>1126.9000000000001</v>
      </c>
      <c r="AR492" s="13">
        <v>1720.1</v>
      </c>
      <c r="AS492" s="13">
        <v>2115.1999999999998</v>
      </c>
      <c r="AT492" s="13">
        <v>2810</v>
      </c>
      <c r="AU492" s="36" t="str">
        <f t="shared" ref="AU492:AV492" si="2033">IFERROR(AU493/AU491*1000,"n/a")</f>
        <v>n/a</v>
      </c>
      <c r="AV492" s="36" t="str">
        <f t="shared" si="2033"/>
        <v>n/a</v>
      </c>
    </row>
    <row r="493" spans="2:50" s="1" customFormat="1" x14ac:dyDescent="0.2">
      <c r="B493" s="38" t="s">
        <v>335</v>
      </c>
      <c r="H493" s="39">
        <v>198.7</v>
      </c>
      <c r="I493" s="39">
        <v>262.10000000000002</v>
      </c>
      <c r="J493" s="39">
        <v>344.8</v>
      </c>
      <c r="K493" s="39">
        <v>471.6</v>
      </c>
      <c r="L493" s="39">
        <v>557.4</v>
      </c>
      <c r="M493" s="39">
        <v>709.1</v>
      </c>
      <c r="N493" s="39">
        <v>840.2</v>
      </c>
      <c r="O493" s="39">
        <v>1006.6</v>
      </c>
      <c r="P493" s="39">
        <v>1157.2</v>
      </c>
      <c r="Q493" s="39">
        <v>1268.7</v>
      </c>
      <c r="R493" s="39">
        <v>1457.6</v>
      </c>
      <c r="S493" s="39">
        <v>1667.6</v>
      </c>
      <c r="T493" s="40" t="s">
        <v>65</v>
      </c>
      <c r="U493" s="40" t="s">
        <v>65</v>
      </c>
      <c r="V493" s="40" t="s">
        <v>65</v>
      </c>
      <c r="W493" s="40">
        <v>2441</v>
      </c>
      <c r="X493" s="40" t="s">
        <v>65</v>
      </c>
      <c r="Y493" s="40" t="s">
        <v>65</v>
      </c>
      <c r="Z493" s="40" t="s">
        <v>65</v>
      </c>
      <c r="AA493" s="40" t="s">
        <v>65</v>
      </c>
      <c r="AB493" s="40" t="s">
        <v>65</v>
      </c>
      <c r="AC493" s="40" t="s">
        <v>65</v>
      </c>
      <c r="AD493" s="40" t="s">
        <v>65</v>
      </c>
      <c r="AE493" s="40" t="s">
        <v>65</v>
      </c>
      <c r="AF493" s="40" t="s">
        <v>65</v>
      </c>
      <c r="AG493" s="40" t="s">
        <v>65</v>
      </c>
      <c r="AO493" s="40" t="s">
        <v>65</v>
      </c>
      <c r="AP493" s="39">
        <v>141.19999999999999</v>
      </c>
      <c r="AQ493" s="39">
        <v>471.6</v>
      </c>
      <c r="AR493" s="39">
        <v>1006.6</v>
      </c>
      <c r="AS493" s="39">
        <v>1667.6</v>
      </c>
      <c r="AT493" s="39">
        <v>2441</v>
      </c>
      <c r="AU493" s="40" t="s">
        <v>65</v>
      </c>
      <c r="AV493" s="40" t="s">
        <v>65</v>
      </c>
    </row>
    <row r="494" spans="2:50" s="1" customFormat="1" x14ac:dyDescent="0.2">
      <c r="B494" s="38"/>
      <c r="H494" s="39"/>
      <c r="I494" s="39"/>
      <c r="J494" s="39"/>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c r="AO494" s="42"/>
      <c r="AP494" s="42"/>
      <c r="AQ494" s="42"/>
      <c r="AR494" s="42"/>
      <c r="AS494" s="42"/>
      <c r="AT494" s="42"/>
      <c r="AU494" s="42"/>
      <c r="AV494" s="42"/>
    </row>
    <row r="495" spans="2:50" s="1" customFormat="1" x14ac:dyDescent="0.2">
      <c r="B495" s="19" t="s">
        <v>86</v>
      </c>
      <c r="H495" s="39"/>
      <c r="I495" s="39"/>
      <c r="J495" s="39"/>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c r="AO495" s="42"/>
      <c r="AP495" s="42"/>
      <c r="AQ495" s="42"/>
      <c r="AR495" s="42"/>
      <c r="AS495" s="42"/>
      <c r="AT495" s="42"/>
      <c r="AU495" s="42"/>
      <c r="AV495" s="42"/>
    </row>
    <row r="496" spans="2:50" s="1" customFormat="1" x14ac:dyDescent="0.2">
      <c r="B496" s="20" t="s">
        <v>106</v>
      </c>
      <c r="H496" s="39"/>
      <c r="I496" s="39"/>
      <c r="J496" s="39"/>
      <c r="K496" s="42"/>
      <c r="L496" s="46">
        <f>IFERROR(L491/H491-1,"n/a")</f>
        <v>0.50322143099355721</v>
      </c>
      <c r="M496" s="46">
        <f t="shared" ref="M496:M498" si="2034">IFERROR(M491/I491-1,"n/a")</f>
        <v>0.40628637951105917</v>
      </c>
      <c r="N496" s="46">
        <f t="shared" ref="N496:N498" si="2035">IFERROR(N491/J491-1,"n/a")</f>
        <v>0.39118028534370941</v>
      </c>
      <c r="O496" s="46">
        <f t="shared" ref="O496:O498" si="2036">IFERROR(O491/K491-1,"n/a")</f>
        <v>0.3983273596176824</v>
      </c>
      <c r="P496" s="46">
        <f t="shared" ref="P496:P498" si="2037">IFERROR(P491/L491-1,"n/a")</f>
        <v>0.41687344913151358</v>
      </c>
      <c r="Q496" s="46">
        <f t="shared" ref="Q496:Q498" si="2038">IFERROR(Q491/M491-1,"n/a")</f>
        <v>0.41390728476821215</v>
      </c>
      <c r="R496" s="46">
        <f t="shared" ref="R496:R498" si="2039">IFERROR(R491/N491-1,"n/a")</f>
        <v>0.36360246130896878</v>
      </c>
      <c r="S496" s="46">
        <f t="shared" ref="S496:S498" si="2040">IFERROR(S491/O491-1,"n/a")</f>
        <v>0.34723171565276822</v>
      </c>
      <c r="T496" s="46">
        <f t="shared" ref="T496:T498" si="2041">IFERROR(T491/P491-1,"n/a")</f>
        <v>0.31157459003343413</v>
      </c>
      <c r="U496" s="46">
        <f t="shared" ref="U496:U498" si="2042">IFERROR(U491/Q491-1,"n/a")</f>
        <v>0.24399882903981251</v>
      </c>
      <c r="V496" s="46">
        <f t="shared" ref="V496:V498" si="2043">IFERROR(V491/R491-1,"n/a")</f>
        <v>0.18597019007247373</v>
      </c>
      <c r="W496" s="46">
        <f t="shared" ref="W496:W498" si="2044">IFERROR(W491/S491-1,"n/a")</f>
        <v>0.10185185185185186</v>
      </c>
      <c r="X496" s="46">
        <f t="shared" ref="X496:X498" si="2045">IFERROR(X491/T491-1,"n/a")</f>
        <v>7.0526826899732997E-2</v>
      </c>
      <c r="Y496" s="46" t="str">
        <f t="shared" ref="Y496:Y498" si="2046">IFERROR(Y491/U491-1,"n/a")</f>
        <v>n/a</v>
      </c>
      <c r="Z496" s="46" t="str">
        <f t="shared" ref="Z496:Z498" si="2047">IFERROR(Z491/V491-1,"n/a")</f>
        <v>n/a</v>
      </c>
      <c r="AA496" s="46" t="str">
        <f t="shared" ref="AA496:AA498" si="2048">IFERROR(AA491/W491-1,"n/a")</f>
        <v>n/a</v>
      </c>
      <c r="AB496" s="46" t="str">
        <f t="shared" ref="AB496:AB498" si="2049">IFERROR(AB491/X491-1,"n/a")</f>
        <v>n/a</v>
      </c>
      <c r="AC496" s="46" t="str">
        <f t="shared" ref="AC496:AC498" si="2050">IFERROR(AC491/Y491-1,"n/a")</f>
        <v>n/a</v>
      </c>
      <c r="AD496" s="46" t="str">
        <f t="shared" ref="AD496:AG498" si="2051">IFERROR(AD491/Z491-1,"n/a")</f>
        <v>n/a</v>
      </c>
      <c r="AE496" s="46" t="str">
        <f t="shared" si="2051"/>
        <v>n/a</v>
      </c>
      <c r="AF496" s="46" t="str">
        <f t="shared" si="2051"/>
        <v>n/a</v>
      </c>
      <c r="AG496" s="46" t="str">
        <f t="shared" si="2051"/>
        <v>n/a</v>
      </c>
      <c r="AO496" s="42"/>
      <c r="AP496" s="46" t="str">
        <f>IFERROR(AP491/AO491-1,"n/a")</f>
        <v>n/a</v>
      </c>
      <c r="AQ496" s="46">
        <f t="shared" ref="AQ496:AV496" si="2052">IFERROR(AQ491/AP491-1,"n/a")</f>
        <v>0.70955882352941169</v>
      </c>
      <c r="AR496" s="46">
        <f t="shared" si="2052"/>
        <v>0.3983273596176824</v>
      </c>
      <c r="AS496" s="46">
        <f t="shared" si="2052"/>
        <v>0.34723171565276822</v>
      </c>
      <c r="AT496" s="46">
        <f t="shared" si="2052"/>
        <v>0.10185185185185186</v>
      </c>
      <c r="AU496" s="46" t="str">
        <f t="shared" si="2052"/>
        <v>n/a</v>
      </c>
      <c r="AV496" s="46" t="str">
        <f t="shared" si="2052"/>
        <v>n/a</v>
      </c>
    </row>
    <row r="497" spans="2:48" s="1" customFormat="1" ht="13.5" x14ac:dyDescent="0.35">
      <c r="B497" s="20" t="s">
        <v>111</v>
      </c>
      <c r="H497" s="39"/>
      <c r="I497" s="39"/>
      <c r="J497" s="39"/>
      <c r="K497" s="42"/>
      <c r="L497" s="47">
        <f t="shared" ref="L497:L498" si="2053">IFERROR(L492/H492-1,"n/a")</f>
        <v>0.86570707820151349</v>
      </c>
      <c r="M497" s="47">
        <f t="shared" si="2034"/>
        <v>0.92383324593602523</v>
      </c>
      <c r="N497" s="47">
        <f t="shared" si="2035"/>
        <v>0.75167710196779969</v>
      </c>
      <c r="O497" s="47">
        <f t="shared" si="2036"/>
        <v>0.52639985801757017</v>
      </c>
      <c r="P497" s="47">
        <f t="shared" si="2037"/>
        <v>0.4653622842599221</v>
      </c>
      <c r="Q497" s="47">
        <f t="shared" si="2038"/>
        <v>0.26541737649063024</v>
      </c>
      <c r="R497" s="47">
        <f t="shared" si="2039"/>
        <v>0.27216442203357372</v>
      </c>
      <c r="S497" s="47">
        <f t="shared" si="2040"/>
        <v>0.22969594791000514</v>
      </c>
      <c r="T497" s="47" t="str">
        <f t="shared" si="2041"/>
        <v>n/a</v>
      </c>
      <c r="U497" s="47" t="str">
        <f t="shared" si="2042"/>
        <v>n/a</v>
      </c>
      <c r="V497" s="47" t="str">
        <f t="shared" si="2043"/>
        <v>n/a</v>
      </c>
      <c r="W497" s="47">
        <f t="shared" si="2044"/>
        <v>0.3284539978095149</v>
      </c>
      <c r="X497" s="47" t="str">
        <f t="shared" si="2045"/>
        <v>n/a</v>
      </c>
      <c r="Y497" s="47" t="str">
        <f t="shared" si="2046"/>
        <v>n/a</v>
      </c>
      <c r="Z497" s="47" t="str">
        <f t="shared" si="2047"/>
        <v>n/a</v>
      </c>
      <c r="AA497" s="47" t="str">
        <f t="shared" si="2048"/>
        <v>n/a</v>
      </c>
      <c r="AB497" s="47" t="str">
        <f t="shared" si="2049"/>
        <v>n/a</v>
      </c>
      <c r="AC497" s="47" t="str">
        <f t="shared" si="2050"/>
        <v>n/a</v>
      </c>
      <c r="AD497" s="47" t="str">
        <f t="shared" si="2051"/>
        <v>n/a</v>
      </c>
      <c r="AE497" s="47" t="str">
        <f t="shared" si="2051"/>
        <v>n/a</v>
      </c>
      <c r="AF497" s="47" t="str">
        <f t="shared" si="2051"/>
        <v>n/a</v>
      </c>
      <c r="AG497" s="47" t="str">
        <f t="shared" si="2051"/>
        <v>n/a</v>
      </c>
      <c r="AO497" s="42"/>
      <c r="AP497" s="47" t="str">
        <f t="shared" ref="AP497:AV497" si="2054">IFERROR(AP492/AO492-1,"n/a")</f>
        <v>n/a</v>
      </c>
      <c r="AQ497" s="47">
        <f t="shared" si="2054"/>
        <v>0.95337146819206131</v>
      </c>
      <c r="AR497" s="47">
        <f t="shared" si="2054"/>
        <v>0.52639985801757017</v>
      </c>
      <c r="AS497" s="47">
        <f t="shared" si="2054"/>
        <v>0.22969594791000514</v>
      </c>
      <c r="AT497" s="47">
        <f t="shared" si="2054"/>
        <v>0.32847957639939507</v>
      </c>
      <c r="AU497" s="47" t="str">
        <f t="shared" si="2054"/>
        <v>n/a</v>
      </c>
      <c r="AV497" s="47" t="str">
        <f t="shared" si="2054"/>
        <v>n/a</v>
      </c>
    </row>
    <row r="498" spans="2:48" s="1" customFormat="1" x14ac:dyDescent="0.2">
      <c r="B498" s="30" t="s">
        <v>335</v>
      </c>
      <c r="H498" s="39"/>
      <c r="I498" s="39"/>
      <c r="J498" s="39"/>
      <c r="K498" s="42"/>
      <c r="L498" s="46">
        <f t="shared" si="2053"/>
        <v>1.8052340211373932</v>
      </c>
      <c r="M498" s="46">
        <f t="shared" si="2034"/>
        <v>1.7054559328500569</v>
      </c>
      <c r="N498" s="46">
        <f t="shared" si="2035"/>
        <v>1.4367749419953597</v>
      </c>
      <c r="O498" s="46">
        <f t="shared" si="2036"/>
        <v>1.1344359626802376</v>
      </c>
      <c r="P498" s="46">
        <f t="shared" si="2037"/>
        <v>1.0760674560459278</v>
      </c>
      <c r="Q498" s="46">
        <f t="shared" si="2038"/>
        <v>0.78916936962346629</v>
      </c>
      <c r="R498" s="46">
        <f t="shared" si="2039"/>
        <v>0.73482504165674811</v>
      </c>
      <c r="S498" s="46">
        <f t="shared" si="2040"/>
        <v>0.6566660043711503</v>
      </c>
      <c r="T498" s="46" t="str">
        <f t="shared" si="2041"/>
        <v>n/a</v>
      </c>
      <c r="U498" s="46" t="str">
        <f t="shared" si="2042"/>
        <v>n/a</v>
      </c>
      <c r="V498" s="46" t="str">
        <f t="shared" si="2043"/>
        <v>n/a</v>
      </c>
      <c r="W498" s="46">
        <f t="shared" si="2044"/>
        <v>0.46378028304149677</v>
      </c>
      <c r="X498" s="46" t="str">
        <f t="shared" si="2045"/>
        <v>n/a</v>
      </c>
      <c r="Y498" s="46" t="str">
        <f t="shared" si="2046"/>
        <v>n/a</v>
      </c>
      <c r="Z498" s="46" t="str">
        <f t="shared" si="2047"/>
        <v>n/a</v>
      </c>
      <c r="AA498" s="46" t="str">
        <f t="shared" si="2048"/>
        <v>n/a</v>
      </c>
      <c r="AB498" s="46" t="str">
        <f t="shared" si="2049"/>
        <v>n/a</v>
      </c>
      <c r="AC498" s="46" t="str">
        <f t="shared" si="2050"/>
        <v>n/a</v>
      </c>
      <c r="AD498" s="46" t="str">
        <f t="shared" si="2051"/>
        <v>n/a</v>
      </c>
      <c r="AE498" s="46" t="str">
        <f t="shared" si="2051"/>
        <v>n/a</v>
      </c>
      <c r="AF498" s="46" t="str">
        <f t="shared" si="2051"/>
        <v>n/a</v>
      </c>
      <c r="AG498" s="46" t="str">
        <f t="shared" si="2051"/>
        <v>n/a</v>
      </c>
      <c r="AO498" s="42"/>
      <c r="AP498" s="46" t="str">
        <f t="shared" ref="AP498:AV498" si="2055">IFERROR(AP493/AO493-1,"n/a")</f>
        <v>n/a</v>
      </c>
      <c r="AQ498" s="46">
        <f t="shared" si="2055"/>
        <v>2.3399433427762042</v>
      </c>
      <c r="AR498" s="46">
        <f t="shared" si="2055"/>
        <v>1.1344359626802376</v>
      </c>
      <c r="AS498" s="46">
        <f t="shared" si="2055"/>
        <v>0.6566660043711503</v>
      </c>
      <c r="AT498" s="46">
        <f t="shared" si="2055"/>
        <v>0.46378028304149677</v>
      </c>
      <c r="AU498" s="46" t="str">
        <f t="shared" si="2055"/>
        <v>n/a</v>
      </c>
      <c r="AV498" s="46" t="str">
        <f t="shared" si="2055"/>
        <v>n/a</v>
      </c>
    </row>
    <row r="499" spans="2:48" x14ac:dyDescent="0.2">
      <c r="B499" s="4"/>
      <c r="H499" s="11"/>
      <c r="I499" s="11"/>
      <c r="J499" s="11"/>
      <c r="K499" s="11"/>
      <c r="L499" s="11"/>
      <c r="M499" s="11"/>
      <c r="N499" s="11"/>
      <c r="O499" s="11"/>
      <c r="P499" s="11"/>
      <c r="Q499" s="11"/>
      <c r="R499" s="11"/>
      <c r="S499" s="11"/>
      <c r="T499" s="12"/>
      <c r="U499" s="12"/>
      <c r="V499" s="12"/>
      <c r="W499" s="12"/>
      <c r="X499" s="12"/>
      <c r="Y499" s="12"/>
      <c r="Z499" s="12"/>
      <c r="AA499" s="12"/>
      <c r="AB499" s="12"/>
      <c r="AC499" s="12"/>
      <c r="AD499" s="12"/>
      <c r="AE499" s="12"/>
      <c r="AF499" s="12"/>
      <c r="AG499" s="12"/>
      <c r="AO499" s="12"/>
      <c r="AP499" s="11"/>
      <c r="AQ499" s="11"/>
      <c r="AR499" s="11"/>
      <c r="AS499" s="11"/>
      <c r="AT499" s="11"/>
      <c r="AU499" s="12"/>
      <c r="AV499" s="12"/>
    </row>
    <row r="500" spans="2:48" x14ac:dyDescent="0.2">
      <c r="B500" s="24" t="s">
        <v>336</v>
      </c>
    </row>
    <row r="501" spans="2:48" x14ac:dyDescent="0.2">
      <c r="B501" t="s">
        <v>338</v>
      </c>
      <c r="H501" s="37">
        <f t="shared" ref="H501:AD501" si="2056">+IFERROR(H493-H502,"n/a")</f>
        <v>198.7</v>
      </c>
      <c r="I501" s="37">
        <f t="shared" si="2056"/>
        <v>262.10000000000002</v>
      </c>
      <c r="J501" s="37">
        <f t="shared" si="2056"/>
        <v>344.8</v>
      </c>
      <c r="K501" s="37">
        <f t="shared" si="2056"/>
        <v>471.6</v>
      </c>
      <c r="L501" s="37">
        <f t="shared" si="2056"/>
        <v>557.4</v>
      </c>
      <c r="M501" s="37">
        <f t="shared" si="2056"/>
        <v>709.1</v>
      </c>
      <c r="N501" s="37">
        <f t="shared" si="2056"/>
        <v>840.2</v>
      </c>
      <c r="O501" s="37">
        <f t="shared" si="2056"/>
        <v>1006.6</v>
      </c>
      <c r="P501" s="37">
        <f t="shared" si="2056"/>
        <v>1157.2</v>
      </c>
      <c r="Q501" s="37">
        <f t="shared" si="2056"/>
        <v>1268.7</v>
      </c>
      <c r="R501" s="37">
        <f t="shared" si="2056"/>
        <v>1457.2071779999999</v>
      </c>
      <c r="S501" s="37">
        <f t="shared" si="2056"/>
        <v>1661.8493289999999</v>
      </c>
      <c r="T501" s="37" t="str">
        <f t="shared" si="2056"/>
        <v>n/a</v>
      </c>
      <c r="U501" s="37" t="str">
        <f t="shared" si="2056"/>
        <v>n/a</v>
      </c>
      <c r="V501" s="37" t="str">
        <f t="shared" si="2056"/>
        <v>n/a</v>
      </c>
      <c r="W501" s="37">
        <f t="shared" si="2056"/>
        <v>2433.7539120000001</v>
      </c>
      <c r="X501" s="37" t="str">
        <f t="shared" si="2056"/>
        <v>n/a</v>
      </c>
      <c r="Y501" s="37" t="str">
        <f t="shared" si="2056"/>
        <v>n/a</v>
      </c>
      <c r="Z501" s="37" t="str">
        <f t="shared" si="2056"/>
        <v>n/a</v>
      </c>
      <c r="AA501" s="37" t="str">
        <f t="shared" si="2056"/>
        <v>n/a</v>
      </c>
      <c r="AB501" s="37" t="str">
        <f t="shared" si="2056"/>
        <v>n/a</v>
      </c>
      <c r="AC501" s="37" t="str">
        <f t="shared" si="2056"/>
        <v>n/a</v>
      </c>
      <c r="AD501" s="37" t="str">
        <f t="shared" si="2056"/>
        <v>n/a</v>
      </c>
      <c r="AE501" s="37" t="str">
        <f t="shared" ref="AE501:AG501" si="2057">+IFERROR(AE493-AE502,"n/a")</f>
        <v>n/a</v>
      </c>
      <c r="AF501" s="37" t="str">
        <f t="shared" si="2057"/>
        <v>n/a</v>
      </c>
      <c r="AG501" s="37" t="str">
        <f t="shared" si="2057"/>
        <v>n/a</v>
      </c>
      <c r="AO501" s="37" t="str">
        <f t="shared" ref="AO501:AU501" si="2058">+IFERROR(AO493-AO502,"n/a")</f>
        <v>n/a</v>
      </c>
      <c r="AP501" s="37">
        <f t="shared" si="2058"/>
        <v>141.19661499999998</v>
      </c>
      <c r="AQ501" s="37">
        <f t="shared" si="2058"/>
        <v>471.6</v>
      </c>
      <c r="AR501" s="37">
        <f t="shared" si="2058"/>
        <v>1006.6</v>
      </c>
      <c r="AS501" s="37">
        <f t="shared" si="2058"/>
        <v>1661.8493289999999</v>
      </c>
      <c r="AT501" s="37">
        <f t="shared" si="2058"/>
        <v>2433.7539120000001</v>
      </c>
      <c r="AU501" s="37" t="str">
        <f t="shared" si="2058"/>
        <v>n/a</v>
      </c>
      <c r="AV501" s="37" t="str">
        <f t="shared" ref="AV501" si="2059">+IFERROR(AV493-AV502,"n/a")</f>
        <v>n/a</v>
      </c>
    </row>
    <row r="502" spans="2:48" ht="13.5" x14ac:dyDescent="0.35">
      <c r="B502" t="s">
        <v>337</v>
      </c>
      <c r="H502" s="13">
        <v>0</v>
      </c>
      <c r="I502" s="35">
        <v>0</v>
      </c>
      <c r="J502" s="35">
        <v>0</v>
      </c>
      <c r="K502" s="35">
        <f>+IFERROR((K550+J550+I550+H550)/1000,"n/a")</f>
        <v>0</v>
      </c>
      <c r="L502" s="35">
        <f t="shared" ref="L502:AG502" si="2060">+IFERROR((L550+K550+J550+I550)/1000,"n/a")</f>
        <v>0</v>
      </c>
      <c r="M502" s="35">
        <f t="shared" si="2060"/>
        <v>0</v>
      </c>
      <c r="N502" s="35">
        <f t="shared" si="2060"/>
        <v>0</v>
      </c>
      <c r="O502" s="35">
        <f t="shared" si="2060"/>
        <v>0</v>
      </c>
      <c r="P502" s="35">
        <f t="shared" si="2060"/>
        <v>0</v>
      </c>
      <c r="Q502" s="35">
        <f t="shared" si="2060"/>
        <v>0</v>
      </c>
      <c r="R502" s="35">
        <f t="shared" si="2060"/>
        <v>0.392822</v>
      </c>
      <c r="S502" s="35">
        <f t="shared" si="2060"/>
        <v>5.7506710000000005</v>
      </c>
      <c r="T502" s="35">
        <f t="shared" si="2060"/>
        <v>10.874809000000001</v>
      </c>
      <c r="U502" s="35">
        <f t="shared" si="2060"/>
        <v>12.832972</v>
      </c>
      <c r="V502" s="35">
        <f t="shared" si="2060"/>
        <v>12.522264999999999</v>
      </c>
      <c r="W502" s="35">
        <f t="shared" si="2060"/>
        <v>7.2460880000000003</v>
      </c>
      <c r="X502" s="35">
        <f t="shared" si="2060"/>
        <v>2.1658070000000005</v>
      </c>
      <c r="Y502" s="35">
        <f t="shared" si="2060"/>
        <v>0.25835400000000047</v>
      </c>
      <c r="Z502" s="35">
        <f t="shared" si="2060"/>
        <v>0.23264600000000046</v>
      </c>
      <c r="AA502" s="35">
        <f t="shared" si="2060"/>
        <v>0.209171</v>
      </c>
      <c r="AB502" s="35">
        <f t="shared" si="2060"/>
        <v>0.16531399999999999</v>
      </c>
      <c r="AC502" s="35">
        <f t="shared" si="2060"/>
        <v>0.114604</v>
      </c>
      <c r="AD502" s="35">
        <f t="shared" si="2060"/>
        <v>5.8197000000000006E-2</v>
      </c>
      <c r="AE502" s="35">
        <f t="shared" si="2060"/>
        <v>0</v>
      </c>
      <c r="AF502" s="35">
        <f t="shared" si="2060"/>
        <v>0</v>
      </c>
      <c r="AG502" s="35">
        <f t="shared" si="2060"/>
        <v>0</v>
      </c>
      <c r="AH502" s="16"/>
      <c r="AI502" s="16"/>
      <c r="AJ502" s="16"/>
      <c r="AK502" s="16"/>
      <c r="AL502" s="16"/>
      <c r="AM502" s="16"/>
      <c r="AN502" s="16"/>
      <c r="AO502" s="35">
        <f t="shared" ref="AO502:AU502" si="2061">+AO550/1000</f>
        <v>0.45658800000000005</v>
      </c>
      <c r="AP502" s="35">
        <f t="shared" si="2061"/>
        <v>3.385E-3</v>
      </c>
      <c r="AQ502" s="35">
        <f t="shared" si="2061"/>
        <v>0</v>
      </c>
      <c r="AR502" s="35">
        <f t="shared" si="2061"/>
        <v>0</v>
      </c>
      <c r="AS502" s="35">
        <f t="shared" si="2061"/>
        <v>5.7506710000000005</v>
      </c>
      <c r="AT502" s="35">
        <f t="shared" si="2061"/>
        <v>7.2460879999999994</v>
      </c>
      <c r="AU502" s="35">
        <f t="shared" si="2061"/>
        <v>0.209171</v>
      </c>
      <c r="AV502" s="35">
        <f t="shared" ref="AV502" si="2062">+AV550/1000</f>
        <v>0</v>
      </c>
    </row>
    <row r="503" spans="2:48" s="1" customFormat="1" x14ac:dyDescent="0.2">
      <c r="B503" s="38" t="s">
        <v>335</v>
      </c>
      <c r="H503" s="41">
        <f t="shared" ref="H503:AD503" si="2063">+H493</f>
        <v>198.7</v>
      </c>
      <c r="I503" s="41">
        <f t="shared" si="2063"/>
        <v>262.10000000000002</v>
      </c>
      <c r="J503" s="41">
        <f t="shared" si="2063"/>
        <v>344.8</v>
      </c>
      <c r="K503" s="41">
        <f t="shared" si="2063"/>
        <v>471.6</v>
      </c>
      <c r="L503" s="41">
        <f t="shared" si="2063"/>
        <v>557.4</v>
      </c>
      <c r="M503" s="41">
        <f t="shared" si="2063"/>
        <v>709.1</v>
      </c>
      <c r="N503" s="41">
        <f t="shared" si="2063"/>
        <v>840.2</v>
      </c>
      <c r="O503" s="41">
        <f t="shared" si="2063"/>
        <v>1006.6</v>
      </c>
      <c r="P503" s="41">
        <f t="shared" si="2063"/>
        <v>1157.2</v>
      </c>
      <c r="Q503" s="41">
        <f t="shared" si="2063"/>
        <v>1268.7</v>
      </c>
      <c r="R503" s="41">
        <f t="shared" si="2063"/>
        <v>1457.6</v>
      </c>
      <c r="S503" s="41">
        <f t="shared" si="2063"/>
        <v>1667.6</v>
      </c>
      <c r="T503" s="41" t="str">
        <f t="shared" si="2063"/>
        <v>n/a</v>
      </c>
      <c r="U503" s="41" t="str">
        <f t="shared" si="2063"/>
        <v>n/a</v>
      </c>
      <c r="V503" s="41" t="str">
        <f t="shared" si="2063"/>
        <v>n/a</v>
      </c>
      <c r="W503" s="41">
        <f t="shared" si="2063"/>
        <v>2441</v>
      </c>
      <c r="X503" s="41" t="str">
        <f t="shared" si="2063"/>
        <v>n/a</v>
      </c>
      <c r="Y503" s="41" t="str">
        <f t="shared" si="2063"/>
        <v>n/a</v>
      </c>
      <c r="Z503" s="41" t="str">
        <f t="shared" si="2063"/>
        <v>n/a</v>
      </c>
      <c r="AA503" s="41" t="str">
        <f t="shared" si="2063"/>
        <v>n/a</v>
      </c>
      <c r="AB503" s="41" t="str">
        <f t="shared" si="2063"/>
        <v>n/a</v>
      </c>
      <c r="AC503" s="41" t="str">
        <f t="shared" si="2063"/>
        <v>n/a</v>
      </c>
      <c r="AD503" s="41" t="str">
        <f t="shared" si="2063"/>
        <v>n/a</v>
      </c>
      <c r="AE503" s="41" t="str">
        <f t="shared" ref="AE503:AG503" si="2064">+AE493</f>
        <v>n/a</v>
      </c>
      <c r="AF503" s="41" t="str">
        <f t="shared" si="2064"/>
        <v>n/a</v>
      </c>
      <c r="AG503" s="41" t="str">
        <f t="shared" si="2064"/>
        <v>n/a</v>
      </c>
      <c r="AO503" s="41" t="str">
        <f t="shared" ref="AO503:AU503" si="2065">+AO493</f>
        <v>n/a</v>
      </c>
      <c r="AP503" s="41">
        <f t="shared" si="2065"/>
        <v>141.19999999999999</v>
      </c>
      <c r="AQ503" s="41">
        <f t="shared" si="2065"/>
        <v>471.6</v>
      </c>
      <c r="AR503" s="41">
        <f t="shared" si="2065"/>
        <v>1006.6</v>
      </c>
      <c r="AS503" s="41">
        <f t="shared" si="2065"/>
        <v>1667.6</v>
      </c>
      <c r="AT503" s="41">
        <f t="shared" si="2065"/>
        <v>2441</v>
      </c>
      <c r="AU503" s="41" t="str">
        <f t="shared" si="2065"/>
        <v>n/a</v>
      </c>
      <c r="AV503" s="41" t="str">
        <f t="shared" ref="AV503" si="2066">+AV493</f>
        <v>n/a</v>
      </c>
    </row>
    <row r="504" spans="2:48" s="1" customFormat="1" x14ac:dyDescent="0.2">
      <c r="B504" s="38"/>
      <c r="H504" s="39"/>
      <c r="I504" s="39"/>
      <c r="J504" s="39"/>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c r="AO504" s="42"/>
      <c r="AP504" s="42"/>
      <c r="AQ504" s="42"/>
      <c r="AR504" s="42"/>
      <c r="AS504" s="42"/>
      <c r="AT504" s="42"/>
      <c r="AU504" s="42"/>
      <c r="AV504" s="42"/>
    </row>
    <row r="505" spans="2:48" s="1" customFormat="1" x14ac:dyDescent="0.2">
      <c r="B505" s="19" t="s">
        <v>86</v>
      </c>
      <c r="H505" s="39"/>
      <c r="I505" s="39"/>
      <c r="J505" s="39"/>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c r="AO505" s="42"/>
      <c r="AP505" s="42"/>
      <c r="AQ505" s="42"/>
      <c r="AR505" s="42"/>
      <c r="AS505" s="42"/>
      <c r="AT505" s="42"/>
      <c r="AU505" s="42"/>
      <c r="AV505" s="42"/>
    </row>
    <row r="506" spans="2:48" s="1" customFormat="1" x14ac:dyDescent="0.2">
      <c r="B506" s="20" t="s">
        <v>108</v>
      </c>
      <c r="H506" s="39"/>
      <c r="I506" s="39"/>
      <c r="J506" s="39"/>
      <c r="K506" s="42"/>
      <c r="L506" s="46">
        <f t="shared" ref="L506:U508" si="2067">IFERROR(L501/H501-1,"n/a")</f>
        <v>1.8052340211373932</v>
      </c>
      <c r="M506" s="46">
        <f t="shared" si="2067"/>
        <v>1.7054559328500569</v>
      </c>
      <c r="N506" s="46">
        <f t="shared" si="2067"/>
        <v>1.4367749419953597</v>
      </c>
      <c r="O506" s="46">
        <f t="shared" si="2067"/>
        <v>1.1344359626802376</v>
      </c>
      <c r="P506" s="46">
        <f t="shared" si="2067"/>
        <v>1.0760674560459278</v>
      </c>
      <c r="Q506" s="46">
        <f t="shared" si="2067"/>
        <v>0.78916936962346629</v>
      </c>
      <c r="R506" s="46">
        <f t="shared" si="2067"/>
        <v>0.73435750773625297</v>
      </c>
      <c r="S506" s="46">
        <f t="shared" si="2067"/>
        <v>0.65095303894297629</v>
      </c>
      <c r="T506" s="46" t="str">
        <f t="shared" si="2067"/>
        <v>n/a</v>
      </c>
      <c r="U506" s="46" t="str">
        <f t="shared" si="2067"/>
        <v>n/a</v>
      </c>
      <c r="V506" s="46" t="str">
        <f t="shared" ref="V506:AG508" si="2068">IFERROR(V501/R501-1,"n/a")</f>
        <v>n/a</v>
      </c>
      <c r="W506" s="46">
        <f t="shared" si="2068"/>
        <v>0.46448529931680715</v>
      </c>
      <c r="X506" s="46" t="str">
        <f t="shared" si="2068"/>
        <v>n/a</v>
      </c>
      <c r="Y506" s="46" t="str">
        <f t="shared" si="2068"/>
        <v>n/a</v>
      </c>
      <c r="Z506" s="46" t="str">
        <f t="shared" si="2068"/>
        <v>n/a</v>
      </c>
      <c r="AA506" s="46" t="str">
        <f t="shared" si="2068"/>
        <v>n/a</v>
      </c>
      <c r="AB506" s="46" t="str">
        <f t="shared" si="2068"/>
        <v>n/a</v>
      </c>
      <c r="AC506" s="46" t="str">
        <f t="shared" si="2068"/>
        <v>n/a</v>
      </c>
      <c r="AD506" s="46" t="str">
        <f t="shared" si="2068"/>
        <v>n/a</v>
      </c>
      <c r="AE506" s="46" t="str">
        <f t="shared" si="2068"/>
        <v>n/a</v>
      </c>
      <c r="AF506" s="46" t="str">
        <f t="shared" si="2068"/>
        <v>n/a</v>
      </c>
      <c r="AG506" s="46" t="str">
        <f t="shared" si="2068"/>
        <v>n/a</v>
      </c>
      <c r="AO506" s="42"/>
      <c r="AP506" s="46" t="str">
        <f t="shared" ref="AP506:AV508" si="2069">IFERROR(AP501/AO501-1,"n/a")</f>
        <v>n/a</v>
      </c>
      <c r="AQ506" s="46">
        <f t="shared" si="2069"/>
        <v>2.3400234134508118</v>
      </c>
      <c r="AR506" s="46">
        <f t="shared" si="2069"/>
        <v>1.1344359626802376</v>
      </c>
      <c r="AS506" s="46">
        <f t="shared" si="2069"/>
        <v>0.65095303894297629</v>
      </c>
      <c r="AT506" s="46">
        <f t="shared" si="2069"/>
        <v>0.46448529931680715</v>
      </c>
      <c r="AU506" s="46" t="str">
        <f t="shared" si="2069"/>
        <v>n/a</v>
      </c>
      <c r="AV506" s="46" t="str">
        <f t="shared" si="2069"/>
        <v>n/a</v>
      </c>
    </row>
    <row r="507" spans="2:48" s="1" customFormat="1" ht="13.5" x14ac:dyDescent="0.35">
      <c r="B507" s="20" t="s">
        <v>107</v>
      </c>
      <c r="H507" s="39"/>
      <c r="I507" s="39"/>
      <c r="J507" s="39"/>
      <c r="K507" s="42"/>
      <c r="L507" s="47" t="str">
        <f t="shared" si="2067"/>
        <v>n/a</v>
      </c>
      <c r="M507" s="47" t="str">
        <f t="shared" si="2067"/>
        <v>n/a</v>
      </c>
      <c r="N507" s="47" t="str">
        <f t="shared" si="2067"/>
        <v>n/a</v>
      </c>
      <c r="O507" s="47" t="str">
        <f t="shared" si="2067"/>
        <v>n/a</v>
      </c>
      <c r="P507" s="47" t="str">
        <f t="shared" si="2067"/>
        <v>n/a</v>
      </c>
      <c r="Q507" s="47" t="str">
        <f t="shared" si="2067"/>
        <v>n/a</v>
      </c>
      <c r="R507" s="47" t="str">
        <f t="shared" si="2067"/>
        <v>n/a</v>
      </c>
      <c r="S507" s="47" t="str">
        <f t="shared" si="2067"/>
        <v>n/a</v>
      </c>
      <c r="T507" s="47" t="str">
        <f t="shared" si="2067"/>
        <v>n/a</v>
      </c>
      <c r="U507" s="47" t="str">
        <f t="shared" si="2067"/>
        <v>n/a</v>
      </c>
      <c r="V507" s="47">
        <f t="shared" si="2068"/>
        <v>30.877707969512908</v>
      </c>
      <c r="W507" s="47">
        <f t="shared" si="2068"/>
        <v>0.26004217594781531</v>
      </c>
      <c r="X507" s="47">
        <f t="shared" si="2068"/>
        <v>-0.80084183547499543</v>
      </c>
      <c r="Y507" s="47">
        <f t="shared" si="2068"/>
        <v>-0.97986795264573157</v>
      </c>
      <c r="Z507" s="47">
        <f t="shared" si="2068"/>
        <v>-0.98142141218062384</v>
      </c>
      <c r="AA507" s="47">
        <f t="shared" si="2068"/>
        <v>-0.97113325148687124</v>
      </c>
      <c r="AB507" s="47">
        <f t="shared" si="2068"/>
        <v>-0.92367094574909037</v>
      </c>
      <c r="AC507" s="47">
        <f t="shared" si="2068"/>
        <v>-0.5564071003351998</v>
      </c>
      <c r="AD507" s="47">
        <f t="shared" si="2068"/>
        <v>-0.74984740764939051</v>
      </c>
      <c r="AE507" s="47">
        <f t="shared" si="2068"/>
        <v>-1</v>
      </c>
      <c r="AF507" s="47">
        <f t="shared" si="2068"/>
        <v>-1</v>
      </c>
      <c r="AG507" s="47">
        <f t="shared" si="2068"/>
        <v>-1</v>
      </c>
      <c r="AH507" s="51"/>
      <c r="AI507" s="51"/>
      <c r="AJ507" s="51"/>
      <c r="AK507" s="51"/>
      <c r="AL507" s="51"/>
      <c r="AM507" s="51"/>
      <c r="AN507" s="51"/>
      <c r="AO507" s="52"/>
      <c r="AP507" s="47">
        <f t="shared" si="2069"/>
        <v>-0.99258631413878595</v>
      </c>
      <c r="AQ507" s="47">
        <f t="shared" si="2069"/>
        <v>-1</v>
      </c>
      <c r="AR507" s="47" t="str">
        <f t="shared" si="2069"/>
        <v>n/a</v>
      </c>
      <c r="AS507" s="47" t="str">
        <f t="shared" si="2069"/>
        <v>n/a</v>
      </c>
      <c r="AT507" s="47">
        <f t="shared" si="2069"/>
        <v>0.26004217594781531</v>
      </c>
      <c r="AU507" s="47">
        <f t="shared" si="2069"/>
        <v>-0.97113325148687124</v>
      </c>
      <c r="AV507" s="47">
        <f t="shared" si="2069"/>
        <v>-1</v>
      </c>
    </row>
    <row r="508" spans="2:48" s="1" customFormat="1" x14ac:dyDescent="0.2">
      <c r="B508" s="30" t="s">
        <v>110</v>
      </c>
      <c r="H508" s="39"/>
      <c r="I508" s="39"/>
      <c r="J508" s="39"/>
      <c r="K508" s="42"/>
      <c r="L508" s="46">
        <f t="shared" si="2067"/>
        <v>1.8052340211373932</v>
      </c>
      <c r="M508" s="46">
        <f t="shared" si="2067"/>
        <v>1.7054559328500569</v>
      </c>
      <c r="N508" s="46">
        <f t="shared" si="2067"/>
        <v>1.4367749419953597</v>
      </c>
      <c r="O508" s="46">
        <f t="shared" si="2067"/>
        <v>1.1344359626802376</v>
      </c>
      <c r="P508" s="46">
        <f t="shared" si="2067"/>
        <v>1.0760674560459278</v>
      </c>
      <c r="Q508" s="46">
        <f t="shared" si="2067"/>
        <v>0.78916936962346629</v>
      </c>
      <c r="R508" s="46">
        <f t="shared" si="2067"/>
        <v>0.73482504165674811</v>
      </c>
      <c r="S508" s="46">
        <f t="shared" si="2067"/>
        <v>0.6566660043711503</v>
      </c>
      <c r="T508" s="46" t="str">
        <f t="shared" si="2067"/>
        <v>n/a</v>
      </c>
      <c r="U508" s="46" t="str">
        <f t="shared" si="2067"/>
        <v>n/a</v>
      </c>
      <c r="V508" s="46" t="str">
        <f t="shared" si="2068"/>
        <v>n/a</v>
      </c>
      <c r="W508" s="46">
        <f t="shared" si="2068"/>
        <v>0.46378028304149677</v>
      </c>
      <c r="X508" s="46" t="str">
        <f t="shared" si="2068"/>
        <v>n/a</v>
      </c>
      <c r="Y508" s="46" t="str">
        <f t="shared" si="2068"/>
        <v>n/a</v>
      </c>
      <c r="Z508" s="46" t="str">
        <f t="shared" si="2068"/>
        <v>n/a</v>
      </c>
      <c r="AA508" s="46" t="str">
        <f t="shared" si="2068"/>
        <v>n/a</v>
      </c>
      <c r="AB508" s="46" t="str">
        <f t="shared" si="2068"/>
        <v>n/a</v>
      </c>
      <c r="AC508" s="46" t="str">
        <f t="shared" si="2068"/>
        <v>n/a</v>
      </c>
      <c r="AD508" s="46" t="str">
        <f t="shared" si="2068"/>
        <v>n/a</v>
      </c>
      <c r="AE508" s="46" t="str">
        <f t="shared" si="2068"/>
        <v>n/a</v>
      </c>
      <c r="AF508" s="46" t="str">
        <f t="shared" si="2068"/>
        <v>n/a</v>
      </c>
      <c r="AG508" s="46" t="str">
        <f t="shared" si="2068"/>
        <v>n/a</v>
      </c>
      <c r="AO508" s="42"/>
      <c r="AP508" s="46" t="str">
        <f t="shared" si="2069"/>
        <v>n/a</v>
      </c>
      <c r="AQ508" s="46">
        <f t="shared" si="2069"/>
        <v>2.3399433427762042</v>
      </c>
      <c r="AR508" s="46">
        <f t="shared" si="2069"/>
        <v>1.1344359626802376</v>
      </c>
      <c r="AS508" s="46">
        <f t="shared" si="2069"/>
        <v>0.6566660043711503</v>
      </c>
      <c r="AT508" s="46">
        <f t="shared" si="2069"/>
        <v>0.46378028304149677</v>
      </c>
      <c r="AU508" s="46" t="str">
        <f t="shared" si="2069"/>
        <v>n/a</v>
      </c>
      <c r="AV508" s="46" t="str">
        <f t="shared" si="2069"/>
        <v>n/a</v>
      </c>
    </row>
    <row r="509" spans="2:48" x14ac:dyDescent="0.2">
      <c r="B509" s="4"/>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O509" s="37"/>
      <c r="AP509" s="37"/>
      <c r="AQ509" s="37"/>
      <c r="AR509" s="37"/>
      <c r="AS509" s="37"/>
      <c r="AT509" s="37"/>
      <c r="AU509" s="37"/>
      <c r="AV509" s="37"/>
    </row>
    <row r="510" spans="2:48" x14ac:dyDescent="0.2">
      <c r="B510" s="24" t="s">
        <v>115</v>
      </c>
    </row>
    <row r="511" spans="2:48" x14ac:dyDescent="0.2">
      <c r="B511" t="s">
        <v>239</v>
      </c>
      <c r="H511" s="11">
        <v>2317.375</v>
      </c>
      <c r="I511" s="11">
        <v>4656.1869999999999</v>
      </c>
      <c r="J511" s="11">
        <v>7340.7820000000011</v>
      </c>
      <c r="K511" s="10">
        <f>+IFERROR((K548+J548+I548+H548),"n/a")</f>
        <v>11515.574999999999</v>
      </c>
      <c r="L511" s="10">
        <f t="shared" ref="L511:AG511" si="2070">+IFERROR((L548+K548+J548+I548),"n/a")</f>
        <v>14355.888999999999</v>
      </c>
      <c r="M511" s="10">
        <f t="shared" si="2070"/>
        <v>18452.010000000002</v>
      </c>
      <c r="N511" s="10">
        <f t="shared" si="2070"/>
        <v>22189.32</v>
      </c>
      <c r="O511" s="10">
        <f t="shared" si="2070"/>
        <v>26813.641000000003</v>
      </c>
      <c r="P511" s="10">
        <f t="shared" si="2070"/>
        <v>28357.496999999999</v>
      </c>
      <c r="Q511" s="10">
        <f t="shared" si="2070"/>
        <v>32945.122000000003</v>
      </c>
      <c r="R511" s="10">
        <f t="shared" si="2070"/>
        <v>38718.502999999997</v>
      </c>
      <c r="S511" s="10">
        <f t="shared" si="2070"/>
        <v>47953.778999999995</v>
      </c>
      <c r="T511" s="10">
        <f t="shared" si="2070"/>
        <v>56572.994999999995</v>
      </c>
      <c r="U511" s="10">
        <f t="shared" si="2070"/>
        <v>63598.716</v>
      </c>
      <c r="V511" s="10">
        <f t="shared" si="2070"/>
        <v>69060.375999999989</v>
      </c>
      <c r="W511" s="10">
        <f t="shared" si="2070"/>
        <v>72563.402000000002</v>
      </c>
      <c r="X511" s="10">
        <f t="shared" si="2070"/>
        <v>76610.341000000015</v>
      </c>
      <c r="Y511" s="10">
        <f t="shared" si="2070"/>
        <v>83702.573000000004</v>
      </c>
      <c r="Z511" s="10">
        <f t="shared" si="2070"/>
        <v>94181.722000000009</v>
      </c>
      <c r="AA511" s="10">
        <f t="shared" si="2070"/>
        <v>102721.924</v>
      </c>
      <c r="AB511" s="10">
        <f t="shared" si="2070"/>
        <v>111807.92499999999</v>
      </c>
      <c r="AC511" s="10">
        <f t="shared" si="2070"/>
        <v>124568.105</v>
      </c>
      <c r="AD511" s="10">
        <f t="shared" si="2070"/>
        <v>135830.13799999998</v>
      </c>
      <c r="AE511" s="10">
        <f t="shared" si="2070"/>
        <v>153540.55300000001</v>
      </c>
      <c r="AF511" s="10">
        <f t="shared" si="2070"/>
        <v>168752.37</v>
      </c>
      <c r="AG511" s="10">
        <f t="shared" si="2070"/>
        <v>179935.40500000003</v>
      </c>
      <c r="AO511" s="10">
        <f>+AO548</f>
        <v>0</v>
      </c>
      <c r="AP511" s="10">
        <f t="shared" ref="AP511:AU511" si="2071">+AP548</f>
        <v>1209.2750000000001</v>
      </c>
      <c r="AQ511" s="10">
        <f t="shared" si="2071"/>
        <v>11515.575000000001</v>
      </c>
      <c r="AR511" s="10">
        <f t="shared" si="2071"/>
        <v>26813.641</v>
      </c>
      <c r="AS511" s="10">
        <f t="shared" si="2071"/>
        <v>47953.779000000002</v>
      </c>
      <c r="AT511" s="10">
        <f t="shared" si="2071"/>
        <v>72563.402000000002</v>
      </c>
      <c r="AU511" s="10">
        <f t="shared" si="2071"/>
        <v>102721.924</v>
      </c>
      <c r="AV511" s="10">
        <f t="shared" ref="AV511" si="2072">+AV548</f>
        <v>153540.55300000001</v>
      </c>
    </row>
    <row r="512" spans="2:48" ht="13.5" x14ac:dyDescent="0.35">
      <c r="B512" t="s">
        <v>240</v>
      </c>
      <c r="H512" s="25">
        <f t="shared" ref="H512:J512" si="2073">+IFERROR(H513-H511,"n/a")</f>
        <v>774.28600000000006</v>
      </c>
      <c r="I512" s="25">
        <f t="shared" si="2073"/>
        <v>1039.9030000000002</v>
      </c>
      <c r="J512" s="25">
        <f t="shared" si="2073"/>
        <v>1304.6879999999983</v>
      </c>
      <c r="K512" s="25">
        <f>+IFERROR(K513-K511,"n/a")</f>
        <v>1604.4150000000009</v>
      </c>
      <c r="L512" s="25">
        <f t="shared" ref="L512:AD512" si="2074">+IFERROR(L513-L511,"n/a")</f>
        <v>1924.7010000000009</v>
      </c>
      <c r="M512" s="25">
        <f t="shared" si="2074"/>
        <v>2409.5419999999976</v>
      </c>
      <c r="N512" s="25">
        <f t="shared" si="2074"/>
        <v>2813.7619999999988</v>
      </c>
      <c r="O512" s="25">
        <f t="shared" si="2074"/>
        <v>3328.2449999999953</v>
      </c>
      <c r="P512" s="25">
        <f t="shared" si="2074"/>
        <v>3780.2440000000024</v>
      </c>
      <c r="Q512" s="25">
        <f t="shared" si="2074"/>
        <v>4095.9259999999922</v>
      </c>
      <c r="R512" s="25">
        <f t="shared" si="2074"/>
        <v>4625.557000000008</v>
      </c>
      <c r="S512" s="25">
        <f t="shared" si="2074"/>
        <v>5787.4150000000081</v>
      </c>
      <c r="T512" s="25">
        <f t="shared" si="2074"/>
        <v>7670.1010000000024</v>
      </c>
      <c r="U512" s="25">
        <f t="shared" si="2074"/>
        <v>9539.122000000003</v>
      </c>
      <c r="V512" s="25">
        <f t="shared" si="2074"/>
        <v>11684.145000000019</v>
      </c>
      <c r="W512" s="25">
        <f t="shared" si="2074"/>
        <v>14140.449000000008</v>
      </c>
      <c r="X512" s="25">
        <f t="shared" si="2074"/>
        <v>16800.380999999994</v>
      </c>
      <c r="Y512" s="25">
        <f t="shared" si="2074"/>
        <v>20008.949999999997</v>
      </c>
      <c r="Z512" s="25">
        <f t="shared" si="2074"/>
        <v>23554.055000000008</v>
      </c>
      <c r="AA512" s="25">
        <f t="shared" si="2074"/>
        <v>27626.493999999992</v>
      </c>
      <c r="AB512" s="25">
        <f t="shared" si="2074"/>
        <v>32427.710999999981</v>
      </c>
      <c r="AC512" s="25">
        <f t="shared" si="2074"/>
        <v>40559.421000000017</v>
      </c>
      <c r="AD512" s="25">
        <f t="shared" si="2074"/>
        <v>62689.862000000023</v>
      </c>
      <c r="AE512" s="25">
        <f t="shared" ref="AE512:AG512" si="2075">+IFERROR(AE513-AE511,"n/a")</f>
        <v>94098.652000000002</v>
      </c>
      <c r="AF512" s="25">
        <f t="shared" si="2075"/>
        <v>128061.84400000004</v>
      </c>
      <c r="AG512" s="25">
        <f t="shared" si="2075"/>
        <v>161657.592</v>
      </c>
      <c r="AO512" s="25">
        <f>+AO549</f>
        <v>48.276000000000003</v>
      </c>
      <c r="AP512" s="25">
        <f t="shared" ref="AP512:AU512" si="2076">+AP549</f>
        <v>531.41600000000005</v>
      </c>
      <c r="AQ512" s="25">
        <f t="shared" si="2076"/>
        <v>1604.415</v>
      </c>
      <c r="AR512" s="25">
        <f t="shared" si="2076"/>
        <v>3328.2449999999999</v>
      </c>
      <c r="AS512" s="25">
        <f t="shared" si="2076"/>
        <v>5787.415</v>
      </c>
      <c r="AT512" s="25">
        <f t="shared" si="2076"/>
        <v>14140.449000000001</v>
      </c>
      <c r="AU512" s="25">
        <f t="shared" si="2076"/>
        <v>27626.493999999999</v>
      </c>
      <c r="AV512" s="25">
        <f t="shared" ref="AV512" si="2077">+AV549</f>
        <v>94098.652000000002</v>
      </c>
    </row>
    <row r="513" spans="2:48" x14ac:dyDescent="0.2">
      <c r="B513" s="4" t="s">
        <v>113</v>
      </c>
      <c r="H513" s="10">
        <f t="shared" ref="H513:AD513" si="2078">+IFERROR(H515-H514,"n/a")</f>
        <v>3091.6610000000001</v>
      </c>
      <c r="I513" s="10">
        <f t="shared" si="2078"/>
        <v>5696.09</v>
      </c>
      <c r="J513" s="10">
        <f t="shared" si="2078"/>
        <v>8645.4699999999993</v>
      </c>
      <c r="K513" s="10">
        <f t="shared" si="2078"/>
        <v>13119.99</v>
      </c>
      <c r="L513" s="10">
        <f t="shared" si="2078"/>
        <v>16280.59</v>
      </c>
      <c r="M513" s="10">
        <f t="shared" si="2078"/>
        <v>20861.552</v>
      </c>
      <c r="N513" s="10">
        <f t="shared" si="2078"/>
        <v>25003.081999999999</v>
      </c>
      <c r="O513" s="10">
        <f t="shared" si="2078"/>
        <v>30141.885999999999</v>
      </c>
      <c r="P513" s="10">
        <f t="shared" si="2078"/>
        <v>32137.741000000002</v>
      </c>
      <c r="Q513" s="10">
        <f t="shared" si="2078"/>
        <v>37041.047999999995</v>
      </c>
      <c r="R513" s="10">
        <f t="shared" si="2078"/>
        <v>43344.060000000005</v>
      </c>
      <c r="S513" s="10">
        <f t="shared" si="2078"/>
        <v>53741.194000000003</v>
      </c>
      <c r="T513" s="10">
        <f t="shared" si="2078"/>
        <v>64243.095999999998</v>
      </c>
      <c r="U513" s="10">
        <f t="shared" si="2078"/>
        <v>73137.838000000003</v>
      </c>
      <c r="V513" s="10">
        <f t="shared" si="2078"/>
        <v>80744.521000000008</v>
      </c>
      <c r="W513" s="10">
        <f t="shared" si="2078"/>
        <v>86703.85100000001</v>
      </c>
      <c r="X513" s="10">
        <f t="shared" si="2078"/>
        <v>93410.722000000009</v>
      </c>
      <c r="Y513" s="10">
        <f t="shared" si="2078"/>
        <v>103711.523</v>
      </c>
      <c r="Z513" s="10">
        <f t="shared" si="2078"/>
        <v>117735.77700000002</v>
      </c>
      <c r="AA513" s="10">
        <f t="shared" si="2078"/>
        <v>130348.41799999999</v>
      </c>
      <c r="AB513" s="10">
        <f t="shared" si="2078"/>
        <v>144235.63599999997</v>
      </c>
      <c r="AC513" s="10">
        <f t="shared" si="2078"/>
        <v>165127.52600000001</v>
      </c>
      <c r="AD513" s="10">
        <f t="shared" si="2078"/>
        <v>198520</v>
      </c>
      <c r="AE513" s="10">
        <f t="shared" ref="AE513:AG513" si="2079">+IFERROR(AE515-AE514,"n/a")</f>
        <v>247639.20500000002</v>
      </c>
      <c r="AF513" s="10">
        <f t="shared" si="2079"/>
        <v>296814.21400000004</v>
      </c>
      <c r="AG513" s="10">
        <f t="shared" si="2079"/>
        <v>341592.99700000003</v>
      </c>
      <c r="AO513" s="10">
        <f t="shared" ref="AO513:AU513" si="2080">+IFERROR(AO515-AO514,"n/a")</f>
        <v>48.27600000000001</v>
      </c>
      <c r="AP513" s="10">
        <f t="shared" si="2080"/>
        <v>1740.6910000000003</v>
      </c>
      <c r="AQ513" s="10">
        <f t="shared" si="2080"/>
        <v>13119.990000000002</v>
      </c>
      <c r="AR513" s="10">
        <f t="shared" si="2080"/>
        <v>30141.885999999999</v>
      </c>
      <c r="AS513" s="10">
        <f t="shared" si="2080"/>
        <v>53741.194000000003</v>
      </c>
      <c r="AT513" s="10">
        <f t="shared" si="2080"/>
        <v>86703.850999999995</v>
      </c>
      <c r="AU513" s="10">
        <f t="shared" si="2080"/>
        <v>130348.41800000001</v>
      </c>
      <c r="AV513" s="10">
        <f t="shared" ref="AV513" si="2081">+IFERROR(AV515-AV514,"n/a")</f>
        <v>247639.20499999999</v>
      </c>
    </row>
    <row r="514" spans="2:48" ht="13.5" x14ac:dyDescent="0.35">
      <c r="B514" t="s">
        <v>112</v>
      </c>
      <c r="H514" s="25">
        <f t="shared" ref="H514:AD514" si="2082">+IFERROR(H502*1000,"n/a")</f>
        <v>0</v>
      </c>
      <c r="I514" s="25">
        <f t="shared" si="2082"/>
        <v>0</v>
      </c>
      <c r="J514" s="25">
        <f t="shared" si="2082"/>
        <v>0</v>
      </c>
      <c r="K514" s="25">
        <f t="shared" si="2082"/>
        <v>0</v>
      </c>
      <c r="L514" s="25">
        <f t="shared" si="2082"/>
        <v>0</v>
      </c>
      <c r="M514" s="25">
        <f t="shared" si="2082"/>
        <v>0</v>
      </c>
      <c r="N514" s="25">
        <f t="shared" si="2082"/>
        <v>0</v>
      </c>
      <c r="O514" s="25">
        <f t="shared" si="2082"/>
        <v>0</v>
      </c>
      <c r="P514" s="25">
        <f t="shared" si="2082"/>
        <v>0</v>
      </c>
      <c r="Q514" s="25">
        <f t="shared" si="2082"/>
        <v>0</v>
      </c>
      <c r="R514" s="25">
        <f t="shared" si="2082"/>
        <v>392.822</v>
      </c>
      <c r="S514" s="25">
        <f t="shared" si="2082"/>
        <v>5750.6710000000003</v>
      </c>
      <c r="T514" s="25">
        <f t="shared" si="2082"/>
        <v>10874.809000000001</v>
      </c>
      <c r="U514" s="25">
        <f t="shared" si="2082"/>
        <v>12832.972</v>
      </c>
      <c r="V514" s="25">
        <f t="shared" si="2082"/>
        <v>12522.264999999999</v>
      </c>
      <c r="W514" s="25">
        <f t="shared" si="2082"/>
        <v>7246.0880000000006</v>
      </c>
      <c r="X514" s="25">
        <f t="shared" si="2082"/>
        <v>2165.8070000000007</v>
      </c>
      <c r="Y514" s="25">
        <f t="shared" si="2082"/>
        <v>258.3540000000005</v>
      </c>
      <c r="Z514" s="25">
        <f t="shared" si="2082"/>
        <v>232.64600000000047</v>
      </c>
      <c r="AA514" s="25">
        <f t="shared" si="2082"/>
        <v>209.17099999999999</v>
      </c>
      <c r="AB514" s="25">
        <f t="shared" si="2082"/>
        <v>165.31399999999999</v>
      </c>
      <c r="AC514" s="25">
        <f t="shared" si="2082"/>
        <v>114.604</v>
      </c>
      <c r="AD514" s="25">
        <f t="shared" si="2082"/>
        <v>58.197000000000003</v>
      </c>
      <c r="AE514" s="25">
        <f t="shared" ref="AE514:AG514" si="2083">+IFERROR(AE502*1000,"n/a")</f>
        <v>0</v>
      </c>
      <c r="AF514" s="25">
        <f t="shared" si="2083"/>
        <v>0</v>
      </c>
      <c r="AG514" s="25">
        <f t="shared" si="2083"/>
        <v>0</v>
      </c>
      <c r="AH514" s="16"/>
      <c r="AI514" s="16"/>
      <c r="AJ514" s="16"/>
      <c r="AK514" s="16"/>
      <c r="AL514" s="16"/>
      <c r="AM514" s="16"/>
      <c r="AN514" s="16"/>
      <c r="AO514" s="25">
        <f t="shared" ref="AO514:AU514" si="2084">+IFERROR(AO502*1000,"n/a")</f>
        <v>456.58800000000002</v>
      </c>
      <c r="AP514" s="25">
        <f t="shared" si="2084"/>
        <v>3.3849999999999998</v>
      </c>
      <c r="AQ514" s="25">
        <f t="shared" si="2084"/>
        <v>0</v>
      </c>
      <c r="AR514" s="25">
        <f t="shared" si="2084"/>
        <v>0</v>
      </c>
      <c r="AS514" s="25">
        <f t="shared" si="2084"/>
        <v>5750.6710000000003</v>
      </c>
      <c r="AT514" s="25">
        <f t="shared" si="2084"/>
        <v>7246.0879999999997</v>
      </c>
      <c r="AU514" s="25">
        <f t="shared" si="2084"/>
        <v>209.17099999999999</v>
      </c>
      <c r="AV514" s="25">
        <f t="shared" ref="AV514" si="2085">+IFERROR(AV502*1000,"n/a")</f>
        <v>0</v>
      </c>
    </row>
    <row r="515" spans="2:48" s="1" customFormat="1" x14ac:dyDescent="0.2">
      <c r="B515" s="38" t="s">
        <v>114</v>
      </c>
      <c r="H515" s="39">
        <v>3091.6610000000001</v>
      </c>
      <c r="I515" s="39">
        <v>5696.09</v>
      </c>
      <c r="J515" s="39">
        <v>8645.4699999999993</v>
      </c>
      <c r="K515" s="42">
        <f>+IFERROR((K551+J551+I551+H551),"n/a")</f>
        <v>13119.99</v>
      </c>
      <c r="L515" s="42">
        <f t="shared" ref="L515:AG515" si="2086">+IFERROR((L551+K551+J551+I551),"n/a")</f>
        <v>16280.59</v>
      </c>
      <c r="M515" s="42">
        <f t="shared" si="2086"/>
        <v>20861.552</v>
      </c>
      <c r="N515" s="42">
        <f t="shared" si="2086"/>
        <v>25003.081999999999</v>
      </c>
      <c r="O515" s="42">
        <f t="shared" si="2086"/>
        <v>30141.885999999999</v>
      </c>
      <c r="P515" s="42">
        <f t="shared" si="2086"/>
        <v>32137.741000000002</v>
      </c>
      <c r="Q515" s="42">
        <f t="shared" si="2086"/>
        <v>37041.047999999995</v>
      </c>
      <c r="R515" s="42">
        <f t="shared" si="2086"/>
        <v>43736.882000000005</v>
      </c>
      <c r="S515" s="42">
        <f t="shared" si="2086"/>
        <v>59491.865000000005</v>
      </c>
      <c r="T515" s="42">
        <f t="shared" si="2086"/>
        <v>75117.904999999999</v>
      </c>
      <c r="U515" s="42">
        <f t="shared" si="2086"/>
        <v>85970.81</v>
      </c>
      <c r="V515" s="42">
        <f t="shared" si="2086"/>
        <v>93266.786000000007</v>
      </c>
      <c r="W515" s="42">
        <f t="shared" si="2086"/>
        <v>93949.939000000013</v>
      </c>
      <c r="X515" s="42">
        <f t="shared" si="2086"/>
        <v>95576.52900000001</v>
      </c>
      <c r="Y515" s="42">
        <f t="shared" si="2086"/>
        <v>103969.87700000001</v>
      </c>
      <c r="Z515" s="42">
        <f t="shared" si="2086"/>
        <v>117968.42300000001</v>
      </c>
      <c r="AA515" s="42">
        <f t="shared" si="2086"/>
        <v>130557.58899999999</v>
      </c>
      <c r="AB515" s="42">
        <f t="shared" si="2086"/>
        <v>144400.94999999998</v>
      </c>
      <c r="AC515" s="42">
        <f t="shared" si="2086"/>
        <v>165242.13</v>
      </c>
      <c r="AD515" s="42">
        <f t="shared" si="2086"/>
        <v>198578.19699999999</v>
      </c>
      <c r="AE515" s="42">
        <f t="shared" si="2086"/>
        <v>247639.20500000002</v>
      </c>
      <c r="AF515" s="42">
        <f t="shared" si="2086"/>
        <v>296814.21400000004</v>
      </c>
      <c r="AG515" s="42">
        <f t="shared" si="2086"/>
        <v>341592.99700000003</v>
      </c>
      <c r="AO515" s="42">
        <f>+AO551</f>
        <v>504.86400000000003</v>
      </c>
      <c r="AP515" s="42">
        <f t="shared" ref="AP515:AU515" si="2087">+AP551</f>
        <v>1744.0760000000002</v>
      </c>
      <c r="AQ515" s="42">
        <f t="shared" si="2087"/>
        <v>13119.990000000002</v>
      </c>
      <c r="AR515" s="42">
        <f t="shared" si="2087"/>
        <v>30141.885999999999</v>
      </c>
      <c r="AS515" s="42">
        <f t="shared" si="2087"/>
        <v>59491.865000000005</v>
      </c>
      <c r="AT515" s="42">
        <f t="shared" si="2087"/>
        <v>93949.938999999998</v>
      </c>
      <c r="AU515" s="42">
        <f t="shared" si="2087"/>
        <v>130557.58900000001</v>
      </c>
      <c r="AV515" s="42">
        <f t="shared" ref="AV515" si="2088">+AV551</f>
        <v>247639.20499999999</v>
      </c>
    </row>
    <row r="516" spans="2:48" s="1" customFormat="1" x14ac:dyDescent="0.2">
      <c r="B516" s="38"/>
      <c r="H516" s="39"/>
      <c r="I516" s="39"/>
      <c r="J516" s="39"/>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c r="AO516" s="42"/>
      <c r="AP516" s="42"/>
      <c r="AQ516" s="42"/>
      <c r="AR516" s="42"/>
      <c r="AS516" s="42"/>
      <c r="AT516" s="42"/>
      <c r="AU516" s="42"/>
      <c r="AV516" s="42"/>
    </row>
    <row r="517" spans="2:48" s="1" customFormat="1" x14ac:dyDescent="0.2">
      <c r="B517" s="19" t="s">
        <v>86</v>
      </c>
      <c r="H517" s="39"/>
      <c r="I517" s="39"/>
      <c r="J517" s="39"/>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c r="AO517" s="42"/>
      <c r="AP517" s="42"/>
      <c r="AQ517" s="42"/>
      <c r="AR517" s="42"/>
      <c r="AS517" s="42"/>
      <c r="AT517" s="42"/>
      <c r="AU517" s="42"/>
      <c r="AV517" s="42"/>
    </row>
    <row r="518" spans="2:48" s="1" customFormat="1" x14ac:dyDescent="0.2">
      <c r="B518" s="20" t="s">
        <v>239</v>
      </c>
      <c r="H518" s="39"/>
      <c r="I518" s="39"/>
      <c r="J518" s="39"/>
      <c r="K518" s="42"/>
      <c r="L518" s="46">
        <f t="shared" ref="L518:U522" si="2089">IFERROR(L511/H511-1,"n/a")</f>
        <v>5.1948924968984302</v>
      </c>
      <c r="M518" s="46">
        <f t="shared" si="2089"/>
        <v>2.9629014040887967</v>
      </c>
      <c r="N518" s="46">
        <f t="shared" si="2089"/>
        <v>2.0227460780064028</v>
      </c>
      <c r="O518" s="46">
        <f t="shared" si="2089"/>
        <v>1.3284674017580542</v>
      </c>
      <c r="P518" s="46">
        <f t="shared" si="2089"/>
        <v>0.97532155619202698</v>
      </c>
      <c r="Q518" s="46">
        <f t="shared" si="2089"/>
        <v>0.78544895650934499</v>
      </c>
      <c r="R518" s="46">
        <f t="shared" si="2089"/>
        <v>0.74491615786333232</v>
      </c>
      <c r="S518" s="46">
        <f t="shared" si="2089"/>
        <v>0.78840982468587506</v>
      </c>
      <c r="T518" s="46">
        <f t="shared" si="2089"/>
        <v>0.99499254112589686</v>
      </c>
      <c r="U518" s="46">
        <f t="shared" si="2089"/>
        <v>0.93044408820219249</v>
      </c>
      <c r="V518" s="46">
        <f t="shared" ref="V518:AG522" si="2090">IFERROR(V511/R511-1,"n/a")</f>
        <v>0.78365305084238401</v>
      </c>
      <c r="W518" s="46">
        <f t="shared" si="2090"/>
        <v>0.51319465354336335</v>
      </c>
      <c r="X518" s="46">
        <f t="shared" si="2090"/>
        <v>0.35418570291355489</v>
      </c>
      <c r="Y518" s="46">
        <f t="shared" si="2090"/>
        <v>0.31610476224079753</v>
      </c>
      <c r="Z518" s="46">
        <f t="shared" si="2090"/>
        <v>0.36375918370325744</v>
      </c>
      <c r="AA518" s="46">
        <f t="shared" si="2090"/>
        <v>0.41561615316768075</v>
      </c>
      <c r="AB518" s="46">
        <f t="shared" si="2090"/>
        <v>0.45943646171735431</v>
      </c>
      <c r="AC518" s="46">
        <f t="shared" si="2090"/>
        <v>0.48822312786011945</v>
      </c>
      <c r="AD518" s="46">
        <f t="shared" si="2090"/>
        <v>0.44221336280090484</v>
      </c>
      <c r="AE518" s="46">
        <f t="shared" si="2090"/>
        <v>0.49472037731692042</v>
      </c>
      <c r="AF518" s="46">
        <f t="shared" si="2090"/>
        <v>0.50930598166453778</v>
      </c>
      <c r="AG518" s="46">
        <f t="shared" si="2090"/>
        <v>0.44447412923235885</v>
      </c>
      <c r="AO518" s="42"/>
      <c r="AP518" s="42"/>
      <c r="AQ518" s="42"/>
      <c r="AR518" s="42"/>
      <c r="AS518" s="42"/>
      <c r="AT518" s="42"/>
      <c r="AU518" s="42"/>
      <c r="AV518" s="42"/>
    </row>
    <row r="519" spans="2:48" s="1" customFormat="1" ht="13.5" x14ac:dyDescent="0.35">
      <c r="B519" s="20" t="s">
        <v>240</v>
      </c>
      <c r="H519" s="39"/>
      <c r="I519" s="39"/>
      <c r="J519" s="39"/>
      <c r="K519" s="42"/>
      <c r="L519" s="47">
        <f t="shared" si="2089"/>
        <v>1.4857752820017418</v>
      </c>
      <c r="M519" s="47">
        <f t="shared" si="2089"/>
        <v>1.3170834202805426</v>
      </c>
      <c r="N519" s="47">
        <f t="shared" si="2089"/>
        <v>1.1566550776890741</v>
      </c>
      <c r="O519" s="47">
        <f t="shared" si="2089"/>
        <v>1.0744289974850605</v>
      </c>
      <c r="P519" s="47">
        <f t="shared" si="2089"/>
        <v>0.96406818513628911</v>
      </c>
      <c r="Q519" s="47">
        <f t="shared" si="2089"/>
        <v>0.69987740408758015</v>
      </c>
      <c r="R519" s="47">
        <f t="shared" si="2089"/>
        <v>0.64390485051685609</v>
      </c>
      <c r="S519" s="47">
        <f t="shared" si="2089"/>
        <v>0.73887889863877687</v>
      </c>
      <c r="T519" s="47">
        <f t="shared" si="2089"/>
        <v>1.0289962764308327</v>
      </c>
      <c r="U519" s="47">
        <f t="shared" si="2089"/>
        <v>1.3289292824137986</v>
      </c>
      <c r="V519" s="47">
        <f t="shared" si="2090"/>
        <v>1.5259974096092641</v>
      </c>
      <c r="W519" s="47">
        <f t="shared" si="2090"/>
        <v>1.443310009736642</v>
      </c>
      <c r="X519" s="47">
        <f t="shared" si="2090"/>
        <v>1.1903728516743115</v>
      </c>
      <c r="Y519" s="47">
        <f t="shared" si="2090"/>
        <v>1.0975672603830824</v>
      </c>
      <c r="Z519" s="47">
        <f t="shared" si="2090"/>
        <v>1.0158988954690282</v>
      </c>
      <c r="AA519" s="47">
        <f t="shared" si="2090"/>
        <v>0.95372113007161063</v>
      </c>
      <c r="AB519" s="47">
        <f t="shared" si="2090"/>
        <v>0.93017711919747481</v>
      </c>
      <c r="AC519" s="47">
        <f t="shared" si="2090"/>
        <v>1.0270639388873493</v>
      </c>
      <c r="AD519" s="47">
        <f t="shared" si="2090"/>
        <v>1.6615316131341293</v>
      </c>
      <c r="AE519" s="47">
        <f t="shared" si="2090"/>
        <v>2.4061018383295409</v>
      </c>
      <c r="AF519" s="47">
        <f t="shared" si="2090"/>
        <v>2.9491484304889766</v>
      </c>
      <c r="AG519" s="47">
        <f t="shared" si="2090"/>
        <v>2.9856977248269874</v>
      </c>
      <c r="AO519" s="42"/>
      <c r="AP519" s="42"/>
      <c r="AQ519" s="42"/>
      <c r="AR519" s="42"/>
      <c r="AS519" s="42"/>
      <c r="AT519" s="42"/>
      <c r="AU519" s="42"/>
      <c r="AV519" s="42"/>
    </row>
    <row r="520" spans="2:48" s="1" customFormat="1" x14ac:dyDescent="0.2">
      <c r="B520" s="30" t="s">
        <v>113</v>
      </c>
      <c r="H520" s="39"/>
      <c r="I520" s="39"/>
      <c r="J520" s="39"/>
      <c r="K520" s="42"/>
      <c r="L520" s="46">
        <f t="shared" si="2089"/>
        <v>4.2659686815598477</v>
      </c>
      <c r="M520" s="46">
        <f t="shared" si="2089"/>
        <v>2.6624337045236293</v>
      </c>
      <c r="N520" s="46">
        <f t="shared" si="2089"/>
        <v>1.8920442728966731</v>
      </c>
      <c r="O520" s="46">
        <f t="shared" si="2089"/>
        <v>1.2974015986292673</v>
      </c>
      <c r="P520" s="46">
        <f t="shared" si="2089"/>
        <v>0.9739911759954647</v>
      </c>
      <c r="Q520" s="46">
        <f t="shared" si="2089"/>
        <v>0.77556530789272027</v>
      </c>
      <c r="R520" s="46">
        <f t="shared" si="2089"/>
        <v>0.73354868811772911</v>
      </c>
      <c r="S520" s="46">
        <f t="shared" si="2089"/>
        <v>0.78294065606909946</v>
      </c>
      <c r="T520" s="46">
        <f t="shared" si="2089"/>
        <v>0.99899227515711186</v>
      </c>
      <c r="U520" s="46">
        <f t="shared" si="2089"/>
        <v>0.97450779470386517</v>
      </c>
      <c r="V520" s="46">
        <f t="shared" si="2090"/>
        <v>0.86287396704415786</v>
      </c>
      <c r="W520" s="46">
        <f t="shared" si="2090"/>
        <v>0.61335922309429902</v>
      </c>
      <c r="X520" s="46">
        <f t="shared" si="2090"/>
        <v>0.45401961947786584</v>
      </c>
      <c r="Y520" s="46">
        <f t="shared" si="2090"/>
        <v>0.41802828516752166</v>
      </c>
      <c r="Z520" s="46">
        <f t="shared" si="2090"/>
        <v>0.45812713409991002</v>
      </c>
      <c r="AA520" s="46">
        <f t="shared" si="2090"/>
        <v>0.50337518456936792</v>
      </c>
      <c r="AB520" s="46">
        <f t="shared" si="2090"/>
        <v>0.54410150046800787</v>
      </c>
      <c r="AC520" s="46">
        <f t="shared" si="2090"/>
        <v>0.59218109254841433</v>
      </c>
      <c r="AD520" s="46">
        <f t="shared" si="2090"/>
        <v>0.68614846785272388</v>
      </c>
      <c r="AE520" s="46">
        <f t="shared" si="2090"/>
        <v>0.89982516703808435</v>
      </c>
      <c r="AF520" s="46">
        <f t="shared" si="2090"/>
        <v>1.0578424460928648</v>
      </c>
      <c r="AG520" s="46">
        <f t="shared" si="2090"/>
        <v>1.0686617505551439</v>
      </c>
      <c r="AO520" s="42"/>
      <c r="AP520" s="46">
        <f t="shared" ref="AP520:AV522" si="2091">IFERROR(AP513/AO513-1,"n/a")</f>
        <v>35.057067694092304</v>
      </c>
      <c r="AQ520" s="46">
        <f t="shared" si="2091"/>
        <v>6.5372309042788181</v>
      </c>
      <c r="AR520" s="46">
        <f t="shared" si="2091"/>
        <v>1.2974015986292669</v>
      </c>
      <c r="AS520" s="46">
        <f t="shared" si="2091"/>
        <v>0.78294065606909946</v>
      </c>
      <c r="AT520" s="46">
        <f t="shared" si="2091"/>
        <v>0.6133592230942988</v>
      </c>
      <c r="AU520" s="46">
        <f t="shared" si="2091"/>
        <v>0.50337518456936836</v>
      </c>
      <c r="AV520" s="46">
        <f t="shared" si="2091"/>
        <v>0.89982516703808391</v>
      </c>
    </row>
    <row r="521" spans="2:48" s="1" customFormat="1" ht="13.5" x14ac:dyDescent="0.35">
      <c r="B521" s="20" t="s">
        <v>112</v>
      </c>
      <c r="H521" s="39"/>
      <c r="I521" s="39"/>
      <c r="J521" s="39"/>
      <c r="K521" s="42"/>
      <c r="L521" s="47" t="str">
        <f t="shared" si="2089"/>
        <v>n/a</v>
      </c>
      <c r="M521" s="47" t="str">
        <f t="shared" si="2089"/>
        <v>n/a</v>
      </c>
      <c r="N521" s="47" t="str">
        <f t="shared" si="2089"/>
        <v>n/a</v>
      </c>
      <c r="O521" s="47" t="str">
        <f t="shared" si="2089"/>
        <v>n/a</v>
      </c>
      <c r="P521" s="47" t="str">
        <f t="shared" si="2089"/>
        <v>n/a</v>
      </c>
      <c r="Q521" s="47" t="str">
        <f t="shared" si="2089"/>
        <v>n/a</v>
      </c>
      <c r="R521" s="47" t="str">
        <f t="shared" si="2089"/>
        <v>n/a</v>
      </c>
      <c r="S521" s="47" t="str">
        <f t="shared" si="2089"/>
        <v>n/a</v>
      </c>
      <c r="T521" s="47" t="str">
        <f t="shared" si="2089"/>
        <v>n/a</v>
      </c>
      <c r="U521" s="47" t="str">
        <f t="shared" si="2089"/>
        <v>n/a</v>
      </c>
      <c r="V521" s="47">
        <f t="shared" si="2090"/>
        <v>30.877707969512908</v>
      </c>
      <c r="W521" s="47">
        <f t="shared" si="2090"/>
        <v>0.26004217594781553</v>
      </c>
      <c r="X521" s="47">
        <f t="shared" si="2090"/>
        <v>-0.80084183547499543</v>
      </c>
      <c r="Y521" s="47">
        <f t="shared" si="2090"/>
        <v>-0.97986795264573157</v>
      </c>
      <c r="Z521" s="47">
        <f t="shared" si="2090"/>
        <v>-0.98142141218062384</v>
      </c>
      <c r="AA521" s="47">
        <f t="shared" si="2090"/>
        <v>-0.97113325148687124</v>
      </c>
      <c r="AB521" s="47">
        <f t="shared" si="2090"/>
        <v>-0.92367094574909037</v>
      </c>
      <c r="AC521" s="47">
        <f t="shared" si="2090"/>
        <v>-0.5564071003351998</v>
      </c>
      <c r="AD521" s="47">
        <f t="shared" si="2090"/>
        <v>-0.74984740764939062</v>
      </c>
      <c r="AE521" s="47">
        <f t="shared" si="2090"/>
        <v>-1</v>
      </c>
      <c r="AF521" s="47">
        <f t="shared" si="2090"/>
        <v>-1</v>
      </c>
      <c r="AG521" s="47">
        <f t="shared" si="2090"/>
        <v>-1</v>
      </c>
      <c r="AO521" s="42"/>
      <c r="AP521" s="47">
        <f t="shared" si="2091"/>
        <v>-0.99258631413878595</v>
      </c>
      <c r="AQ521" s="47">
        <f t="shared" si="2091"/>
        <v>-1</v>
      </c>
      <c r="AR521" s="47" t="str">
        <f t="shared" si="2091"/>
        <v>n/a</v>
      </c>
      <c r="AS521" s="47" t="str">
        <f t="shared" si="2091"/>
        <v>n/a</v>
      </c>
      <c r="AT521" s="47">
        <f t="shared" si="2091"/>
        <v>0.26004217594781531</v>
      </c>
      <c r="AU521" s="47">
        <f t="shared" si="2091"/>
        <v>-0.97113325148687124</v>
      </c>
      <c r="AV521" s="47">
        <f t="shared" si="2091"/>
        <v>-1</v>
      </c>
    </row>
    <row r="522" spans="2:48" s="1" customFormat="1" x14ac:dyDescent="0.2">
      <c r="B522" s="30" t="s">
        <v>114</v>
      </c>
      <c r="H522" s="39"/>
      <c r="I522" s="39"/>
      <c r="J522" s="39"/>
      <c r="K522" s="42"/>
      <c r="L522" s="46">
        <f t="shared" si="2089"/>
        <v>4.2659686815598477</v>
      </c>
      <c r="M522" s="46">
        <f t="shared" si="2089"/>
        <v>2.6624337045236293</v>
      </c>
      <c r="N522" s="46">
        <f t="shared" si="2089"/>
        <v>1.8920442728966731</v>
      </c>
      <c r="O522" s="46">
        <f t="shared" si="2089"/>
        <v>1.2974015986292673</v>
      </c>
      <c r="P522" s="46">
        <f t="shared" si="2089"/>
        <v>0.9739911759954647</v>
      </c>
      <c r="Q522" s="46">
        <f t="shared" si="2089"/>
        <v>0.77556530789272027</v>
      </c>
      <c r="R522" s="46">
        <f t="shared" si="2089"/>
        <v>0.74925963127265693</v>
      </c>
      <c r="S522" s="46">
        <f t="shared" si="2089"/>
        <v>0.97372735733921911</v>
      </c>
      <c r="T522" s="46">
        <f t="shared" si="2089"/>
        <v>1.3373735260359463</v>
      </c>
      <c r="U522" s="46">
        <f t="shared" si="2089"/>
        <v>1.3209605192596063</v>
      </c>
      <c r="V522" s="46">
        <f t="shared" si="2090"/>
        <v>1.1324516457300269</v>
      </c>
      <c r="W522" s="46">
        <f t="shared" si="2090"/>
        <v>0.57920648478577719</v>
      </c>
      <c r="X522" s="46">
        <f t="shared" si="2090"/>
        <v>0.27235349548153676</v>
      </c>
      <c r="Y522" s="46">
        <f t="shared" si="2090"/>
        <v>0.20936253828479701</v>
      </c>
      <c r="Z522" s="46">
        <f t="shared" si="2090"/>
        <v>0.26484923582549524</v>
      </c>
      <c r="AA522" s="46">
        <f t="shared" si="2090"/>
        <v>0.38965059892162324</v>
      </c>
      <c r="AB522" s="46">
        <f t="shared" si="2090"/>
        <v>0.51084111874370297</v>
      </c>
      <c r="AC522" s="46">
        <f t="shared" si="2090"/>
        <v>0.58932697400421086</v>
      </c>
      <c r="AD522" s="46">
        <f t="shared" si="2090"/>
        <v>0.68331653462893183</v>
      </c>
      <c r="AE522" s="46">
        <f t="shared" si="2090"/>
        <v>0.8967813889394054</v>
      </c>
      <c r="AF522" s="46">
        <f t="shared" si="2090"/>
        <v>1.055486574014922</v>
      </c>
      <c r="AG522" s="46">
        <f t="shared" si="2090"/>
        <v>1.0672270261827297</v>
      </c>
      <c r="AO522" s="42"/>
      <c r="AP522" s="46">
        <f t="shared" si="2091"/>
        <v>2.4545461748114348</v>
      </c>
      <c r="AQ522" s="46">
        <f t="shared" si="2091"/>
        <v>6.5226022260497825</v>
      </c>
      <c r="AR522" s="46">
        <f t="shared" si="2091"/>
        <v>1.2974015986292669</v>
      </c>
      <c r="AS522" s="46">
        <f t="shared" si="2091"/>
        <v>0.97372735733921911</v>
      </c>
      <c r="AT522" s="46">
        <f t="shared" si="2091"/>
        <v>0.57920648478577674</v>
      </c>
      <c r="AU522" s="46">
        <f t="shared" si="2091"/>
        <v>0.38965059892162368</v>
      </c>
      <c r="AV522" s="46">
        <f t="shared" si="2091"/>
        <v>0.89678138893940496</v>
      </c>
    </row>
    <row r="523" spans="2:48" x14ac:dyDescent="0.2">
      <c r="B523" s="4"/>
    </row>
    <row r="524" spans="2:48" x14ac:dyDescent="0.2">
      <c r="B524" s="19" t="s">
        <v>116</v>
      </c>
    </row>
    <row r="525" spans="2:48" x14ac:dyDescent="0.2">
      <c r="B525" s="20" t="s">
        <v>239</v>
      </c>
      <c r="H525" s="44">
        <f>IFERROR(H511/(H$501*1000),"n/a")</f>
        <v>1.1662682435832914E-2</v>
      </c>
      <c r="I525" s="44">
        <f t="shared" ref="I525:AD527" si="2092">IFERROR(I511/(I$501*1000),"n/a")</f>
        <v>1.7764925600915679E-2</v>
      </c>
      <c r="J525" s="44">
        <f t="shared" si="2092"/>
        <v>2.1289970997679819E-2</v>
      </c>
      <c r="K525" s="44">
        <f t="shared" si="2092"/>
        <v>2.4418097964376589E-2</v>
      </c>
      <c r="L525" s="44">
        <f t="shared" si="2092"/>
        <v>2.5755093290276282E-2</v>
      </c>
      <c r="M525" s="44">
        <f t="shared" si="2092"/>
        <v>2.6021731772669584E-2</v>
      </c>
      <c r="N525" s="44">
        <f t="shared" si="2092"/>
        <v>2.6409569150202334E-2</v>
      </c>
      <c r="O525" s="44">
        <f t="shared" si="2092"/>
        <v>2.663783131333201E-2</v>
      </c>
      <c r="P525" s="44">
        <f t="shared" si="2092"/>
        <v>2.4505268752160386E-2</v>
      </c>
      <c r="Q525" s="44">
        <f t="shared" si="2092"/>
        <v>2.5967621975250259E-2</v>
      </c>
      <c r="R525" s="44">
        <f t="shared" si="2092"/>
        <v>2.6570348804581582E-2</v>
      </c>
      <c r="S525" s="44">
        <f t="shared" si="2092"/>
        <v>2.8855671909110838E-2</v>
      </c>
      <c r="T525" s="44" t="str">
        <f t="shared" si="2092"/>
        <v>n/a</v>
      </c>
      <c r="U525" s="44" t="str">
        <f t="shared" si="2092"/>
        <v>n/a</v>
      </c>
      <c r="V525" s="44" t="str">
        <f t="shared" si="2092"/>
        <v>n/a</v>
      </c>
      <c r="W525" s="44">
        <f t="shared" si="2092"/>
        <v>2.9815422850360887E-2</v>
      </c>
      <c r="X525" s="44" t="str">
        <f t="shared" si="2092"/>
        <v>n/a</v>
      </c>
      <c r="Y525" s="44" t="str">
        <f t="shared" si="2092"/>
        <v>n/a</v>
      </c>
      <c r="Z525" s="44" t="str">
        <f t="shared" si="2092"/>
        <v>n/a</v>
      </c>
      <c r="AA525" s="44" t="str">
        <f t="shared" si="2092"/>
        <v>n/a</v>
      </c>
      <c r="AB525" s="44" t="str">
        <f t="shared" si="2092"/>
        <v>n/a</v>
      </c>
      <c r="AC525" s="44" t="str">
        <f t="shared" si="2092"/>
        <v>n/a</v>
      </c>
      <c r="AD525" s="44" t="str">
        <f t="shared" si="2092"/>
        <v>n/a</v>
      </c>
      <c r="AE525" s="44" t="str">
        <f t="shared" ref="AE525:AG525" si="2093">IFERROR(AE511/(AE$501*1000),"n/a")</f>
        <v>n/a</v>
      </c>
      <c r="AF525" s="44" t="str">
        <f t="shared" si="2093"/>
        <v>n/a</v>
      </c>
      <c r="AG525" s="44" t="str">
        <f t="shared" si="2093"/>
        <v>n/a</v>
      </c>
      <c r="AO525" s="44" t="str">
        <f>IFERROR(AO511/(AO$501*1000),"n/a")</f>
        <v>n/a</v>
      </c>
      <c r="AP525" s="44">
        <f t="shared" ref="AP525:AU527" si="2094">IFERROR(AP511/(AP$501*1000),"n/a")</f>
        <v>8.5644758551754237E-3</v>
      </c>
      <c r="AQ525" s="44">
        <f t="shared" si="2094"/>
        <v>2.4418097964376592E-2</v>
      </c>
      <c r="AR525" s="44">
        <f t="shared" si="2094"/>
        <v>2.6637831313332007E-2</v>
      </c>
      <c r="AS525" s="44">
        <f t="shared" si="2094"/>
        <v>2.8855671909110845E-2</v>
      </c>
      <c r="AT525" s="44">
        <f t="shared" si="2094"/>
        <v>2.9815422850360887E-2</v>
      </c>
      <c r="AU525" s="44" t="str">
        <f t="shared" si="2094"/>
        <v>n/a</v>
      </c>
      <c r="AV525" s="44" t="str">
        <f t="shared" ref="AV525" si="2095">IFERROR(AV511/(AV$501*1000),"n/a")</f>
        <v>n/a</v>
      </c>
    </row>
    <row r="526" spans="2:48" ht="13.5" x14ac:dyDescent="0.35">
      <c r="B526" s="20" t="s">
        <v>240</v>
      </c>
      <c r="H526" s="45">
        <f>IFERROR(H512/(H$501*1000),"n/a")</f>
        <v>3.8967589330649224E-3</v>
      </c>
      <c r="I526" s="45">
        <f t="shared" si="2092"/>
        <v>3.9675810759252196E-3</v>
      </c>
      <c r="J526" s="45">
        <f t="shared" si="2092"/>
        <v>3.7838979118329417E-3</v>
      </c>
      <c r="K526" s="45">
        <f t="shared" si="2092"/>
        <v>3.402067430025447E-3</v>
      </c>
      <c r="L526" s="45">
        <f t="shared" si="2092"/>
        <v>3.4529978471474721E-3</v>
      </c>
      <c r="M526" s="45">
        <f t="shared" si="2092"/>
        <v>3.3980284868142681E-3</v>
      </c>
      <c r="N526" s="45">
        <f t="shared" si="2092"/>
        <v>3.3489193049273968E-3</v>
      </c>
      <c r="O526" s="45">
        <f t="shared" si="2092"/>
        <v>3.3064226107689205E-3</v>
      </c>
      <c r="P526" s="45">
        <f t="shared" si="2092"/>
        <v>3.2667162115451111E-3</v>
      </c>
      <c r="Q526" s="45">
        <f t="shared" si="2092"/>
        <v>3.2284432884054481E-3</v>
      </c>
      <c r="R526" s="45">
        <f t="shared" si="2092"/>
        <v>3.1742617452300312E-3</v>
      </c>
      <c r="S526" s="45">
        <f t="shared" si="2092"/>
        <v>3.4825148700348926E-3</v>
      </c>
      <c r="T526" s="45" t="str">
        <f t="shared" si="2092"/>
        <v>n/a</v>
      </c>
      <c r="U526" s="45" t="str">
        <f t="shared" si="2092"/>
        <v>n/a</v>
      </c>
      <c r="V526" s="45" t="str">
        <f t="shared" si="2092"/>
        <v>n/a</v>
      </c>
      <c r="W526" s="45">
        <f t="shared" si="2092"/>
        <v>5.8101391970150872E-3</v>
      </c>
      <c r="X526" s="45" t="str">
        <f t="shared" si="2092"/>
        <v>n/a</v>
      </c>
      <c r="Y526" s="45" t="str">
        <f t="shared" si="2092"/>
        <v>n/a</v>
      </c>
      <c r="Z526" s="45" t="str">
        <f t="shared" si="2092"/>
        <v>n/a</v>
      </c>
      <c r="AA526" s="45" t="str">
        <f t="shared" si="2092"/>
        <v>n/a</v>
      </c>
      <c r="AB526" s="45" t="str">
        <f t="shared" si="2092"/>
        <v>n/a</v>
      </c>
      <c r="AC526" s="45" t="str">
        <f t="shared" si="2092"/>
        <v>n/a</v>
      </c>
      <c r="AD526" s="45" t="str">
        <f t="shared" si="2092"/>
        <v>n/a</v>
      </c>
      <c r="AE526" s="45" t="str">
        <f t="shared" ref="AE526:AG526" si="2096">IFERROR(AE512/(AE$501*1000),"n/a")</f>
        <v>n/a</v>
      </c>
      <c r="AF526" s="45" t="str">
        <f t="shared" si="2096"/>
        <v>n/a</v>
      </c>
      <c r="AG526" s="45" t="str">
        <f t="shared" si="2096"/>
        <v>n/a</v>
      </c>
      <c r="AO526" s="45" t="str">
        <f>IFERROR(AO512/(AO$501*1000),"n/a")</f>
        <v>n/a</v>
      </c>
      <c r="AP526" s="45">
        <f t="shared" si="2094"/>
        <v>3.7636596316420199E-3</v>
      </c>
      <c r="AQ526" s="45">
        <f t="shared" si="2094"/>
        <v>3.4020674300254453E-3</v>
      </c>
      <c r="AR526" s="45">
        <f t="shared" si="2094"/>
        <v>3.3064226107689249E-3</v>
      </c>
      <c r="AS526" s="45">
        <f t="shared" si="2094"/>
        <v>3.4825148700348878E-3</v>
      </c>
      <c r="AT526" s="45">
        <f t="shared" si="2094"/>
        <v>5.8101391970150846E-3</v>
      </c>
      <c r="AU526" s="45" t="str">
        <f t="shared" si="2094"/>
        <v>n/a</v>
      </c>
      <c r="AV526" s="45" t="str">
        <f t="shared" ref="AV526" si="2097">IFERROR(AV512/(AV$501*1000),"n/a")</f>
        <v>n/a</v>
      </c>
    </row>
    <row r="527" spans="2:48" x14ac:dyDescent="0.2">
      <c r="B527" s="30" t="s">
        <v>113</v>
      </c>
      <c r="H527" s="44">
        <f>IFERROR(H513/(H$501*1000),"n/a")</f>
        <v>1.5559441368897836E-2</v>
      </c>
      <c r="I527" s="44">
        <f t="shared" si="2092"/>
        <v>2.1732506676840898E-2</v>
      </c>
      <c r="J527" s="44">
        <f t="shared" si="2092"/>
        <v>2.5073868909512759E-2</v>
      </c>
      <c r="K527" s="44">
        <f t="shared" si="2092"/>
        <v>2.7820165394402036E-2</v>
      </c>
      <c r="L527" s="44">
        <f t="shared" si="2092"/>
        <v>2.9208091137423755E-2</v>
      </c>
      <c r="M527" s="44">
        <f t="shared" si="2092"/>
        <v>2.9419760259483851E-2</v>
      </c>
      <c r="N527" s="44">
        <f t="shared" si="2092"/>
        <v>2.9758488455129729E-2</v>
      </c>
      <c r="O527" s="44">
        <f t="shared" si="2092"/>
        <v>2.9944253924100932E-2</v>
      </c>
      <c r="P527" s="44">
        <f t="shared" si="2092"/>
        <v>2.7771984963705497E-2</v>
      </c>
      <c r="Q527" s="44">
        <f t="shared" si="2092"/>
        <v>2.9196065263655705E-2</v>
      </c>
      <c r="R527" s="44">
        <f t="shared" si="2092"/>
        <v>2.9744610549811614E-2</v>
      </c>
      <c r="S527" s="44">
        <f t="shared" si="2092"/>
        <v>3.2338186779145732E-2</v>
      </c>
      <c r="T527" s="44" t="str">
        <f t="shared" si="2092"/>
        <v>n/a</v>
      </c>
      <c r="U527" s="44" t="str">
        <f t="shared" si="2092"/>
        <v>n/a</v>
      </c>
      <c r="V527" s="44" t="str">
        <f t="shared" si="2092"/>
        <v>n/a</v>
      </c>
      <c r="W527" s="44">
        <f t="shared" si="2092"/>
        <v>3.5625562047375978E-2</v>
      </c>
      <c r="X527" s="44" t="str">
        <f t="shared" si="2092"/>
        <v>n/a</v>
      </c>
      <c r="Y527" s="44" t="str">
        <f t="shared" si="2092"/>
        <v>n/a</v>
      </c>
      <c r="Z527" s="44" t="str">
        <f t="shared" si="2092"/>
        <v>n/a</v>
      </c>
      <c r="AA527" s="44" t="str">
        <f t="shared" si="2092"/>
        <v>n/a</v>
      </c>
      <c r="AB527" s="44" t="str">
        <f t="shared" si="2092"/>
        <v>n/a</v>
      </c>
      <c r="AC527" s="44" t="str">
        <f t="shared" si="2092"/>
        <v>n/a</v>
      </c>
      <c r="AD527" s="44" t="str">
        <f t="shared" si="2092"/>
        <v>n/a</v>
      </c>
      <c r="AE527" s="44" t="str">
        <f t="shared" ref="AE527:AG527" si="2098">IFERROR(AE513/(AE$501*1000),"n/a")</f>
        <v>n/a</v>
      </c>
      <c r="AF527" s="44" t="str">
        <f t="shared" si="2098"/>
        <v>n/a</v>
      </c>
      <c r="AG527" s="44" t="str">
        <f t="shared" si="2098"/>
        <v>n/a</v>
      </c>
      <c r="AO527" s="44" t="str">
        <f>IFERROR(AO513/(AO$501*1000),"n/a")</f>
        <v>n/a</v>
      </c>
      <c r="AP527" s="44">
        <f t="shared" si="2094"/>
        <v>1.2328135486817444E-2</v>
      </c>
      <c r="AQ527" s="44">
        <f t="shared" si="2094"/>
        <v>2.782016539440204E-2</v>
      </c>
      <c r="AR527" s="44">
        <f t="shared" si="2094"/>
        <v>2.9944253924100932E-2</v>
      </c>
      <c r="AS527" s="44">
        <f t="shared" si="2094"/>
        <v>3.2338186779145732E-2</v>
      </c>
      <c r="AT527" s="44">
        <f t="shared" si="2094"/>
        <v>3.5625562047375971E-2</v>
      </c>
      <c r="AU527" s="44" t="str">
        <f t="shared" si="2094"/>
        <v>n/a</v>
      </c>
      <c r="AV527" s="44" t="str">
        <f t="shared" ref="AV527" si="2099">IFERROR(AV513/(AV$501*1000),"n/a")</f>
        <v>n/a</v>
      </c>
    </row>
    <row r="528" spans="2:48" ht="13.5" x14ac:dyDescent="0.35">
      <c r="B528" s="20" t="s">
        <v>112</v>
      </c>
      <c r="H528" s="45" t="str">
        <f t="shared" ref="H528:AD528" si="2100">IFERROR(H514/(H502*1000),"n/a")</f>
        <v>n/a</v>
      </c>
      <c r="I528" s="45" t="str">
        <f t="shared" si="2100"/>
        <v>n/a</v>
      </c>
      <c r="J528" s="45" t="str">
        <f t="shared" si="2100"/>
        <v>n/a</v>
      </c>
      <c r="K528" s="45" t="str">
        <f t="shared" si="2100"/>
        <v>n/a</v>
      </c>
      <c r="L528" s="45" t="str">
        <f t="shared" si="2100"/>
        <v>n/a</v>
      </c>
      <c r="M528" s="45" t="str">
        <f t="shared" si="2100"/>
        <v>n/a</v>
      </c>
      <c r="N528" s="45" t="str">
        <f t="shared" si="2100"/>
        <v>n/a</v>
      </c>
      <c r="O528" s="45" t="str">
        <f t="shared" si="2100"/>
        <v>n/a</v>
      </c>
      <c r="P528" s="45" t="str">
        <f t="shared" si="2100"/>
        <v>n/a</v>
      </c>
      <c r="Q528" s="45" t="str">
        <f t="shared" si="2100"/>
        <v>n/a</v>
      </c>
      <c r="R528" s="45">
        <f t="shared" si="2100"/>
        <v>1</v>
      </c>
      <c r="S528" s="45">
        <f t="shared" si="2100"/>
        <v>1</v>
      </c>
      <c r="T528" s="45">
        <f t="shared" si="2100"/>
        <v>1</v>
      </c>
      <c r="U528" s="45">
        <f t="shared" si="2100"/>
        <v>1</v>
      </c>
      <c r="V528" s="45">
        <f t="shared" si="2100"/>
        <v>1</v>
      </c>
      <c r="W528" s="45">
        <f t="shared" si="2100"/>
        <v>1</v>
      </c>
      <c r="X528" s="45">
        <f t="shared" si="2100"/>
        <v>1</v>
      </c>
      <c r="Y528" s="45">
        <f t="shared" si="2100"/>
        <v>1</v>
      </c>
      <c r="Z528" s="45">
        <f t="shared" si="2100"/>
        <v>1</v>
      </c>
      <c r="AA528" s="45">
        <f t="shared" si="2100"/>
        <v>1</v>
      </c>
      <c r="AB528" s="45">
        <f t="shared" si="2100"/>
        <v>1</v>
      </c>
      <c r="AC528" s="45">
        <f t="shared" si="2100"/>
        <v>1</v>
      </c>
      <c r="AD528" s="45">
        <f t="shared" si="2100"/>
        <v>1</v>
      </c>
      <c r="AE528" s="45" t="str">
        <f t="shared" ref="AE528:AG528" si="2101">IFERROR(AE514/(AE502*1000),"n/a")</f>
        <v>n/a</v>
      </c>
      <c r="AF528" s="45" t="str">
        <f t="shared" si="2101"/>
        <v>n/a</v>
      </c>
      <c r="AG528" s="45" t="str">
        <f t="shared" si="2101"/>
        <v>n/a</v>
      </c>
      <c r="AH528" s="16"/>
      <c r="AI528" s="16"/>
      <c r="AJ528" s="16"/>
      <c r="AK528" s="16"/>
      <c r="AL528" s="16"/>
      <c r="AM528" s="16"/>
      <c r="AN528" s="16"/>
      <c r="AO528" s="45">
        <f t="shared" ref="AO528:AU529" si="2102">IFERROR(AO514/(AO502*1000),"n/a")</f>
        <v>1</v>
      </c>
      <c r="AP528" s="45">
        <f t="shared" si="2102"/>
        <v>1</v>
      </c>
      <c r="AQ528" s="45" t="str">
        <f t="shared" si="2102"/>
        <v>n/a</v>
      </c>
      <c r="AR528" s="45" t="str">
        <f t="shared" si="2102"/>
        <v>n/a</v>
      </c>
      <c r="AS528" s="45">
        <f t="shared" si="2102"/>
        <v>1</v>
      </c>
      <c r="AT528" s="45">
        <f t="shared" si="2102"/>
        <v>1</v>
      </c>
      <c r="AU528" s="45">
        <f t="shared" si="2102"/>
        <v>1</v>
      </c>
      <c r="AV528" s="45" t="str">
        <f t="shared" ref="AV528" si="2103">IFERROR(AV514/(AV502*1000),"n/a")</f>
        <v>n/a</v>
      </c>
    </row>
    <row r="529" spans="1:51" x14ac:dyDescent="0.2">
      <c r="B529" s="30" t="s">
        <v>114</v>
      </c>
      <c r="H529" s="44">
        <f t="shared" ref="H529:AD529" si="2104">IFERROR(H515/(H503*1000),"n/a")</f>
        <v>1.5559441368897836E-2</v>
      </c>
      <c r="I529" s="44">
        <f t="shared" si="2104"/>
        <v>2.1732506676840898E-2</v>
      </c>
      <c r="J529" s="44">
        <f t="shared" si="2104"/>
        <v>2.5073868909512759E-2</v>
      </c>
      <c r="K529" s="44">
        <f t="shared" si="2104"/>
        <v>2.7820165394402036E-2</v>
      </c>
      <c r="L529" s="44">
        <f t="shared" si="2104"/>
        <v>2.9208091137423755E-2</v>
      </c>
      <c r="M529" s="44">
        <f t="shared" si="2104"/>
        <v>2.9419760259483851E-2</v>
      </c>
      <c r="N529" s="44">
        <f t="shared" si="2104"/>
        <v>2.9758488455129729E-2</v>
      </c>
      <c r="O529" s="44">
        <f t="shared" si="2104"/>
        <v>2.9944253924100932E-2</v>
      </c>
      <c r="P529" s="44">
        <f t="shared" si="2104"/>
        <v>2.7771984963705497E-2</v>
      </c>
      <c r="Q529" s="44">
        <f t="shared" si="2104"/>
        <v>2.9196065263655705E-2</v>
      </c>
      <c r="R529" s="44">
        <f t="shared" si="2104"/>
        <v>3.0006093578485184E-2</v>
      </c>
      <c r="S529" s="44">
        <f t="shared" si="2104"/>
        <v>3.5675140921084196E-2</v>
      </c>
      <c r="T529" s="44" t="str">
        <f t="shared" si="2104"/>
        <v>n/a</v>
      </c>
      <c r="U529" s="44" t="str">
        <f t="shared" si="2104"/>
        <v>n/a</v>
      </c>
      <c r="V529" s="44" t="str">
        <f t="shared" si="2104"/>
        <v>n/a</v>
      </c>
      <c r="W529" s="44">
        <f t="shared" si="2104"/>
        <v>3.8488299467431389E-2</v>
      </c>
      <c r="X529" s="44" t="str">
        <f t="shared" si="2104"/>
        <v>n/a</v>
      </c>
      <c r="Y529" s="44" t="str">
        <f t="shared" si="2104"/>
        <v>n/a</v>
      </c>
      <c r="Z529" s="44" t="str">
        <f t="shared" si="2104"/>
        <v>n/a</v>
      </c>
      <c r="AA529" s="44" t="str">
        <f t="shared" si="2104"/>
        <v>n/a</v>
      </c>
      <c r="AB529" s="44" t="str">
        <f t="shared" si="2104"/>
        <v>n/a</v>
      </c>
      <c r="AC529" s="44" t="str">
        <f t="shared" si="2104"/>
        <v>n/a</v>
      </c>
      <c r="AD529" s="44" t="str">
        <f t="shared" si="2104"/>
        <v>n/a</v>
      </c>
      <c r="AE529" s="44" t="str">
        <f t="shared" ref="AE529:AG529" si="2105">IFERROR(AE515/(AE503*1000),"n/a")</f>
        <v>n/a</v>
      </c>
      <c r="AF529" s="44" t="str">
        <f t="shared" si="2105"/>
        <v>n/a</v>
      </c>
      <c r="AG529" s="44" t="str">
        <f t="shared" si="2105"/>
        <v>n/a</v>
      </c>
      <c r="AO529" s="44" t="str">
        <f t="shared" si="2102"/>
        <v>n/a</v>
      </c>
      <c r="AP529" s="44">
        <f t="shared" si="2102"/>
        <v>1.2351813031161474E-2</v>
      </c>
      <c r="AQ529" s="44">
        <f t="shared" si="2102"/>
        <v>2.782016539440204E-2</v>
      </c>
      <c r="AR529" s="44">
        <f t="shared" si="2102"/>
        <v>2.9944253924100932E-2</v>
      </c>
      <c r="AS529" s="44">
        <f t="shared" si="2102"/>
        <v>3.5675140921084196E-2</v>
      </c>
      <c r="AT529" s="44">
        <f t="shared" si="2102"/>
        <v>3.8488299467431382E-2</v>
      </c>
      <c r="AU529" s="44" t="str">
        <f t="shared" si="2102"/>
        <v>n/a</v>
      </c>
      <c r="AV529" s="44" t="str">
        <f t="shared" ref="AV529" si="2106">IFERROR(AV515/(AV503*1000),"n/a")</f>
        <v>n/a</v>
      </c>
    </row>
    <row r="531" spans="1:51" x14ac:dyDescent="0.2">
      <c r="B531" s="6" t="s">
        <v>117</v>
      </c>
      <c r="C531" s="5"/>
    </row>
    <row r="533" spans="1:51" x14ac:dyDescent="0.2">
      <c r="B533" t="s">
        <v>119</v>
      </c>
      <c r="H533" s="11">
        <v>166.2</v>
      </c>
      <c r="I533" s="11">
        <v>195</v>
      </c>
      <c r="J533" s="11">
        <v>231.7</v>
      </c>
      <c r="K533" s="11">
        <v>272.60000000000002</v>
      </c>
      <c r="L533" s="11">
        <v>289.7</v>
      </c>
      <c r="M533" s="11">
        <v>366</v>
      </c>
      <c r="N533" s="11">
        <v>429.6</v>
      </c>
      <c r="O533" s="11">
        <v>481.5</v>
      </c>
      <c r="P533" s="11">
        <v>487.4</v>
      </c>
      <c r="Q533" s="11">
        <v>568.79999999999995</v>
      </c>
      <c r="R533" s="11">
        <v>643.4</v>
      </c>
      <c r="S533" s="11">
        <v>719.9</v>
      </c>
      <c r="T533" s="11">
        <v>724.6</v>
      </c>
      <c r="U533" s="11">
        <v>738.5</v>
      </c>
      <c r="V533" s="11">
        <v>741.5</v>
      </c>
      <c r="W533" s="11">
        <v>733.4</v>
      </c>
      <c r="X533" s="11">
        <v>751.3</v>
      </c>
      <c r="Y533" s="12" t="s">
        <v>65</v>
      </c>
      <c r="Z533" s="12" t="s">
        <v>65</v>
      </c>
      <c r="AA533" s="12" t="s">
        <v>65</v>
      </c>
      <c r="AB533" s="12" t="s">
        <v>65</v>
      </c>
      <c r="AC533" s="12" t="s">
        <v>65</v>
      </c>
      <c r="AD533" s="12" t="s">
        <v>65</v>
      </c>
      <c r="AE533" s="12" t="s">
        <v>65</v>
      </c>
      <c r="AF533" s="12" t="s">
        <v>65</v>
      </c>
      <c r="AG533" s="12" t="s">
        <v>65</v>
      </c>
      <c r="AO533" s="12" t="s">
        <v>65</v>
      </c>
      <c r="AP533" s="12" t="s">
        <v>65</v>
      </c>
      <c r="AQ533" s="17">
        <f>+AVERAGE(H533:K533)</f>
        <v>216.375</v>
      </c>
      <c r="AR533" s="17">
        <f>+AVERAGE(L533:O533)</f>
        <v>391.70000000000005</v>
      </c>
      <c r="AS533" s="17">
        <f>+AVERAGE(P533:S533)</f>
        <v>604.875</v>
      </c>
      <c r="AT533" s="17">
        <f>AVERAGE(T533:W533)</f>
        <v>734.5</v>
      </c>
      <c r="AU533" s="12" t="s">
        <v>65</v>
      </c>
      <c r="AV533" s="12" t="s">
        <v>65</v>
      </c>
    </row>
    <row r="534" spans="1:51" x14ac:dyDescent="0.2">
      <c r="B534" t="s">
        <v>121</v>
      </c>
      <c r="H534" s="12" t="s">
        <v>65</v>
      </c>
      <c r="I534" s="12" t="s">
        <v>65</v>
      </c>
      <c r="J534" s="12" t="s">
        <v>65</v>
      </c>
      <c r="K534" s="12" t="s">
        <v>65</v>
      </c>
      <c r="L534" s="12" t="s">
        <v>65</v>
      </c>
      <c r="M534" s="12" t="s">
        <v>65</v>
      </c>
      <c r="N534" s="12" t="s">
        <v>65</v>
      </c>
      <c r="O534" s="12" t="s">
        <v>65</v>
      </c>
      <c r="P534" s="12" t="s">
        <v>65</v>
      </c>
      <c r="Q534" s="12" t="s">
        <v>65</v>
      </c>
      <c r="R534" s="12" t="s">
        <v>65</v>
      </c>
      <c r="S534" s="12" t="s">
        <v>65</v>
      </c>
      <c r="T534" s="12" t="s">
        <v>65</v>
      </c>
      <c r="U534" s="12" t="s">
        <v>65</v>
      </c>
      <c r="V534" s="12" t="s">
        <v>65</v>
      </c>
      <c r="W534" s="12" t="s">
        <v>65</v>
      </c>
      <c r="X534" s="12" t="s">
        <v>65</v>
      </c>
      <c r="Y534" s="12" t="s">
        <v>65</v>
      </c>
      <c r="Z534" s="12" t="s">
        <v>65</v>
      </c>
      <c r="AA534" s="12" t="s">
        <v>65</v>
      </c>
      <c r="AB534" s="12" t="s">
        <v>65</v>
      </c>
      <c r="AC534" s="12" t="s">
        <v>65</v>
      </c>
      <c r="AD534" s="12" t="s">
        <v>65</v>
      </c>
      <c r="AE534" s="12" t="s">
        <v>65</v>
      </c>
      <c r="AF534" s="12" t="s">
        <v>65</v>
      </c>
      <c r="AG534" s="12" t="s">
        <v>65</v>
      </c>
      <c r="AO534" s="12" t="s">
        <v>65</v>
      </c>
      <c r="AP534" s="12" t="s">
        <v>65</v>
      </c>
      <c r="AQ534" s="12" t="s">
        <v>65</v>
      </c>
      <c r="AR534" s="12" t="s">
        <v>65</v>
      </c>
      <c r="AS534" s="12">
        <v>49</v>
      </c>
      <c r="AT534" s="12">
        <v>70</v>
      </c>
      <c r="AU534" s="12" t="s">
        <v>65</v>
      </c>
      <c r="AV534" s="12" t="s">
        <v>65</v>
      </c>
    </row>
    <row r="535" spans="1:51" x14ac:dyDescent="0.2">
      <c r="B535" t="s">
        <v>122</v>
      </c>
      <c r="H535" s="12" t="s">
        <v>65</v>
      </c>
      <c r="I535" s="12" t="s">
        <v>65</v>
      </c>
      <c r="J535" s="12" t="s">
        <v>65</v>
      </c>
      <c r="K535" s="12" t="s">
        <v>65</v>
      </c>
      <c r="L535" s="12" t="s">
        <v>65</v>
      </c>
      <c r="M535" s="12" t="s">
        <v>65</v>
      </c>
      <c r="N535" s="12" t="s">
        <v>65</v>
      </c>
      <c r="O535" s="12" t="s">
        <v>65</v>
      </c>
      <c r="P535" s="12" t="s">
        <v>65</v>
      </c>
      <c r="Q535" s="12" t="s">
        <v>65</v>
      </c>
      <c r="R535" s="12" t="s">
        <v>65</v>
      </c>
      <c r="S535" s="12" t="s">
        <v>65</v>
      </c>
      <c r="T535" s="12" t="s">
        <v>65</v>
      </c>
      <c r="U535" s="12" t="s">
        <v>65</v>
      </c>
      <c r="V535" s="12" t="s">
        <v>65</v>
      </c>
      <c r="W535" s="12" t="s">
        <v>65</v>
      </c>
      <c r="X535" s="12" t="s">
        <v>65</v>
      </c>
      <c r="Y535" s="12" t="s">
        <v>65</v>
      </c>
      <c r="Z535" s="12" t="s">
        <v>65</v>
      </c>
      <c r="AA535" s="12" t="s">
        <v>65</v>
      </c>
      <c r="AB535" s="12" t="s">
        <v>65</v>
      </c>
      <c r="AC535" s="12" t="s">
        <v>65</v>
      </c>
      <c r="AD535" s="12" t="s">
        <v>65</v>
      </c>
      <c r="AE535" s="12" t="s">
        <v>65</v>
      </c>
      <c r="AF535" s="12" t="s">
        <v>65</v>
      </c>
      <c r="AG535" s="12" t="s">
        <v>65</v>
      </c>
      <c r="AO535" s="12" t="s">
        <v>65</v>
      </c>
      <c r="AP535" s="12" t="s">
        <v>65</v>
      </c>
      <c r="AQ535" s="12" t="s">
        <v>65</v>
      </c>
      <c r="AR535" s="12">
        <v>51.1</v>
      </c>
      <c r="AS535" s="12">
        <v>43.5</v>
      </c>
      <c r="AT535" s="12">
        <v>40</v>
      </c>
      <c r="AU535" s="12" t="s">
        <v>65</v>
      </c>
      <c r="AV535" s="12" t="s">
        <v>65</v>
      </c>
    </row>
    <row r="536" spans="1:51" x14ac:dyDescent="0.2">
      <c r="B536" t="s">
        <v>120</v>
      </c>
      <c r="H536" s="12" t="s">
        <v>65</v>
      </c>
      <c r="I536" s="12" t="s">
        <v>65</v>
      </c>
      <c r="J536" s="12" t="s">
        <v>65</v>
      </c>
      <c r="K536" s="12" t="s">
        <v>65</v>
      </c>
      <c r="L536" s="12" t="s">
        <v>65</v>
      </c>
      <c r="M536" s="12" t="s">
        <v>65</v>
      </c>
      <c r="N536" s="12" t="s">
        <v>65</v>
      </c>
      <c r="O536" s="12" t="s">
        <v>65</v>
      </c>
      <c r="P536" s="12" t="s">
        <v>65</v>
      </c>
      <c r="Q536" s="12" t="s">
        <v>65</v>
      </c>
      <c r="R536" s="12" t="s">
        <v>65</v>
      </c>
      <c r="S536" s="12" t="s">
        <v>65</v>
      </c>
      <c r="T536" s="12" t="s">
        <v>65</v>
      </c>
      <c r="U536" s="12" t="s">
        <v>65</v>
      </c>
      <c r="V536" s="12" t="s">
        <v>65</v>
      </c>
      <c r="W536" s="12" t="s">
        <v>65</v>
      </c>
      <c r="X536" s="12" t="s">
        <v>65</v>
      </c>
      <c r="Y536" s="12" t="s">
        <v>65</v>
      </c>
      <c r="Z536" s="12" t="s">
        <v>65</v>
      </c>
      <c r="AA536" s="12" t="s">
        <v>65</v>
      </c>
      <c r="AB536" s="12" t="s">
        <v>65</v>
      </c>
      <c r="AC536" s="12" t="s">
        <v>65</v>
      </c>
      <c r="AD536" s="12" t="s">
        <v>65</v>
      </c>
      <c r="AE536" s="12" t="s">
        <v>65</v>
      </c>
      <c r="AF536" s="12" t="s">
        <v>65</v>
      </c>
      <c r="AG536" s="12" t="s">
        <v>65</v>
      </c>
      <c r="AO536" s="12" t="s">
        <v>65</v>
      </c>
      <c r="AP536" s="12">
        <v>4300</v>
      </c>
      <c r="AQ536" s="12">
        <v>11100</v>
      </c>
      <c r="AR536" s="12">
        <v>19700</v>
      </c>
      <c r="AS536" s="12">
        <v>38300</v>
      </c>
      <c r="AT536" s="12">
        <v>61000</v>
      </c>
      <c r="AU536" s="12" t="s">
        <v>65</v>
      </c>
      <c r="AV536" s="12" t="s">
        <v>65</v>
      </c>
    </row>
    <row r="537" spans="1:51" x14ac:dyDescent="0.2">
      <c r="B537" t="s">
        <v>118</v>
      </c>
      <c r="H537" s="12">
        <v>1</v>
      </c>
      <c r="I537" s="12">
        <v>1.7</v>
      </c>
      <c r="J537" s="12" t="s">
        <v>65</v>
      </c>
      <c r="K537" s="11">
        <v>3.6</v>
      </c>
      <c r="L537" s="12" t="s">
        <v>65</v>
      </c>
      <c r="M537" s="12" t="s">
        <v>65</v>
      </c>
      <c r="N537" s="12" t="s">
        <v>65</v>
      </c>
      <c r="O537" s="11">
        <v>5.0999999999999996</v>
      </c>
      <c r="P537" s="12" t="s">
        <v>65</v>
      </c>
      <c r="Q537" s="12" t="s">
        <v>65</v>
      </c>
      <c r="R537" s="12" t="s">
        <v>65</v>
      </c>
      <c r="S537" s="11">
        <v>8.6</v>
      </c>
      <c r="T537" s="12" t="s">
        <v>65</v>
      </c>
      <c r="U537" s="12" t="s">
        <v>65</v>
      </c>
      <c r="V537" s="12" t="s">
        <v>65</v>
      </c>
      <c r="W537" s="11">
        <v>11.5</v>
      </c>
      <c r="X537" s="12" t="s">
        <v>65</v>
      </c>
      <c r="Y537" s="12" t="s">
        <v>65</v>
      </c>
      <c r="Z537" s="12" t="s">
        <v>65</v>
      </c>
      <c r="AA537" s="11">
        <v>13</v>
      </c>
      <c r="AB537" s="12" t="s">
        <v>65</v>
      </c>
      <c r="AC537" s="12" t="s">
        <v>65</v>
      </c>
      <c r="AD537" s="12" t="s">
        <v>65</v>
      </c>
      <c r="AE537" s="12">
        <v>14.2</v>
      </c>
      <c r="AF537" s="12" t="s">
        <v>65</v>
      </c>
      <c r="AG537" s="12" t="s">
        <v>65</v>
      </c>
      <c r="AO537" s="12" t="s">
        <v>65</v>
      </c>
      <c r="AP537" s="12" t="s">
        <v>65</v>
      </c>
      <c r="AQ537" s="11">
        <v>3.6</v>
      </c>
      <c r="AR537" s="11">
        <v>5.0999999999999996</v>
      </c>
      <c r="AS537" s="11">
        <v>8.6</v>
      </c>
      <c r="AT537" s="11">
        <v>11.5</v>
      </c>
      <c r="AU537" s="11">
        <v>13</v>
      </c>
      <c r="AV537" s="12">
        <v>14.2</v>
      </c>
    </row>
    <row r="538" spans="1:51" x14ac:dyDescent="0.2">
      <c r="H538" s="12"/>
      <c r="I538" s="12"/>
      <c r="J538" s="12"/>
      <c r="K538" s="11"/>
      <c r="L538" s="12"/>
      <c r="M538" s="12"/>
      <c r="N538" s="12"/>
      <c r="O538" s="11"/>
      <c r="P538" s="12"/>
      <c r="Q538" s="12"/>
      <c r="R538" s="12"/>
      <c r="S538" s="11"/>
      <c r="T538" s="12"/>
      <c r="U538" s="12"/>
      <c r="V538" s="12"/>
      <c r="W538" s="289"/>
      <c r="X538" s="12"/>
      <c r="Y538" s="12"/>
      <c r="Z538" s="12"/>
      <c r="AA538" s="11"/>
      <c r="AB538" s="12"/>
      <c r="AC538" s="12"/>
      <c r="AD538" s="12"/>
      <c r="AE538" s="12"/>
      <c r="AG538" s="12"/>
      <c r="AO538" s="12"/>
      <c r="AP538" s="12"/>
      <c r="AQ538" s="11"/>
      <c r="AR538" s="11"/>
      <c r="AS538" s="11"/>
      <c r="AT538" s="11"/>
      <c r="AU538" s="11"/>
      <c r="AV538" s="12"/>
    </row>
    <row r="539" spans="1:51" x14ac:dyDescent="0.2">
      <c r="B539" s="6" t="s">
        <v>373</v>
      </c>
      <c r="C539" s="5"/>
    </row>
    <row r="541" spans="1:51" x14ac:dyDescent="0.2">
      <c r="A541" t="s">
        <v>308</v>
      </c>
      <c r="B541" t="s">
        <v>374</v>
      </c>
      <c r="D541" s="177" cm="1">
        <f t="array" ref="D541">_xll.ciqfunctions.udf.CIQAVG("$"&amp;$A541,"IQ_LASTSALEPRICE",D$7,D$8)</f>
        <v>0.145208</v>
      </c>
      <c r="E541" s="177" cm="1">
        <f t="array" ref="E541">_xll.ciqfunctions.udf.CIQAVG("$"&amp;$A541,"IQ_LASTSALEPRICE",E$7,E$8)</f>
        <v>0.145756</v>
      </c>
      <c r="F541" s="177" cm="1">
        <f t="array" ref="F541">_xll.ciqfunctions.udf.CIQAVG("$"&amp;$A541,"IQ_LASTSALEPRICE",F$7,F$8)</f>
        <v>0.14994499999999999</v>
      </c>
      <c r="G541" s="177" cm="1">
        <f t="array" ref="G541">_xll.ciqfunctions.udf.CIQAVG("$"&amp;$A541,"IQ_LASTSALEPRICE",G$7,G$8)</f>
        <v>0.15123200000000001</v>
      </c>
      <c r="H541" s="177" cm="1">
        <f t="array" ref="H541">_xll.ciqfunctions.udf.CIQAVG("$"&amp;$A541,"IQ_LASTSALEPRICE",H$7,H$8)</f>
        <v>0.157329</v>
      </c>
      <c r="I541" s="177" cm="1">
        <f t="array" ref="I541">_xll.ciqfunctions.udf.CIQAVG("$"&amp;$A541,"IQ_LASTSALEPRICE",I$7,I$8)</f>
        <v>0.15681600000000001</v>
      </c>
      <c r="J541" s="177" cm="1">
        <f t="array" ref="J541">_xll.ciqfunctions.udf.CIQAVG("$"&amp;$A541,"IQ_LASTSALEPRICE",J$7,J$8)</f>
        <v>0.146984</v>
      </c>
      <c r="K541" s="177" cm="1">
        <f t="array" ref="K541">_xll.ciqfunctions.udf.CIQAVG("$"&amp;$A541,"IQ_LASTSALEPRICE",K$7,K$8)</f>
        <v>0.14460799999999999</v>
      </c>
      <c r="L541" s="177" cm="1">
        <f t="array" ref="L541">_xll.ciqfunctions.udf.CIQAVG("$"&amp;$A541,"IQ_LASTSALEPRICE",L$7,L$8)</f>
        <v>0.1482</v>
      </c>
      <c r="M541" s="177" cm="1">
        <f t="array" ref="M541">_xll.ciqfunctions.udf.CIQAVG("$"&amp;$A541,"IQ_LASTSALEPRICE",M$7,M$8)</f>
        <v>0.14660500000000001</v>
      </c>
      <c r="N541" s="177" cm="1">
        <f t="array" ref="N541">_xll.ciqfunctions.udf.CIQAVG("$"&amp;$A541,"IQ_LASTSALEPRICE",N$7,N$8)</f>
        <v>0.14255200000000001</v>
      </c>
      <c r="O541" s="177" cm="1">
        <f t="array" ref="O541">_xll.ciqfunctions.udf.CIQAVG("$"&amp;$A541,"IQ_LASTSALEPRICE",O$7,O$8)</f>
        <v>0.14199000000000001</v>
      </c>
      <c r="P541" s="177" cm="1">
        <f t="array" ref="P541">_xll.ciqfunctions.udf.CIQAVG("$"&amp;$A541,"IQ_LASTSALEPRICE",P$7,P$8)</f>
        <v>0.14328199999999999</v>
      </c>
      <c r="Q541" s="177" cm="1">
        <f t="array" ref="Q541">_xll.ciqfunctions.udf.CIQAVG("$"&amp;$A541,"IQ_LASTSALEPRICE",Q$7,Q$8)</f>
        <v>0.14113700000000001</v>
      </c>
      <c r="R541" s="177" cm="1">
        <f t="array" ref="R541">_xll.ciqfunctions.udf.CIQAVG("$"&amp;$A541,"IQ_LASTSALEPRICE",R$7,R$8)</f>
        <v>0.14454500000000001</v>
      </c>
      <c r="S541" s="177" cm="1">
        <f t="array" ref="S541">_xll.ciqfunctions.udf.CIQAVG("$"&amp;$A541,"IQ_LASTSALEPRICE",S$7,S$8)</f>
        <v>0.15103800000000001</v>
      </c>
      <c r="T541" s="177" cm="1">
        <f t="array" ref="T541">_xll.ciqfunctions.udf.CIQAVG("$"&amp;$A541,"IQ_LASTSALEPRICE",T$7,T$8)</f>
        <v>0.154251</v>
      </c>
      <c r="U541" s="177" cm="1">
        <f t="array" ref="U541">_xll.ciqfunctions.udf.CIQAVG("$"&amp;$A541,"IQ_LASTSALEPRICE",U$7,U$8)</f>
        <v>0.15483</v>
      </c>
      <c r="V541" s="177" cm="1">
        <f t="array" ref="V541">_xll.ciqfunctions.udf.CIQAVG("$"&amp;$A541,"IQ_LASTSALEPRICE",V$7,V$8)</f>
        <v>0.15454300000000001</v>
      </c>
      <c r="W541" s="177" cm="1">
        <f t="array" ref="W541">_xll.ciqfunctions.udf.CIQAVG("$"&amp;$A541,"IQ_LASTSALEPRICE",W$7,W$8)</f>
        <v>0.156413</v>
      </c>
      <c r="X541" s="177" cm="1">
        <f t="array" ref="X541">_xll.ciqfunctions.udf.CIQAVG("$"&amp;$A541,"IQ_LASTSALEPRICE",X$7,X$8)</f>
        <v>0.157531</v>
      </c>
      <c r="Y541" s="177" cm="1">
        <f t="array" ref="Y541">_xll.ciqfunctions.udf.CIQAVG("$"&amp;$A541,"IQ_LASTSALEPRICE",Y$7,Y$8)</f>
        <v>0.15138499999999999</v>
      </c>
      <c r="Z541" s="177" cm="1">
        <f t="array" ref="Z541">_xll.ciqfunctions.udf.CIQAVG("$"&amp;$A541,"IQ_LASTSALEPRICE",Z$7,Z$8)</f>
        <v>0.14613499999999999</v>
      </c>
      <c r="AA541" s="177" cm="1">
        <f t="array" ref="AA541">_xll.ciqfunctions.udf.CIQAVG("$"&amp;$A541,"IQ_LASTSALEPRICE",AA$7,AA$8)</f>
        <v>0.14072599999999999</v>
      </c>
      <c r="AB541" s="177" cm="1">
        <f t="array" ref="AB541">_xll.ciqfunctions.udf.CIQAVG("$"&amp;$A541,"IQ_LASTSALEPRICE",AB$7,AB$8)</f>
        <v>0.146172</v>
      </c>
      <c r="AC541" s="177" cm="1">
        <f t="array" ref="AC541">_xll.ciqfunctions.udf.CIQAVG("$"&amp;$A541,"IQ_LASTSALEPRICE",AC$7,AC$8)</f>
        <v>0.14271</v>
      </c>
      <c r="AD541" s="177" cm="1">
        <f t="array" ref="AD541">_xll.ciqfunctions.udf.CIQAVG("$"&amp;$A541,"IQ_LASTSALEPRICE",AD$7,AD$8)</f>
        <v>0.13806499999999999</v>
      </c>
      <c r="AE541" s="177" cm="1">
        <f t="array" ref="AE541">_xll.ciqfunctions.udf.CIQAVG("$"&amp;$A541,"IQ_LASTSALEPRICE",AE$7,AE$8)</f>
        <v>0.13848299999999999</v>
      </c>
      <c r="AF541" s="177" cm="1">
        <f t="array" ref="AF541">_xll.ciqfunctions.udf.CIQAVG("$"&amp;$A541,"IQ_LASTSALEPRICE",AF$7,AF$8)</f>
        <v>0.139289</v>
      </c>
      <c r="AG541" s="177" cm="1">
        <f t="array" ref="AG541">_xll.ciqfunctions.udf.CIQAVG("$"&amp;$A541,"IQ_LASTSALEPRICE",AG$7,AG$8)</f>
        <v>0.13809199999999999</v>
      </c>
      <c r="AH541" s="177" cm="1">
        <f t="array" ref="AH541">_xll.ciqfunctions.udf.CIQ("$"&amp;$A541,"IQ_LASTSALEPRICE")</f>
        <v>0.138625</v>
      </c>
      <c r="AI541" s="177" cm="1">
        <f t="array" ref="AI541">_xll.ciqfunctions.udf.CIQ("$"&amp;$A541,"IQ_LASTSALEPRICE")</f>
        <v>0.138625</v>
      </c>
      <c r="AJ541" s="177" cm="1">
        <f t="array" ref="AJ541">_xll.ciqfunctions.udf.CIQ("$"&amp;$A541,"IQ_LASTSALEPRICE")</f>
        <v>0.138625</v>
      </c>
      <c r="AK541" s="177" cm="1">
        <f t="array" ref="AK541">_xll.ciqfunctions.udf.CIQ("$"&amp;$A541,"IQ_LASTSALEPRICE")</f>
        <v>0.138625</v>
      </c>
      <c r="AL541" s="177" cm="1">
        <f t="array" ref="AL541">_xll.ciqfunctions.udf.CIQ("$"&amp;$A541,"IQ_LASTSALEPRICE")</f>
        <v>0.138625</v>
      </c>
      <c r="AM541" s="177" cm="1">
        <f t="array" ref="AM541">_xll.ciqfunctions.udf.CIQ("$"&amp;$A541,"IQ_LASTSALEPRICE")</f>
        <v>0.138625</v>
      </c>
      <c r="AO541" s="177" cm="1">
        <f t="array" ref="AO541">_xll.ciqfunctions.udf.CIQAVG("$"&amp;$A541,"IQ_LASTSALEPRICE",AO$7,AO$8)</f>
        <v>0.15060200000000001</v>
      </c>
      <c r="AP541" s="177" cm="1">
        <f t="array" ref="AP541">_xll.ciqfunctions.udf.CIQAVG("$"&amp;$A541,"IQ_LASTSALEPRICE",AP$7,AP$8)</f>
        <v>0.14805699999999999</v>
      </c>
      <c r="AQ541" s="177" cm="1">
        <f t="array" ref="AQ541">_xll.ciqfunctions.udf.CIQAVG("$"&amp;$A541,"IQ_LASTSALEPRICE",AQ$7,AQ$8)</f>
        <v>0.15138699999999999</v>
      </c>
      <c r="AR541" s="177" cm="1">
        <f t="array" ref="AR541">_xll.ciqfunctions.udf.CIQAVG("$"&amp;$A541,"IQ_LASTSALEPRICE",AR$7,AR$8)</f>
        <v>0.144814</v>
      </c>
      <c r="AS541" s="177" cm="1">
        <f t="array" ref="AS541">_xll.ciqfunctions.udf.CIQAVG("$"&amp;$A541,"IQ_LASTSALEPRICE",AS$7,AS$8)</f>
        <v>0.14501600000000001</v>
      </c>
      <c r="AT541" s="177" cm="1">
        <f t="array" ref="AT541">_xll.ciqfunctions.udf.CIQAVG("$"&amp;$A541,"IQ_LASTSALEPRICE",AT$7,AT$8)</f>
        <v>0.15501400000000001</v>
      </c>
      <c r="AU541" s="177" cm="1">
        <f t="array" ref="AU541">_xll.ciqfunctions.udf.CIQAVG("$"&amp;$A541,"IQ_LASTSALEPRICE",AU$7,AU$8)</f>
        <v>0.148891</v>
      </c>
      <c r="AV541" s="177" cm="1">
        <f t="array" ref="AV541">_xll.ciqfunctions.udf.CIQAVG("$"&amp;$A541,"IQ_LASTSALEPRICE",AV$7,AV$8)</f>
        <v>0.14132700000000001</v>
      </c>
      <c r="AW541" s="178">
        <f>+AVERAGE(AF541:AI541)</f>
        <v>0.13865775</v>
      </c>
      <c r="AX541" s="178"/>
    </row>
    <row r="542" spans="1:51" x14ac:dyDescent="0.2">
      <c r="B542" s="20" t="s">
        <v>86</v>
      </c>
      <c r="L542" s="173">
        <f>+IFERROR(L541/H541-1,"n/a")</f>
        <v>-5.8024903228266922E-2</v>
      </c>
      <c r="M542" s="173">
        <f t="shared" ref="M542:AI542" si="2107">+IFERROR(M541/I541-1,"n/a")</f>
        <v>-6.5114529129680632E-2</v>
      </c>
      <c r="N542" s="173">
        <f t="shared" si="2107"/>
        <v>-3.0152941816796286E-2</v>
      </c>
      <c r="O542" s="173">
        <f t="shared" si="2107"/>
        <v>-1.810411595485717E-2</v>
      </c>
      <c r="P542" s="173">
        <f t="shared" si="2107"/>
        <v>-3.3184885290148514E-2</v>
      </c>
      <c r="Q542" s="173">
        <f t="shared" si="2107"/>
        <v>-3.7297500085263113E-2</v>
      </c>
      <c r="R542" s="173">
        <f t="shared" si="2107"/>
        <v>1.3980863123632004E-2</v>
      </c>
      <c r="S542" s="173">
        <f t="shared" si="2107"/>
        <v>6.3722797380097118E-2</v>
      </c>
      <c r="T542" s="173">
        <f t="shared" si="2107"/>
        <v>7.6555324465040986E-2</v>
      </c>
      <c r="U542" s="173">
        <f t="shared" si="2107"/>
        <v>9.7019208286983405E-2</v>
      </c>
      <c r="V542" s="173">
        <f t="shared" si="2107"/>
        <v>6.9168770970977844E-2</v>
      </c>
      <c r="W542" s="173">
        <f t="shared" si="2107"/>
        <v>3.5587070803373866E-2</v>
      </c>
      <c r="X542" s="173">
        <f t="shared" si="2107"/>
        <v>2.1264043669084742E-2</v>
      </c>
      <c r="Y542" s="173">
        <f t="shared" si="2107"/>
        <v>-2.2250209907640706E-2</v>
      </c>
      <c r="Z542" s="173">
        <f t="shared" si="2107"/>
        <v>-5.4405569970817358E-2</v>
      </c>
      <c r="AA542" s="173">
        <f t="shared" si="2107"/>
        <v>-0.1002921752028284</v>
      </c>
      <c r="AB542" s="173">
        <f t="shared" si="2107"/>
        <v>-7.210644254146803E-2</v>
      </c>
      <c r="AC542" s="173">
        <f t="shared" si="2107"/>
        <v>-5.7304224328698306E-2</v>
      </c>
      <c r="AD542" s="173">
        <f t="shared" si="2107"/>
        <v>-5.5222910322646812E-2</v>
      </c>
      <c r="AE542" s="173">
        <f t="shared" si="2107"/>
        <v>-1.5938774640080644E-2</v>
      </c>
      <c r="AF542" s="173">
        <f t="shared" si="2107"/>
        <v>-4.7088361656131172E-2</v>
      </c>
      <c r="AG542" s="173">
        <f t="shared" si="2107"/>
        <v>-3.2359330110013351E-2</v>
      </c>
      <c r="AH542" s="173">
        <f t="shared" si="2107"/>
        <v>4.0560605511896775E-3</v>
      </c>
      <c r="AI542" s="173">
        <f t="shared" si="2107"/>
        <v>1.0253966190796326E-3</v>
      </c>
      <c r="AJ542" s="173">
        <f t="shared" ref="AJ542" si="2108">+IFERROR(AJ541/AF541-1,"n/a")</f>
        <v>-4.7670670332904397E-3</v>
      </c>
      <c r="AK542" s="173">
        <f t="shared" ref="AK542" si="2109">+IFERROR(AK541/AG541-1,"n/a")</f>
        <v>3.8597456767952565E-3</v>
      </c>
      <c r="AL542" s="173">
        <f t="shared" ref="AL542" si="2110">+IFERROR(AL541/AH541-1,"n/a")</f>
        <v>0</v>
      </c>
      <c r="AM542" s="173">
        <f t="shared" ref="AM542" si="2111">+IFERROR(AM541/AI541-1,"n/a")</f>
        <v>0</v>
      </c>
      <c r="AP542" s="173">
        <f>+IFERROR(AP541/AO541-1,"n/a")</f>
        <v>-1.6898845964861131E-2</v>
      </c>
      <c r="AQ542" s="173">
        <f t="shared" ref="AQ542:AW542" si="2112">+IFERROR(AQ541/AP541-1,"n/a")</f>
        <v>2.2491337795578659E-2</v>
      </c>
      <c r="AR542" s="173">
        <f t="shared" si="2112"/>
        <v>-4.3418523387080743E-2</v>
      </c>
      <c r="AS542" s="173">
        <f t="shared" si="2112"/>
        <v>1.3948927589875204E-3</v>
      </c>
      <c r="AT542" s="173">
        <f t="shared" si="2112"/>
        <v>6.8944116511281628E-2</v>
      </c>
      <c r="AU542" s="173">
        <f t="shared" si="2112"/>
        <v>-3.9499658095397905E-2</v>
      </c>
      <c r="AV542" s="173">
        <f t="shared" si="2112"/>
        <v>-5.0802264744007286E-2</v>
      </c>
      <c r="AW542" s="173">
        <f t="shared" si="2112"/>
        <v>-1.8887049183807902E-2</v>
      </c>
      <c r="AX542" s="173"/>
      <c r="AY542" s="173"/>
    </row>
    <row r="543" spans="1:51" x14ac:dyDescent="0.2">
      <c r="B543" s="20" t="s">
        <v>262</v>
      </c>
      <c r="I543" s="173">
        <f>+IFERROR(I541/H541-1,"n/a")</f>
        <v>-3.2606830272866594E-3</v>
      </c>
      <c r="J543" s="173">
        <f t="shared" ref="J543:AI543" si="2113">+IFERROR(J541/I541-1,"n/a")</f>
        <v>-6.2697683909805124E-2</v>
      </c>
      <c r="K543" s="173">
        <f t="shared" si="2113"/>
        <v>-1.6165024764600355E-2</v>
      </c>
      <c r="L543" s="173">
        <f t="shared" si="2113"/>
        <v>2.4839566275724811E-2</v>
      </c>
      <c r="M543" s="173">
        <f t="shared" si="2113"/>
        <v>-1.076248313090411E-2</v>
      </c>
      <c r="N543" s="173">
        <f t="shared" si="2113"/>
        <v>-2.7645714675488597E-2</v>
      </c>
      <c r="O543" s="173">
        <f t="shared" si="2113"/>
        <v>-3.9424210112801727E-3</v>
      </c>
      <c r="P543" s="173">
        <f t="shared" si="2113"/>
        <v>9.0992323403056297E-3</v>
      </c>
      <c r="Q543" s="173">
        <f t="shared" si="2113"/>
        <v>-1.4970477799025605E-2</v>
      </c>
      <c r="R543" s="173">
        <f t="shared" si="2113"/>
        <v>2.4146751029141766E-2</v>
      </c>
      <c r="S543" s="173">
        <f t="shared" si="2113"/>
        <v>4.4920267044864959E-2</v>
      </c>
      <c r="T543" s="173">
        <f t="shared" si="2113"/>
        <v>2.1272792277440056E-2</v>
      </c>
      <c r="U543" s="173">
        <f t="shared" si="2113"/>
        <v>3.7536223428049631E-3</v>
      </c>
      <c r="V543" s="173">
        <f t="shared" si="2113"/>
        <v>-1.8536459342503031E-3</v>
      </c>
      <c r="W543" s="173">
        <f t="shared" si="2113"/>
        <v>1.210019217952274E-2</v>
      </c>
      <c r="X543" s="173">
        <f t="shared" si="2113"/>
        <v>7.1477434740079282E-3</v>
      </c>
      <c r="Y543" s="173">
        <f t="shared" si="2113"/>
        <v>-3.9014543169280991E-2</v>
      </c>
      <c r="Z543" s="173">
        <f t="shared" si="2113"/>
        <v>-3.4679789939558114E-2</v>
      </c>
      <c r="AA543" s="173">
        <f t="shared" si="2113"/>
        <v>-3.7013720190235078E-2</v>
      </c>
      <c r="AB543" s="173">
        <f t="shared" si="2113"/>
        <v>3.8699316402086348E-2</v>
      </c>
      <c r="AC543" s="173">
        <f t="shared" si="2113"/>
        <v>-2.3684426565963368E-2</v>
      </c>
      <c r="AD543" s="173">
        <f t="shared" si="2113"/>
        <v>-3.2548524980730242E-2</v>
      </c>
      <c r="AE543" s="173">
        <f t="shared" si="2113"/>
        <v>3.0275594828523822E-3</v>
      </c>
      <c r="AF543" s="173">
        <f t="shared" si="2113"/>
        <v>5.8202089787193767E-3</v>
      </c>
      <c r="AG543" s="173">
        <f t="shared" si="2113"/>
        <v>-8.5936434320010857E-3</v>
      </c>
      <c r="AH543" s="173">
        <f t="shared" si="2113"/>
        <v>3.8597456767952565E-3</v>
      </c>
      <c r="AI543" s="173">
        <f t="shared" si="2113"/>
        <v>0</v>
      </c>
      <c r="AJ543" s="173">
        <f t="shared" ref="AJ543" si="2114">+IFERROR(AJ541/AI541-1,"n/a")</f>
        <v>0</v>
      </c>
      <c r="AK543" s="173">
        <f t="shared" ref="AK543" si="2115">+IFERROR(AK541/AJ541-1,"n/a")</f>
        <v>0</v>
      </c>
      <c r="AL543" s="173">
        <f t="shared" ref="AL543" si="2116">+IFERROR(AL541/AK541-1,"n/a")</f>
        <v>0</v>
      </c>
      <c r="AM543" s="173">
        <f t="shared" ref="AM543" si="2117">+IFERROR(AM541/AL541-1,"n/a")</f>
        <v>0</v>
      </c>
    </row>
    <row r="546" spans="2:48" x14ac:dyDescent="0.2">
      <c r="B546" s="6" t="s">
        <v>25</v>
      </c>
      <c r="C546" s="5"/>
    </row>
    <row r="547" spans="2:48" x14ac:dyDescent="0.2">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Q547" s="33"/>
      <c r="AR547" s="33"/>
      <c r="AS547" s="33"/>
      <c r="AT547" s="206"/>
      <c r="AU547" s="10"/>
      <c r="AV547" s="33"/>
    </row>
    <row r="548" spans="2:48" x14ac:dyDescent="0.2">
      <c r="B548" t="s">
        <v>67</v>
      </c>
      <c r="H548" s="11">
        <v>1108.0999999999999</v>
      </c>
      <c r="I548" s="11">
        <v>2370.9520000000002</v>
      </c>
      <c r="J548" s="11">
        <v>2974.145</v>
      </c>
      <c r="K548" s="11">
        <v>5062.3779999999997</v>
      </c>
      <c r="L548" s="11">
        <v>3948.4140000000002</v>
      </c>
      <c r="M548" s="11">
        <v>6467.0730000000003</v>
      </c>
      <c r="N548" s="11">
        <v>6711.4549999999999</v>
      </c>
      <c r="O548" s="11">
        <v>9686.6990000000005</v>
      </c>
      <c r="P548" s="11">
        <v>5492.27</v>
      </c>
      <c r="Q548" s="11">
        <v>11054.698</v>
      </c>
      <c r="R548" s="11">
        <v>12484.835999999999</v>
      </c>
      <c r="S548" s="11">
        <v>18921.974999999999</v>
      </c>
      <c r="T548" s="11">
        <v>14111.486000000001</v>
      </c>
      <c r="U548" s="11">
        <v>18080.419000000002</v>
      </c>
      <c r="V548" s="11">
        <v>17946.495999999999</v>
      </c>
      <c r="W548" s="11">
        <v>22425.001000000004</v>
      </c>
      <c r="X548" s="11">
        <v>18158.424999999999</v>
      </c>
      <c r="Y548" s="11">
        <v>25172.651000000002</v>
      </c>
      <c r="Z548" s="11">
        <v>28425.645</v>
      </c>
      <c r="AA548" s="11">
        <v>30965.202999999994</v>
      </c>
      <c r="AB548" s="11">
        <v>27244.425999999999</v>
      </c>
      <c r="AC548" s="11">
        <v>37932.830999999998</v>
      </c>
      <c r="AD548" s="11">
        <v>39687.678</v>
      </c>
      <c r="AE548" s="11">
        <v>48675.618000000002</v>
      </c>
      <c r="AF548" s="11">
        <v>42456.243000000002</v>
      </c>
      <c r="AG548" s="11">
        <v>49115.866000000002</v>
      </c>
      <c r="AO548" s="11">
        <v>0</v>
      </c>
      <c r="AP548" s="11">
        <v>1209.2750000000001</v>
      </c>
      <c r="AQ548" s="11">
        <v>11515.575000000001</v>
      </c>
      <c r="AR548" s="11">
        <v>26813.641</v>
      </c>
      <c r="AS548" s="11">
        <v>47953.779000000002</v>
      </c>
      <c r="AT548" s="11">
        <v>72563.402000000002</v>
      </c>
      <c r="AU548" s="11">
        <v>102721.924</v>
      </c>
      <c r="AV548" s="10">
        <f>+SUM(AB548:AE548)</f>
        <v>153540.55300000001</v>
      </c>
    </row>
    <row r="549" spans="2:48" x14ac:dyDescent="0.2">
      <c r="B549" t="s">
        <v>68</v>
      </c>
      <c r="H549" s="11">
        <v>276.50400000000002</v>
      </c>
      <c r="I549" s="11">
        <v>338.09399999999999</v>
      </c>
      <c r="J549" s="11">
        <v>398.27300000000002</v>
      </c>
      <c r="K549" s="11">
        <v>591.54399999999998</v>
      </c>
      <c r="L549" s="11">
        <v>596.79</v>
      </c>
      <c r="M549" s="11">
        <v>822.93499999999995</v>
      </c>
      <c r="N549" s="11">
        <v>802.49300000000005</v>
      </c>
      <c r="O549" s="11">
        <v>1106.027</v>
      </c>
      <c r="P549" s="11">
        <v>1048.789</v>
      </c>
      <c r="Q549" s="11">
        <v>1138.617</v>
      </c>
      <c r="R549" s="11">
        <v>1332.124</v>
      </c>
      <c r="S549" s="11">
        <v>2267.8850000000002</v>
      </c>
      <c r="T549" s="11">
        <v>2931.4749999999999</v>
      </c>
      <c r="U549" s="11">
        <v>3007.6379999999999</v>
      </c>
      <c r="V549" s="11">
        <v>3477.1469999999999</v>
      </c>
      <c r="W549" s="11">
        <v>4724.1890000000021</v>
      </c>
      <c r="X549" s="11">
        <v>5591.4070000000002</v>
      </c>
      <c r="Y549" s="11">
        <v>6216.2070000000003</v>
      </c>
      <c r="Z549" s="11">
        <v>7022.2520000000004</v>
      </c>
      <c r="AA549" s="11">
        <v>8796.627999999997</v>
      </c>
      <c r="AB549" s="11">
        <v>10392.624</v>
      </c>
      <c r="AC549" s="11">
        <v>14347.916999999999</v>
      </c>
      <c r="AD549" s="11">
        <v>29152.692999999999</v>
      </c>
      <c r="AE549" s="11">
        <v>40205.417999999998</v>
      </c>
      <c r="AF549" s="11">
        <v>44355.815999999999</v>
      </c>
      <c r="AG549" s="11">
        <v>47943.665000000001</v>
      </c>
      <c r="AO549" s="11">
        <v>48.276000000000003</v>
      </c>
      <c r="AP549" s="11">
        <v>531.41600000000005</v>
      </c>
      <c r="AQ549" s="11">
        <v>1604.415</v>
      </c>
      <c r="AR549" s="11">
        <v>3328.2449999999999</v>
      </c>
      <c r="AS549" s="11">
        <v>5787.415</v>
      </c>
      <c r="AT549" s="11">
        <v>14140.449000000001</v>
      </c>
      <c r="AU549" s="11">
        <v>27626.493999999999</v>
      </c>
      <c r="AV549" s="10">
        <f>+SUM(AB549:AE549)</f>
        <v>94098.652000000002</v>
      </c>
    </row>
    <row r="550" spans="2:48" ht="13.5" x14ac:dyDescent="0.35">
      <c r="B550" t="s">
        <v>2</v>
      </c>
      <c r="H550" s="13">
        <v>0</v>
      </c>
      <c r="I550" s="13">
        <v>0</v>
      </c>
      <c r="J550" s="13">
        <v>0</v>
      </c>
      <c r="K550" s="13">
        <v>0</v>
      </c>
      <c r="L550" s="13">
        <v>0</v>
      </c>
      <c r="M550" s="13">
        <v>0</v>
      </c>
      <c r="N550" s="13">
        <v>0</v>
      </c>
      <c r="O550" s="13">
        <v>0</v>
      </c>
      <c r="P550" s="13">
        <v>0</v>
      </c>
      <c r="Q550" s="13">
        <v>0</v>
      </c>
      <c r="R550" s="13">
        <v>392.822</v>
      </c>
      <c r="S550" s="13">
        <v>5357.8490000000002</v>
      </c>
      <c r="T550" s="13">
        <v>5124.1379999999999</v>
      </c>
      <c r="U550" s="13">
        <v>1958.163</v>
      </c>
      <c r="V550" s="13">
        <v>82.114999999999995</v>
      </c>
      <c r="W550" s="13">
        <v>81.67200000000048</v>
      </c>
      <c r="X550" s="13">
        <v>43.856999999999999</v>
      </c>
      <c r="Y550" s="13">
        <v>50.71</v>
      </c>
      <c r="Z550" s="13">
        <v>56.406999999999996</v>
      </c>
      <c r="AA550" s="13">
        <v>58.197000000000003</v>
      </c>
      <c r="AB550" s="13">
        <v>0</v>
      </c>
      <c r="AC550" s="13">
        <v>0</v>
      </c>
      <c r="AD550" s="13">
        <v>0</v>
      </c>
      <c r="AE550" s="13">
        <v>0</v>
      </c>
      <c r="AF550" s="13">
        <v>0</v>
      </c>
      <c r="AG550" s="13">
        <v>0</v>
      </c>
      <c r="AO550" s="13">
        <v>456.58800000000002</v>
      </c>
      <c r="AP550" s="13">
        <v>3.3849999999999998</v>
      </c>
      <c r="AQ550" s="13">
        <v>0</v>
      </c>
      <c r="AR550" s="13">
        <v>0</v>
      </c>
      <c r="AS550" s="13">
        <v>5750.6710000000003</v>
      </c>
      <c r="AT550" s="13">
        <v>7246.0879999999997</v>
      </c>
      <c r="AU550" s="13">
        <v>209.17099999999999</v>
      </c>
      <c r="AV550" s="25">
        <f>+SUM(AB550:AE550)</f>
        <v>0</v>
      </c>
    </row>
    <row r="551" spans="2:48" x14ac:dyDescent="0.2">
      <c r="B551" s="4" t="s">
        <v>73</v>
      </c>
      <c r="H551" s="14">
        <f>IFERROR(H548+H549+H550,"n/a")</f>
        <v>1384.6039999999998</v>
      </c>
      <c r="I551" s="14">
        <f t="shared" ref="I551:AD551" si="2118">IFERROR(I548+I549+I550,"n/a")</f>
        <v>2709.0460000000003</v>
      </c>
      <c r="J551" s="14">
        <f t="shared" si="2118"/>
        <v>3372.4180000000001</v>
      </c>
      <c r="K551" s="14">
        <f t="shared" si="2118"/>
        <v>5653.9219999999996</v>
      </c>
      <c r="L551" s="14">
        <f t="shared" si="2118"/>
        <v>4545.2039999999997</v>
      </c>
      <c r="M551" s="14">
        <f t="shared" si="2118"/>
        <v>7290.0079999999998</v>
      </c>
      <c r="N551" s="14">
        <f t="shared" si="2118"/>
        <v>7513.9480000000003</v>
      </c>
      <c r="O551" s="14">
        <f t="shared" si="2118"/>
        <v>10792.726000000001</v>
      </c>
      <c r="P551" s="14">
        <f t="shared" si="2118"/>
        <v>6541.0590000000002</v>
      </c>
      <c r="Q551" s="14">
        <f t="shared" si="2118"/>
        <v>12193.315000000001</v>
      </c>
      <c r="R551" s="14">
        <f t="shared" si="2118"/>
        <v>14209.781999999999</v>
      </c>
      <c r="S551" s="14">
        <f t="shared" si="2118"/>
        <v>26547.709000000003</v>
      </c>
      <c r="T551" s="14">
        <f t="shared" si="2118"/>
        <v>22167.098999999998</v>
      </c>
      <c r="U551" s="14">
        <f t="shared" si="2118"/>
        <v>23046.22</v>
      </c>
      <c r="V551" s="14">
        <f t="shared" si="2118"/>
        <v>21505.758000000002</v>
      </c>
      <c r="W551" s="14">
        <f t="shared" si="2118"/>
        <v>27230.862000000008</v>
      </c>
      <c r="X551" s="14">
        <f t="shared" si="2118"/>
        <v>23793.688999999998</v>
      </c>
      <c r="Y551" s="14">
        <f t="shared" si="2118"/>
        <v>31439.567999999999</v>
      </c>
      <c r="Z551" s="14">
        <f t="shared" si="2118"/>
        <v>35504.303999999996</v>
      </c>
      <c r="AA551" s="14">
        <f t="shared" si="2118"/>
        <v>39820.027999999991</v>
      </c>
      <c r="AB551" s="14">
        <f t="shared" si="2118"/>
        <v>37637.050000000003</v>
      </c>
      <c r="AC551" s="14">
        <f t="shared" si="2118"/>
        <v>52280.748</v>
      </c>
      <c r="AD551" s="14">
        <f t="shared" si="2118"/>
        <v>68840.370999999999</v>
      </c>
      <c r="AE551" s="14">
        <f t="shared" ref="AE551:AF551" si="2119">IFERROR(AE548+AE549+AE550,"n/a")</f>
        <v>88881.035999999993</v>
      </c>
      <c r="AF551" s="14">
        <f t="shared" si="2119"/>
        <v>86812.059000000008</v>
      </c>
      <c r="AG551" s="14">
        <f t="shared" ref="AG551" si="2120">IFERROR(AG548+AG549+AG550,"n/a")</f>
        <v>97059.531000000003</v>
      </c>
      <c r="AO551" s="14">
        <f t="shared" ref="AO551" si="2121">IFERROR(AO548+AO549+AO550,"n/a")</f>
        <v>504.86400000000003</v>
      </c>
      <c r="AP551" s="14">
        <f t="shared" ref="AP551" si="2122">IFERROR(AP548+AP549+AP550,"n/a")</f>
        <v>1744.0760000000002</v>
      </c>
      <c r="AQ551" s="14">
        <f t="shared" ref="AQ551" si="2123">IFERROR(AQ548+AQ549+AQ550,"n/a")</f>
        <v>13119.990000000002</v>
      </c>
      <c r="AR551" s="14">
        <f t="shared" ref="AR551" si="2124">IFERROR(AR548+AR549+AR550,"n/a")</f>
        <v>30141.885999999999</v>
      </c>
      <c r="AS551" s="14">
        <f t="shared" ref="AS551" si="2125">IFERROR(AS548+AS549+AS550,"n/a")</f>
        <v>59491.865000000005</v>
      </c>
      <c r="AT551" s="14">
        <f t="shared" ref="AT551" si="2126">IFERROR(AT548+AT549+AT550,"n/a")</f>
        <v>93949.938999999998</v>
      </c>
      <c r="AU551" s="14">
        <f t="shared" ref="AU551" si="2127">IFERROR(AU548+AU549+AU550,"n/a")</f>
        <v>130557.58900000001</v>
      </c>
      <c r="AV551" s="10">
        <f>+SUM(AB551:AE551)</f>
        <v>247639.20499999999</v>
      </c>
    </row>
    <row r="552" spans="2:48" x14ac:dyDescent="0.2">
      <c r="AP552" s="157"/>
      <c r="AQ552" s="157"/>
      <c r="AR552" s="157"/>
      <c r="AS552" s="157"/>
      <c r="AT552" s="157"/>
      <c r="AU552" s="157"/>
    </row>
    <row r="553" spans="2:48" x14ac:dyDescent="0.2">
      <c r="B553" t="s">
        <v>5</v>
      </c>
      <c r="H553" s="12">
        <v>163.666</v>
      </c>
      <c r="I553" s="12" t="s">
        <v>65</v>
      </c>
      <c r="J553" s="12" t="s">
        <v>65</v>
      </c>
      <c r="K553" s="12" t="s">
        <v>65</v>
      </c>
      <c r="L553" s="12" t="s">
        <v>65</v>
      </c>
      <c r="M553" s="12" t="s">
        <v>65</v>
      </c>
      <c r="N553" s="12" t="s">
        <v>65</v>
      </c>
      <c r="O553" s="12" t="s">
        <v>65</v>
      </c>
      <c r="P553" s="12" t="s">
        <v>65</v>
      </c>
      <c r="Q553" s="12" t="s">
        <v>65</v>
      </c>
      <c r="R553" s="12" t="s">
        <v>65</v>
      </c>
      <c r="S553" s="12" t="s">
        <v>65</v>
      </c>
      <c r="T553" s="12" t="s">
        <v>65</v>
      </c>
      <c r="U553" s="12" t="s">
        <v>65</v>
      </c>
      <c r="V553" s="12" t="s">
        <v>65</v>
      </c>
      <c r="W553" s="12" t="s">
        <v>65</v>
      </c>
      <c r="X553" s="12" t="s">
        <v>65</v>
      </c>
      <c r="Y553" s="12" t="s">
        <v>65</v>
      </c>
      <c r="Z553" s="12" t="s">
        <v>65</v>
      </c>
      <c r="AA553" s="12" t="s">
        <v>65</v>
      </c>
      <c r="AB553" s="12" t="s">
        <v>65</v>
      </c>
      <c r="AC553" s="12" t="s">
        <v>65</v>
      </c>
      <c r="AD553" s="12" t="s">
        <v>65</v>
      </c>
      <c r="AE553" s="12" t="s">
        <v>65</v>
      </c>
      <c r="AF553" s="12" t="s">
        <v>65</v>
      </c>
      <c r="AG553" s="12" t="s">
        <v>65</v>
      </c>
      <c r="AO553" s="11">
        <v>51.863999999999997</v>
      </c>
      <c r="AP553" s="11">
        <v>541.32000000000005</v>
      </c>
      <c r="AQ553" s="11">
        <v>639.29</v>
      </c>
      <c r="AR553" s="11">
        <v>341.87900000000002</v>
      </c>
      <c r="AS553" s="11">
        <v>1545.5640000000001</v>
      </c>
      <c r="AT553" s="11">
        <v>3108.0859999999998</v>
      </c>
      <c r="AU553" s="11">
        <v>3450.9290000000001</v>
      </c>
      <c r="AV553" s="12">
        <v>6824.3860000000004</v>
      </c>
    </row>
    <row r="554" spans="2:48" x14ac:dyDescent="0.2">
      <c r="B554" t="s">
        <v>69</v>
      </c>
      <c r="H554" s="12">
        <v>155.03399999999999</v>
      </c>
      <c r="I554" s="12" t="s">
        <v>65</v>
      </c>
      <c r="J554" s="12" t="s">
        <v>65</v>
      </c>
      <c r="K554" s="12" t="s">
        <v>65</v>
      </c>
      <c r="L554" s="12" t="s">
        <v>65</v>
      </c>
      <c r="M554" s="12" t="s">
        <v>65</v>
      </c>
      <c r="N554" s="12" t="s">
        <v>65</v>
      </c>
      <c r="O554" s="12" t="s">
        <v>65</v>
      </c>
      <c r="P554" s="12" t="s">
        <v>65</v>
      </c>
      <c r="Q554" s="12" t="s">
        <v>65</v>
      </c>
      <c r="R554" s="12" t="s">
        <v>65</v>
      </c>
      <c r="S554" s="12" t="s">
        <v>65</v>
      </c>
      <c r="T554" s="12" t="s">
        <v>65</v>
      </c>
      <c r="U554" s="12" t="s">
        <v>65</v>
      </c>
      <c r="V554" s="12" t="s">
        <v>65</v>
      </c>
      <c r="W554" s="12" t="s">
        <v>65</v>
      </c>
      <c r="X554" s="12" t="s">
        <v>65</v>
      </c>
      <c r="Y554" s="12" t="s">
        <v>65</v>
      </c>
      <c r="Z554" s="12" t="s">
        <v>65</v>
      </c>
      <c r="AA554" s="12" t="s">
        <v>65</v>
      </c>
      <c r="AB554" s="12" t="s">
        <v>65</v>
      </c>
      <c r="AC554" s="12" t="s">
        <v>65</v>
      </c>
      <c r="AD554" s="12" t="s">
        <v>65</v>
      </c>
      <c r="AE554" s="12" t="s">
        <v>65</v>
      </c>
      <c r="AF554" s="12" t="s">
        <v>65</v>
      </c>
      <c r="AG554" s="12" t="s">
        <v>65</v>
      </c>
      <c r="AO554" s="11">
        <v>41.686</v>
      </c>
      <c r="AP554" s="11">
        <v>178.458</v>
      </c>
      <c r="AQ554" s="11">
        <v>2265.9589999999998</v>
      </c>
      <c r="AR554" s="11">
        <v>5996.8990000000003</v>
      </c>
      <c r="AS554" s="11">
        <v>17733.077000000001</v>
      </c>
      <c r="AT554" s="11">
        <v>28610.007000000001</v>
      </c>
      <c r="AU554" s="11">
        <v>28011.368999999999</v>
      </c>
      <c r="AV554" s="12">
        <v>84899.191000000006</v>
      </c>
    </row>
    <row r="555" spans="2:48" ht="13.5" x14ac:dyDescent="0.35">
      <c r="B555" t="s">
        <v>3</v>
      </c>
      <c r="H555" s="23">
        <v>0</v>
      </c>
      <c r="I555" s="23" t="s">
        <v>65</v>
      </c>
      <c r="J555" s="23" t="s">
        <v>65</v>
      </c>
      <c r="K555" s="23" t="s">
        <v>65</v>
      </c>
      <c r="L555" s="23" t="s">
        <v>65</v>
      </c>
      <c r="M555" s="23" t="s">
        <v>65</v>
      </c>
      <c r="N555" s="23" t="s">
        <v>65</v>
      </c>
      <c r="O555" s="23" t="s">
        <v>65</v>
      </c>
      <c r="P555" s="23" t="s">
        <v>65</v>
      </c>
      <c r="Q555" s="23" t="s">
        <v>65</v>
      </c>
      <c r="R555" s="23" t="s">
        <v>65</v>
      </c>
      <c r="S555" s="23" t="s">
        <v>65</v>
      </c>
      <c r="T555" s="23" t="s">
        <v>65</v>
      </c>
      <c r="U555" s="23" t="s">
        <v>65</v>
      </c>
      <c r="V555" s="23" t="s">
        <v>65</v>
      </c>
      <c r="W555" s="23" t="s">
        <v>65</v>
      </c>
      <c r="X555" s="23" t="s">
        <v>65</v>
      </c>
      <c r="Y555" s="23" t="s">
        <v>65</v>
      </c>
      <c r="Z555" s="23" t="s">
        <v>65</v>
      </c>
      <c r="AA555" s="23" t="s">
        <v>65</v>
      </c>
      <c r="AB555" s="23" t="s">
        <v>65</v>
      </c>
      <c r="AC555" s="23" t="s">
        <v>65</v>
      </c>
      <c r="AD555" s="23" t="s">
        <v>65</v>
      </c>
      <c r="AE555" s="23" t="s">
        <v>65</v>
      </c>
      <c r="AF555" s="23" t="s">
        <v>65</v>
      </c>
      <c r="AG555" s="23" t="s">
        <v>65</v>
      </c>
      <c r="AO555" s="13">
        <v>484.31900000000002</v>
      </c>
      <c r="AP555" s="13">
        <v>3.052</v>
      </c>
      <c r="AQ555" s="13">
        <v>0</v>
      </c>
      <c r="AR555" s="13">
        <v>0</v>
      </c>
      <c r="AS555" s="13">
        <v>0</v>
      </c>
      <c r="AT555" s="13">
        <v>0</v>
      </c>
      <c r="AU555" s="13">
        <v>0</v>
      </c>
      <c r="AV555" s="13">
        <v>0</v>
      </c>
    </row>
    <row r="556" spans="2:48" x14ac:dyDescent="0.2">
      <c r="B556" s="4" t="s">
        <v>4</v>
      </c>
      <c r="H556" s="14">
        <f>SUM(H553:H555)</f>
        <v>318.7</v>
      </c>
      <c r="I556" s="11">
        <v>387.83</v>
      </c>
      <c r="J556" s="11">
        <v>774.68399999999997</v>
      </c>
      <c r="K556" s="11">
        <v>1424.0349999999999</v>
      </c>
      <c r="L556" s="11">
        <v>873.31399999999996</v>
      </c>
      <c r="M556" s="11">
        <v>1594.7090000000001</v>
      </c>
      <c r="N556" s="11">
        <v>1833.318</v>
      </c>
      <c r="O556" s="11">
        <v>2037.4369999999999</v>
      </c>
      <c r="P556" s="11">
        <v>1830.2470000000001</v>
      </c>
      <c r="Q556" s="11">
        <v>2662.1149999999998</v>
      </c>
      <c r="R556" s="11">
        <v>3260.1550000000002</v>
      </c>
      <c r="S556" s="11">
        <v>11526.124</v>
      </c>
      <c r="T556" s="11">
        <v>10746.05</v>
      </c>
      <c r="U556" s="11">
        <v>7897.8860000000004</v>
      </c>
      <c r="V556" s="11">
        <v>6558.6480000000001</v>
      </c>
      <c r="W556" s="11">
        <v>6515.5089999999982</v>
      </c>
      <c r="X556" s="11">
        <v>7159.5950000000003</v>
      </c>
      <c r="Y556" s="11">
        <v>7961.866</v>
      </c>
      <c r="Z556" s="11">
        <v>7414.1319999999996</v>
      </c>
      <c r="AA556" s="11">
        <v>8926.7049999999981</v>
      </c>
      <c r="AB556" s="11">
        <v>11125.285</v>
      </c>
      <c r="AC556" s="11">
        <v>18689.787</v>
      </c>
      <c r="AD556" s="11">
        <v>26830.233</v>
      </c>
      <c r="AE556" s="11">
        <v>35078.271999999997</v>
      </c>
      <c r="AF556" s="11">
        <v>32694.686000000002</v>
      </c>
      <c r="AG556" s="11">
        <v>33698.097999999998</v>
      </c>
      <c r="AO556" s="14">
        <f t="shared" ref="AO556" si="2128">IFERROR(AO553+AO554+AO555,"n/a")</f>
        <v>577.86900000000003</v>
      </c>
      <c r="AP556" s="14">
        <f t="shared" ref="AP556" si="2129">IFERROR(AP553+AP554+AP555,"n/a")</f>
        <v>722.83</v>
      </c>
      <c r="AQ556" s="14">
        <f t="shared" ref="AQ556" si="2130">IFERROR(AQ553+AQ554+AQ555,"n/a")</f>
        <v>2905.2489999999998</v>
      </c>
      <c r="AR556" s="14">
        <f t="shared" ref="AR556" si="2131">IFERROR(AR553+AR554+AR555,"n/a")</f>
        <v>6338.7780000000002</v>
      </c>
      <c r="AS556" s="14">
        <f t="shared" ref="AS556" si="2132">IFERROR(AS553+AS554+AS555,"n/a")</f>
        <v>19278.641</v>
      </c>
      <c r="AT556" s="14">
        <f t="shared" ref="AT556" si="2133">IFERROR(AT553+AT554+AT555,"n/a")</f>
        <v>31718.093000000001</v>
      </c>
      <c r="AU556" s="14">
        <f t="shared" ref="AU556" si="2134">IFERROR(AU553+AU554+AU555,"n/a")</f>
        <v>31462.297999999999</v>
      </c>
      <c r="AV556" s="10">
        <f>+SUM(AB556:AE556)</f>
        <v>91723.57699999999</v>
      </c>
    </row>
    <row r="558" spans="2:48" x14ac:dyDescent="0.2">
      <c r="B558" t="s">
        <v>12</v>
      </c>
      <c r="H558" s="14">
        <f t="shared" ref="H558:AE558" si="2135">IFERROR(H551-H556,"n/a")</f>
        <v>1065.9039999999998</v>
      </c>
      <c r="I558" s="14">
        <f t="shared" si="2135"/>
        <v>2321.2160000000003</v>
      </c>
      <c r="J558" s="14">
        <f t="shared" si="2135"/>
        <v>2597.7340000000004</v>
      </c>
      <c r="K558" s="14">
        <f t="shared" si="2135"/>
        <v>4229.8869999999997</v>
      </c>
      <c r="L558" s="14">
        <f t="shared" si="2135"/>
        <v>3671.89</v>
      </c>
      <c r="M558" s="14">
        <f t="shared" si="2135"/>
        <v>5695.299</v>
      </c>
      <c r="N558" s="14">
        <f t="shared" si="2135"/>
        <v>5680.63</v>
      </c>
      <c r="O558" s="14">
        <f t="shared" si="2135"/>
        <v>8755.2890000000007</v>
      </c>
      <c r="P558" s="14">
        <f t="shared" si="2135"/>
        <v>4710.8119999999999</v>
      </c>
      <c r="Q558" s="14">
        <f t="shared" si="2135"/>
        <v>9531.2000000000007</v>
      </c>
      <c r="R558" s="14">
        <f t="shared" si="2135"/>
        <v>10949.626999999999</v>
      </c>
      <c r="S558" s="14">
        <f t="shared" si="2135"/>
        <v>15021.585000000003</v>
      </c>
      <c r="T558" s="14">
        <f t="shared" si="2135"/>
        <v>11421.048999999999</v>
      </c>
      <c r="U558" s="14">
        <f t="shared" si="2135"/>
        <v>15148.334000000001</v>
      </c>
      <c r="V558" s="14">
        <f t="shared" si="2135"/>
        <v>14947.11</v>
      </c>
      <c r="W558" s="14">
        <f t="shared" si="2135"/>
        <v>20715.35300000001</v>
      </c>
      <c r="X558" s="14">
        <f t="shared" si="2135"/>
        <v>16634.093999999997</v>
      </c>
      <c r="Y558" s="14">
        <f t="shared" si="2135"/>
        <v>23477.701999999997</v>
      </c>
      <c r="Z558" s="14">
        <f t="shared" si="2135"/>
        <v>28090.171999999999</v>
      </c>
      <c r="AA558" s="14">
        <f t="shared" si="2135"/>
        <v>30893.322999999993</v>
      </c>
      <c r="AB558" s="14">
        <f t="shared" si="2135"/>
        <v>26511.765000000003</v>
      </c>
      <c r="AC558" s="14">
        <f t="shared" si="2135"/>
        <v>33590.960999999996</v>
      </c>
      <c r="AD558" s="14">
        <f t="shared" si="2135"/>
        <v>42010.137999999999</v>
      </c>
      <c r="AE558" s="14">
        <f t="shared" si="2135"/>
        <v>53802.763999999996</v>
      </c>
      <c r="AF558" s="14">
        <f t="shared" ref="AF558:AG558" si="2136">IFERROR(AF551-AF556,"n/a")</f>
        <v>54117.373000000007</v>
      </c>
      <c r="AG558" s="14">
        <f t="shared" si="2136"/>
        <v>63361.433000000005</v>
      </c>
      <c r="AO558" s="14">
        <f t="shared" ref="AO558:AU558" si="2137">IFERROR(AO551-AO556,"n/a")</f>
        <v>-73.004999999999995</v>
      </c>
      <c r="AP558" s="14">
        <f t="shared" si="2137"/>
        <v>1021.2460000000002</v>
      </c>
      <c r="AQ558" s="14">
        <f t="shared" si="2137"/>
        <v>10214.741000000002</v>
      </c>
      <c r="AR558" s="14">
        <f t="shared" si="2137"/>
        <v>23803.108</v>
      </c>
      <c r="AS558" s="14">
        <f t="shared" si="2137"/>
        <v>40213.224000000002</v>
      </c>
      <c r="AT558" s="14">
        <f t="shared" si="2137"/>
        <v>62231.845999999998</v>
      </c>
      <c r="AU558" s="14">
        <f t="shared" si="2137"/>
        <v>99095.291000000012</v>
      </c>
      <c r="AV558" s="10">
        <f>+SUM(AB558:AE558)</f>
        <v>155915.628</v>
      </c>
    </row>
    <row r="560" spans="2:48" x14ac:dyDescent="0.2">
      <c r="B560" t="s">
        <v>6</v>
      </c>
      <c r="H560" s="11">
        <v>1217.4580000000001</v>
      </c>
      <c r="I560" s="11">
        <v>2970.7339999999999</v>
      </c>
      <c r="J560" s="11">
        <v>3229.6469999999999</v>
      </c>
      <c r="K560" s="11">
        <v>6023.9740000000002</v>
      </c>
      <c r="L560" s="11">
        <v>4889.2550000000001</v>
      </c>
      <c r="M560" s="11">
        <v>6103.7030000000004</v>
      </c>
      <c r="N560" s="11">
        <v>6908.7550000000001</v>
      </c>
      <c r="O560" s="11">
        <v>9272.5360000000001</v>
      </c>
      <c r="P560" s="11">
        <v>7296.6210000000001</v>
      </c>
      <c r="Q560" s="11">
        <v>9113.5840000000007</v>
      </c>
      <c r="R560" s="11">
        <v>10071.868</v>
      </c>
      <c r="S560" s="11">
        <v>14712.526</v>
      </c>
      <c r="T560" s="11">
        <v>12997.406999999999</v>
      </c>
      <c r="U560" s="11">
        <v>10387.873</v>
      </c>
      <c r="V560" s="11">
        <v>10050.611000000001</v>
      </c>
      <c r="W560" s="11">
        <v>11365.828999999998</v>
      </c>
      <c r="X560" s="11">
        <v>11219.067999999999</v>
      </c>
      <c r="Y560" s="11">
        <v>11343.447</v>
      </c>
      <c r="Z560" s="11">
        <v>14048.82</v>
      </c>
      <c r="AA560" s="11">
        <v>17732.383999999998</v>
      </c>
      <c r="AB560" s="11">
        <v>16259.688</v>
      </c>
      <c r="AC560" s="11">
        <v>17542.208999999999</v>
      </c>
      <c r="AD560" s="11">
        <v>21748.449000000001</v>
      </c>
      <c r="AE560" s="11">
        <v>26638.524000000001</v>
      </c>
      <c r="AF560" s="11">
        <v>23410.654999999999</v>
      </c>
      <c r="AG560" s="11">
        <v>26049.136999999999</v>
      </c>
      <c r="AO560" s="11">
        <v>168.99</v>
      </c>
      <c r="AP560" s="11">
        <v>1344.5820000000001</v>
      </c>
      <c r="AQ560" s="11">
        <v>13441.813</v>
      </c>
      <c r="AR560" s="11">
        <v>27174.249</v>
      </c>
      <c r="AS560" s="11">
        <v>41194.599000000002</v>
      </c>
      <c r="AT560" s="11">
        <v>44801.72</v>
      </c>
      <c r="AU560" s="11">
        <v>54343.718999999997</v>
      </c>
      <c r="AV560" s="10">
        <f>+SUM(AB560:AE560)</f>
        <v>82188.87</v>
      </c>
    </row>
    <row r="561" spans="2:48" x14ac:dyDescent="0.2">
      <c r="B561" t="s">
        <v>7</v>
      </c>
      <c r="H561" s="11">
        <v>28.760999999999999</v>
      </c>
      <c r="I561" s="11">
        <v>5800.6729999999998</v>
      </c>
      <c r="J561" s="11">
        <v>305.56900000000002</v>
      </c>
      <c r="K561" s="11">
        <v>321.60899999999947</v>
      </c>
      <c r="L561" s="11">
        <v>236.07499999999999</v>
      </c>
      <c r="M561" s="11">
        <v>278.34500000000003</v>
      </c>
      <c r="N561" s="11">
        <v>436.61</v>
      </c>
      <c r="O561" s="11">
        <v>345.68200000000002</v>
      </c>
      <c r="P561" s="11">
        <v>338.274</v>
      </c>
      <c r="Q561" s="11">
        <v>394.84199999999998</v>
      </c>
      <c r="R561" s="11">
        <v>368.61099999999999</v>
      </c>
      <c r="S561" s="11">
        <v>405.57</v>
      </c>
      <c r="T561" s="11">
        <v>351.85500000000002</v>
      </c>
      <c r="U561" s="11">
        <v>434.15100000000001</v>
      </c>
      <c r="V561" s="11">
        <v>334.80599999999998</v>
      </c>
      <c r="W561" s="11">
        <v>419.96199999999976</v>
      </c>
      <c r="X561" s="11">
        <v>592.11300000000006</v>
      </c>
      <c r="Y561" s="11">
        <v>825.72199999999998</v>
      </c>
      <c r="Z561" s="11">
        <v>906.57299999999998</v>
      </c>
      <c r="AA561" s="11">
        <v>1640.527</v>
      </c>
      <c r="AB561" s="11">
        <v>816.40200000000004</v>
      </c>
      <c r="AC561" s="11">
        <v>596.03300000000002</v>
      </c>
      <c r="AD561" s="11">
        <v>758.34500000000003</v>
      </c>
      <c r="AE561" s="11">
        <v>1904.8420000000001</v>
      </c>
      <c r="AF561" s="11">
        <v>1823.4449999999999</v>
      </c>
      <c r="AG561" s="11">
        <v>1838.55</v>
      </c>
      <c r="AO561" s="11">
        <v>14.792999999999999</v>
      </c>
      <c r="AP561" s="11">
        <v>133.20699999999999</v>
      </c>
      <c r="AQ561" s="11">
        <v>6456.6120000000001</v>
      </c>
      <c r="AR561" s="11">
        <v>1296.712</v>
      </c>
      <c r="AS561" s="11">
        <v>1507.2969999999998</v>
      </c>
      <c r="AT561" s="11">
        <v>1540.7739999999999</v>
      </c>
      <c r="AU561" s="11">
        <v>3964.9349999999999</v>
      </c>
      <c r="AV561" s="10">
        <f>+SUM(AB561:AE561)</f>
        <v>4075.6219999999998</v>
      </c>
    </row>
    <row r="562" spans="2:48" x14ac:dyDescent="0.2">
      <c r="B562" t="s">
        <v>8</v>
      </c>
      <c r="H562" s="11">
        <v>72.817999999999998</v>
      </c>
      <c r="I562" s="11">
        <v>186.029</v>
      </c>
      <c r="J562" s="11">
        <v>331.99700000000001</v>
      </c>
      <c r="K562" s="11">
        <v>525.21299999999997</v>
      </c>
      <c r="L562" s="11">
        <v>667.08100000000002</v>
      </c>
      <c r="M562" s="11">
        <v>803.66399999999999</v>
      </c>
      <c r="N562" s="11">
        <v>1127.2380000000001</v>
      </c>
      <c r="O562" s="11">
        <v>1272.375</v>
      </c>
      <c r="P562" s="11">
        <v>1473.15</v>
      </c>
      <c r="Q562" s="11">
        <v>1662.356</v>
      </c>
      <c r="R562" s="11">
        <v>1804.886</v>
      </c>
      <c r="S562" s="11">
        <v>1951.261</v>
      </c>
      <c r="T562" s="11">
        <v>2218.7429999999999</v>
      </c>
      <c r="U562" s="11">
        <v>2328.8310000000001</v>
      </c>
      <c r="V562" s="11">
        <v>2422.4209999999998</v>
      </c>
      <c r="W562" s="11">
        <v>2022.5949999999993</v>
      </c>
      <c r="X562" s="11">
        <v>2668.5070000000001</v>
      </c>
      <c r="Y562" s="11">
        <v>2611.366</v>
      </c>
      <c r="Z562" s="11">
        <v>2698.1660000000002</v>
      </c>
      <c r="AA562" s="11">
        <v>2406.6770000000006</v>
      </c>
      <c r="AB562" s="11">
        <v>2506.6570000000002</v>
      </c>
      <c r="AC562" s="11">
        <v>2733.9639999999999</v>
      </c>
      <c r="AD562" s="11">
        <v>2847.3229999999999</v>
      </c>
      <c r="AE562" s="11">
        <v>2864.43</v>
      </c>
      <c r="AF562" s="11">
        <v>2909.62</v>
      </c>
      <c r="AG562" s="11">
        <v>2909.21</v>
      </c>
      <c r="AO562" s="11">
        <v>29.420999999999999</v>
      </c>
      <c r="AP562" s="11">
        <v>129.18100000000001</v>
      </c>
      <c r="AQ562" s="11">
        <v>1116.057</v>
      </c>
      <c r="AR562" s="11">
        <v>3870.3580000000002</v>
      </c>
      <c r="AS562" s="11">
        <v>6891.6530000000002</v>
      </c>
      <c r="AT562" s="11">
        <v>8992.59</v>
      </c>
      <c r="AU562" s="11">
        <v>10384.716</v>
      </c>
      <c r="AV562" s="10">
        <f>+SUM(AB562:AE562)</f>
        <v>10952.374</v>
      </c>
    </row>
    <row r="563" spans="2:48" ht="13.5" x14ac:dyDescent="0.35">
      <c r="B563" t="s">
        <v>9</v>
      </c>
      <c r="H563" s="13">
        <v>0</v>
      </c>
      <c r="I563" s="13">
        <v>0</v>
      </c>
      <c r="J563" s="13">
        <v>0</v>
      </c>
      <c r="K563" s="13">
        <v>0</v>
      </c>
      <c r="L563" s="13">
        <v>0</v>
      </c>
      <c r="M563" s="13">
        <v>0</v>
      </c>
      <c r="N563" s="13">
        <v>0</v>
      </c>
      <c r="O563" s="13">
        <v>0</v>
      </c>
      <c r="P563" s="13">
        <v>0</v>
      </c>
      <c r="Q563" s="13">
        <v>0</v>
      </c>
      <c r="R563" s="13">
        <v>0</v>
      </c>
      <c r="S563" s="13">
        <v>0</v>
      </c>
      <c r="T563" s="13">
        <v>0</v>
      </c>
      <c r="U563" s="13">
        <v>0</v>
      </c>
      <c r="V563" s="13">
        <v>0</v>
      </c>
      <c r="W563" s="13">
        <v>0</v>
      </c>
      <c r="X563" s="13">
        <v>0</v>
      </c>
      <c r="Y563" s="13">
        <v>0</v>
      </c>
      <c r="Z563" s="13">
        <v>0</v>
      </c>
      <c r="AA563" s="13">
        <v>0</v>
      </c>
      <c r="AB563" s="13">
        <v>0</v>
      </c>
      <c r="AC563" s="13">
        <v>0</v>
      </c>
      <c r="AD563" s="13">
        <v>0</v>
      </c>
      <c r="AE563" s="13">
        <v>0</v>
      </c>
      <c r="AF563" s="13">
        <v>0</v>
      </c>
      <c r="AG563" s="13">
        <v>0</v>
      </c>
      <c r="AO563" s="13">
        <v>0</v>
      </c>
      <c r="AP563" s="13">
        <v>10</v>
      </c>
      <c r="AQ563" s="13">
        <v>0</v>
      </c>
      <c r="AR563" s="13">
        <v>0</v>
      </c>
      <c r="AS563" s="13">
        <v>0</v>
      </c>
      <c r="AT563" s="13">
        <v>0</v>
      </c>
      <c r="AU563" s="13">
        <v>0</v>
      </c>
      <c r="AV563" s="25">
        <f>+SUM(AB563:AE563)</f>
        <v>0</v>
      </c>
    </row>
    <row r="564" spans="2:48" x14ac:dyDescent="0.2">
      <c r="B564" s="4" t="s">
        <v>10</v>
      </c>
      <c r="H564" s="14">
        <f>IFERROR(H560+H561+H562+H563,"n/a")</f>
        <v>1319.037</v>
      </c>
      <c r="I564" s="14">
        <f t="shared" ref="I564:AD564" si="2138">IFERROR(I560+I561+I562+I563,"n/a")</f>
        <v>8957.4359999999997</v>
      </c>
      <c r="J564" s="14">
        <f t="shared" si="2138"/>
        <v>3867.2129999999997</v>
      </c>
      <c r="K564" s="14">
        <f t="shared" si="2138"/>
        <v>6870.7959999999994</v>
      </c>
      <c r="L564" s="14">
        <f t="shared" si="2138"/>
        <v>5792.4110000000001</v>
      </c>
      <c r="M564" s="14">
        <f t="shared" si="2138"/>
        <v>7185.7120000000004</v>
      </c>
      <c r="N564" s="14">
        <f t="shared" si="2138"/>
        <v>8472.6029999999992</v>
      </c>
      <c r="O564" s="14">
        <f t="shared" si="2138"/>
        <v>10890.593000000001</v>
      </c>
      <c r="P564" s="14">
        <f t="shared" si="2138"/>
        <v>9108.0450000000001</v>
      </c>
      <c r="Q564" s="14">
        <f t="shared" si="2138"/>
        <v>11170.782000000001</v>
      </c>
      <c r="R564" s="14">
        <f t="shared" si="2138"/>
        <v>12245.365000000002</v>
      </c>
      <c r="S564" s="14">
        <f t="shared" si="2138"/>
        <v>17069.357</v>
      </c>
      <c r="T564" s="14">
        <f t="shared" si="2138"/>
        <v>15568.004999999999</v>
      </c>
      <c r="U564" s="14">
        <f t="shared" si="2138"/>
        <v>13150.855</v>
      </c>
      <c r="V564" s="14">
        <f t="shared" si="2138"/>
        <v>12807.838000000002</v>
      </c>
      <c r="W564" s="14">
        <f t="shared" si="2138"/>
        <v>13808.385999999997</v>
      </c>
      <c r="X564" s="14">
        <f t="shared" si="2138"/>
        <v>14479.687999999998</v>
      </c>
      <c r="Y564" s="14">
        <f t="shared" si="2138"/>
        <v>14780.535</v>
      </c>
      <c r="Z564" s="14">
        <f t="shared" si="2138"/>
        <v>17653.559000000001</v>
      </c>
      <c r="AA564" s="14">
        <f t="shared" si="2138"/>
        <v>21779.588</v>
      </c>
      <c r="AB564" s="14">
        <f t="shared" si="2138"/>
        <v>19582.746999999999</v>
      </c>
      <c r="AC564" s="14">
        <f t="shared" si="2138"/>
        <v>20872.205999999998</v>
      </c>
      <c r="AD564" s="14">
        <f t="shared" si="2138"/>
        <v>25354.117000000002</v>
      </c>
      <c r="AE564" s="14">
        <f t="shared" ref="AE564:AF564" si="2139">IFERROR(AE560+AE561+AE562+AE563,"n/a")</f>
        <v>31407.796000000002</v>
      </c>
      <c r="AF564" s="14">
        <f t="shared" si="2139"/>
        <v>28143.719999999998</v>
      </c>
      <c r="AG564" s="14">
        <f t="shared" ref="AG564" si="2140">IFERROR(AG560+AG561+AG562+AG563,"n/a")</f>
        <v>30796.896999999997</v>
      </c>
      <c r="AO564" s="14">
        <f>IFERROR(AO560+AO561+AO562+AO563,"n/a")</f>
        <v>213.20400000000001</v>
      </c>
      <c r="AP564" s="14">
        <f t="shared" ref="AP564:AU564" si="2141">IFERROR(AP560+AP561+AP562+AP563,"n/a")</f>
        <v>1616.9700000000003</v>
      </c>
      <c r="AQ564" s="14">
        <f t="shared" si="2141"/>
        <v>21014.482</v>
      </c>
      <c r="AR564" s="14">
        <f t="shared" si="2141"/>
        <v>32341.319</v>
      </c>
      <c r="AS564" s="14">
        <f t="shared" si="2141"/>
        <v>49593.548999999999</v>
      </c>
      <c r="AT564" s="14">
        <f t="shared" si="2141"/>
        <v>55335.084000000003</v>
      </c>
      <c r="AU564" s="14">
        <f t="shared" si="2141"/>
        <v>68693.37</v>
      </c>
      <c r="AV564" s="10">
        <f>+SUM(AB564:AE564)</f>
        <v>97216.865999999995</v>
      </c>
    </row>
    <row r="566" spans="2:48" x14ac:dyDescent="0.2">
      <c r="B566" t="s">
        <v>11</v>
      </c>
      <c r="H566" s="14">
        <f>IFERROR(H558-H564,"n/a")</f>
        <v>-253.13300000000027</v>
      </c>
      <c r="I566" s="14">
        <f t="shared" ref="I566:AD566" si="2142">IFERROR(I558-I564,"n/a")</f>
        <v>-6636.2199999999993</v>
      </c>
      <c r="J566" s="14">
        <f t="shared" si="2142"/>
        <v>-1269.4789999999994</v>
      </c>
      <c r="K566" s="14">
        <f t="shared" si="2142"/>
        <v>-2640.9089999999997</v>
      </c>
      <c r="L566" s="14">
        <f t="shared" si="2142"/>
        <v>-2120.5210000000002</v>
      </c>
      <c r="M566" s="14">
        <f t="shared" si="2142"/>
        <v>-1490.4130000000005</v>
      </c>
      <c r="N566" s="14">
        <f t="shared" si="2142"/>
        <v>-2791.972999999999</v>
      </c>
      <c r="O566" s="14">
        <f t="shared" si="2142"/>
        <v>-2135.3040000000001</v>
      </c>
      <c r="P566" s="14">
        <f t="shared" si="2142"/>
        <v>-4397.2330000000002</v>
      </c>
      <c r="Q566" s="14">
        <f t="shared" si="2142"/>
        <v>-1639.5820000000003</v>
      </c>
      <c r="R566" s="14">
        <f t="shared" si="2142"/>
        <v>-1295.738000000003</v>
      </c>
      <c r="S566" s="14">
        <f t="shared" si="2142"/>
        <v>-2047.7719999999972</v>
      </c>
      <c r="T566" s="14">
        <f t="shared" si="2142"/>
        <v>-4146.9560000000001</v>
      </c>
      <c r="U566" s="14">
        <f t="shared" si="2142"/>
        <v>1997.4790000000012</v>
      </c>
      <c r="V566" s="14">
        <f t="shared" si="2142"/>
        <v>2139.271999999999</v>
      </c>
      <c r="W566" s="14">
        <f t="shared" si="2142"/>
        <v>6906.9670000000133</v>
      </c>
      <c r="X566" s="14">
        <f t="shared" si="2142"/>
        <v>2154.405999999999</v>
      </c>
      <c r="Y566" s="14">
        <f t="shared" si="2142"/>
        <v>8697.1669999999976</v>
      </c>
      <c r="Z566" s="14">
        <f t="shared" si="2142"/>
        <v>10436.612999999998</v>
      </c>
      <c r="AA566" s="14">
        <f t="shared" si="2142"/>
        <v>9113.7349999999933</v>
      </c>
      <c r="AB566" s="14">
        <f t="shared" si="2142"/>
        <v>6929.0180000000037</v>
      </c>
      <c r="AC566" s="14">
        <f t="shared" si="2142"/>
        <v>12718.754999999997</v>
      </c>
      <c r="AD566" s="14">
        <f t="shared" si="2142"/>
        <v>16656.020999999997</v>
      </c>
      <c r="AE566" s="14">
        <f t="shared" ref="AE566:AF566" si="2143">IFERROR(AE558-AE564,"n/a")</f>
        <v>22394.967999999993</v>
      </c>
      <c r="AF566" s="14">
        <f t="shared" si="2143"/>
        <v>25973.653000000009</v>
      </c>
      <c r="AG566" s="14">
        <f t="shared" ref="AG566" si="2144">IFERROR(AG558-AG564,"n/a")</f>
        <v>32564.536000000007</v>
      </c>
      <c r="AO566" s="14">
        <f t="shared" ref="AO566:AU566" si="2145">IFERROR(AO558-AO564,"n/a")</f>
        <v>-286.209</v>
      </c>
      <c r="AP566" s="14">
        <f t="shared" si="2145"/>
        <v>-595.72400000000005</v>
      </c>
      <c r="AQ566" s="14">
        <f t="shared" si="2145"/>
        <v>-10799.740999999998</v>
      </c>
      <c r="AR566" s="14">
        <f t="shared" si="2145"/>
        <v>-8538.2109999999993</v>
      </c>
      <c r="AS566" s="14">
        <f t="shared" si="2145"/>
        <v>-9380.3249999999971</v>
      </c>
      <c r="AT566" s="14">
        <f t="shared" si="2145"/>
        <v>6896.7619999999952</v>
      </c>
      <c r="AU566" s="14">
        <f t="shared" si="2145"/>
        <v>30401.921000000017</v>
      </c>
      <c r="AV566" s="10">
        <f t="shared" ref="AV566:AV578" si="2146">+SUM(AB566:AE566)</f>
        <v>58698.761999999988</v>
      </c>
    </row>
    <row r="567" spans="2:48" x14ac:dyDescent="0.2">
      <c r="B567" t="s">
        <v>13</v>
      </c>
      <c r="H567" s="11">
        <v>50.162999999999997</v>
      </c>
      <c r="I567" s="11">
        <v>136.601</v>
      </c>
      <c r="J567" s="11">
        <v>164.81899999999999</v>
      </c>
      <c r="K567" s="11">
        <v>233.35700000000008</v>
      </c>
      <c r="L567" s="11">
        <v>252.102</v>
      </c>
      <c r="M567" s="11">
        <v>402.56799999999998</v>
      </c>
      <c r="N567" s="11">
        <v>414.61500000000001</v>
      </c>
      <c r="O567" s="11">
        <v>472.54</v>
      </c>
      <c r="P567" s="11">
        <v>460.28199999999998</v>
      </c>
      <c r="Q567" s="11">
        <v>838.27599999999995</v>
      </c>
      <c r="R567" s="11">
        <v>485.41300000000001</v>
      </c>
      <c r="S567" s="11">
        <v>671.39499999999998</v>
      </c>
      <c r="T567" s="11">
        <v>970.47699999999998</v>
      </c>
      <c r="U567" s="11">
        <v>544.62900000000002</v>
      </c>
      <c r="V567" s="11">
        <v>631.91300000000001</v>
      </c>
      <c r="W567" s="11">
        <v>914.64299999999957</v>
      </c>
      <c r="X567" s="11">
        <v>796.26099999999997</v>
      </c>
      <c r="Y567" s="11">
        <v>756.99099999999999</v>
      </c>
      <c r="Z567" s="11">
        <v>1092.1500000000001</v>
      </c>
      <c r="AA567" s="11">
        <v>1351.6979999999999</v>
      </c>
      <c r="AB567" s="11">
        <v>1463.5989999999999</v>
      </c>
      <c r="AC567" s="11">
        <v>2287.741</v>
      </c>
      <c r="AD567" s="11">
        <v>2127.3560000000002</v>
      </c>
      <c r="AE567" s="11">
        <v>4359.384</v>
      </c>
      <c r="AF567" s="11">
        <v>5048.5889999999999</v>
      </c>
      <c r="AG567" s="11">
        <v>4855.5919999999996</v>
      </c>
      <c r="AO567" s="11">
        <v>4.46</v>
      </c>
      <c r="AP567" s="11">
        <v>80.783000000000001</v>
      </c>
      <c r="AQ567" s="11">
        <v>584.94000000000005</v>
      </c>
      <c r="AR567" s="11">
        <v>1541.825</v>
      </c>
      <c r="AS567" s="11">
        <v>2455.366</v>
      </c>
      <c r="AT567" s="11">
        <v>3061.6619999999998</v>
      </c>
      <c r="AU567" s="11">
        <v>3997.1</v>
      </c>
      <c r="AV567" s="10">
        <f t="shared" si="2146"/>
        <v>10238.08</v>
      </c>
    </row>
    <row r="568" spans="2:48" x14ac:dyDescent="0.2">
      <c r="B568" t="s">
        <v>14</v>
      </c>
      <c r="H568" s="11">
        <v>0</v>
      </c>
      <c r="I568" s="11">
        <v>0</v>
      </c>
      <c r="J568" s="11">
        <v>0</v>
      </c>
      <c r="K568" s="11">
        <v>0</v>
      </c>
      <c r="L568" s="11">
        <v>0</v>
      </c>
      <c r="M568" s="11">
        <v>0</v>
      </c>
      <c r="N568" s="11">
        <v>-6.15</v>
      </c>
      <c r="O568" s="11">
        <v>-139.708</v>
      </c>
      <c r="P568" s="11">
        <v>-150.63399999999999</v>
      </c>
      <c r="Q568" s="11">
        <v>-162.91800000000001</v>
      </c>
      <c r="R568" s="11">
        <v>-165.63800000000001</v>
      </c>
      <c r="S568" s="11">
        <v>-278.14600000000002</v>
      </c>
      <c r="T568" s="11">
        <v>-335.45600000000002</v>
      </c>
      <c r="U568" s="11">
        <v>-293.99900000000002</v>
      </c>
      <c r="V568" s="11">
        <v>-298.43099999999998</v>
      </c>
      <c r="W568" s="11">
        <v>-303.11599999999999</v>
      </c>
      <c r="X568" s="11">
        <v>-12.64</v>
      </c>
      <c r="Y568" s="11">
        <v>-13.148</v>
      </c>
      <c r="Z568" s="11">
        <v>-13.646000000000001</v>
      </c>
      <c r="AA568" s="11">
        <v>-12.221000000000004</v>
      </c>
      <c r="AB568" s="11">
        <v>-11.686999999999999</v>
      </c>
      <c r="AC568" s="11">
        <v>-11.936999999999999</v>
      </c>
      <c r="AD568" s="11">
        <v>-12.208</v>
      </c>
      <c r="AE568" s="11">
        <v>-8.1549999999999994</v>
      </c>
      <c r="AF568" s="11">
        <v>0</v>
      </c>
      <c r="AG568" s="11">
        <v>0</v>
      </c>
      <c r="AO568" s="11">
        <v>0</v>
      </c>
      <c r="AP568" s="11">
        <v>0</v>
      </c>
      <c r="AQ568" s="11">
        <v>0</v>
      </c>
      <c r="AR568" s="11">
        <v>-145.858</v>
      </c>
      <c r="AS568" s="11">
        <v>-757.33600000000001</v>
      </c>
      <c r="AT568" s="11">
        <v>-1231.002</v>
      </c>
      <c r="AU568" s="11">
        <v>-51.655000000000001</v>
      </c>
      <c r="AV568" s="10">
        <f t="shared" si="2146"/>
        <v>-43.987000000000002</v>
      </c>
    </row>
    <row r="569" spans="2:48" x14ac:dyDescent="0.2">
      <c r="B569" t="s">
        <v>15</v>
      </c>
      <c r="H569" s="11">
        <v>-2.1360000000000001</v>
      </c>
      <c r="I569" s="11">
        <v>3.5960000000000001</v>
      </c>
      <c r="J569" s="11">
        <v>5.4189999999999996</v>
      </c>
      <c r="K569" s="11">
        <v>3.1580000000000013</v>
      </c>
      <c r="L569" s="11">
        <v>-1.8859999999999999</v>
      </c>
      <c r="M569" s="11">
        <v>44.76</v>
      </c>
      <c r="N569" s="11">
        <v>33.542000000000002</v>
      </c>
      <c r="O569" s="11">
        <v>-13.237</v>
      </c>
      <c r="P569" s="11">
        <v>-19.273</v>
      </c>
      <c r="Q569" s="11">
        <v>-2.3969999999999998</v>
      </c>
      <c r="R569" s="11">
        <v>97.861000000000004</v>
      </c>
      <c r="S569" s="11">
        <v>149.006</v>
      </c>
      <c r="T569" s="11">
        <v>-10.374000000000001</v>
      </c>
      <c r="U569" s="11">
        <v>44.451999999999998</v>
      </c>
      <c r="V569" s="11">
        <v>-10.433</v>
      </c>
      <c r="W569" s="11">
        <v>48.105000000000004</v>
      </c>
      <c r="X569" s="11">
        <v>20.084</v>
      </c>
      <c r="Y569" s="11">
        <v>-199.34899999999999</v>
      </c>
      <c r="Z569" s="11">
        <v>53.374000000000002</v>
      </c>
      <c r="AA569" s="11">
        <v>-23.819000000000017</v>
      </c>
      <c r="AB569" s="11">
        <v>-16.036999999999999</v>
      </c>
      <c r="AC569" s="11">
        <v>155.71700000000001</v>
      </c>
      <c r="AD569" s="11">
        <v>94.86</v>
      </c>
      <c r="AE569" s="11">
        <v>-198.81899999999999</v>
      </c>
      <c r="AF569" s="11">
        <v>214.518</v>
      </c>
      <c r="AG569" s="11">
        <v>60.164999999999999</v>
      </c>
      <c r="AO569" s="11">
        <v>0.47499999999999998</v>
      </c>
      <c r="AP569" s="11">
        <v>-11.547000000000001</v>
      </c>
      <c r="AQ569" s="11">
        <v>10.037000000000001</v>
      </c>
      <c r="AR569" s="11">
        <v>63.179000000000002</v>
      </c>
      <c r="AS569" s="11">
        <v>225.197</v>
      </c>
      <c r="AT569" s="11">
        <v>71.75</v>
      </c>
      <c r="AU569" s="11">
        <v>-149.71</v>
      </c>
      <c r="AV569" s="10">
        <f t="shared" si="2146"/>
        <v>35.721000000000032</v>
      </c>
    </row>
    <row r="570" spans="2:48" x14ac:dyDescent="0.2">
      <c r="B570" t="s">
        <v>16</v>
      </c>
      <c r="H570" s="11">
        <v>0</v>
      </c>
      <c r="I570" s="11">
        <v>0</v>
      </c>
      <c r="J570" s="11">
        <v>0</v>
      </c>
      <c r="K570" s="11">
        <v>0</v>
      </c>
      <c r="L570" s="11">
        <v>0</v>
      </c>
      <c r="M570" s="11">
        <v>0</v>
      </c>
      <c r="N570" s="11">
        <v>0</v>
      </c>
      <c r="O570" s="11">
        <v>0</v>
      </c>
      <c r="P570" s="11">
        <v>0</v>
      </c>
      <c r="Q570" s="11">
        <v>0</v>
      </c>
      <c r="R570" s="11">
        <v>0</v>
      </c>
      <c r="S570" s="11">
        <v>0</v>
      </c>
      <c r="T570" s="11">
        <v>0</v>
      </c>
      <c r="U570" s="11">
        <v>0</v>
      </c>
      <c r="V570" s="11">
        <v>0</v>
      </c>
      <c r="W570" s="11">
        <v>0</v>
      </c>
      <c r="X570" s="11">
        <v>0</v>
      </c>
      <c r="Y570" s="11">
        <v>0</v>
      </c>
      <c r="Z570" s="11">
        <v>0</v>
      </c>
      <c r="AA570" s="11">
        <v>0</v>
      </c>
      <c r="AB570" s="11">
        <v>0</v>
      </c>
      <c r="AC570" s="11">
        <v>0</v>
      </c>
      <c r="AD570" s="11">
        <v>0</v>
      </c>
      <c r="AE570" s="11">
        <v>0</v>
      </c>
      <c r="AF570" s="11">
        <v>0</v>
      </c>
      <c r="AG570" s="11">
        <v>0</v>
      </c>
      <c r="AO570" s="11">
        <v>-8.6679999999999993</v>
      </c>
      <c r="AP570" s="11">
        <v>0</v>
      </c>
      <c r="AQ570" s="11">
        <v>0</v>
      </c>
      <c r="AR570" s="11">
        <v>0</v>
      </c>
      <c r="AS570" s="11">
        <v>0</v>
      </c>
      <c r="AT570" s="11">
        <v>0</v>
      </c>
      <c r="AU570" s="11">
        <v>0</v>
      </c>
      <c r="AV570" s="10">
        <f t="shared" si="2146"/>
        <v>0</v>
      </c>
    </row>
    <row r="571" spans="2:48" ht="13.5" x14ac:dyDescent="0.35">
      <c r="B571" t="s">
        <v>17</v>
      </c>
      <c r="H571" s="13">
        <v>4.085</v>
      </c>
      <c r="I571" s="13">
        <v>2.1349999999999998</v>
      </c>
      <c r="J571" s="13">
        <v>0.91800000000000004</v>
      </c>
      <c r="K571" s="13">
        <v>-19.499000000000002</v>
      </c>
      <c r="L571" s="13">
        <v>-7.4029999999999996</v>
      </c>
      <c r="M571" s="13">
        <v>39.835000000000001</v>
      </c>
      <c r="N571" s="13">
        <v>23.175999999999998</v>
      </c>
      <c r="O571" s="13">
        <v>27.178000000000001</v>
      </c>
      <c r="P571" s="13">
        <v>-12.391</v>
      </c>
      <c r="Q571" s="13">
        <v>67.007999999999996</v>
      </c>
      <c r="R571" s="13">
        <v>57.936</v>
      </c>
      <c r="S571" s="13">
        <v>81.149000000000001</v>
      </c>
      <c r="T571" s="13">
        <v>470.38400000000001</v>
      </c>
      <c r="U571" s="13">
        <v>123.39100000000001</v>
      </c>
      <c r="V571" s="13">
        <v>-52.606000000000002</v>
      </c>
      <c r="W571" s="13">
        <v>115.08600000000001</v>
      </c>
      <c r="X571" s="13">
        <v>239.77</v>
      </c>
      <c r="Y571" s="13">
        <v>1266.2349999999999</v>
      </c>
      <c r="Z571" s="13">
        <v>546.52800000000002</v>
      </c>
      <c r="AA571" s="13">
        <v>168.82500000000027</v>
      </c>
      <c r="AB571" s="13">
        <v>1227.52</v>
      </c>
      <c r="AC571" s="13">
        <v>1106.471</v>
      </c>
      <c r="AD571" s="13">
        <v>290.38400000000001</v>
      </c>
      <c r="AE571" s="13">
        <v>328.20400000000001</v>
      </c>
      <c r="AF571" s="13">
        <v>1881.248</v>
      </c>
      <c r="AG571" s="13">
        <v>493.25799999999998</v>
      </c>
      <c r="AH571" s="16"/>
      <c r="AI571" s="16"/>
      <c r="AJ571" s="16"/>
      <c r="AK571" s="16"/>
      <c r="AL571" s="16"/>
      <c r="AM571" s="16"/>
      <c r="AN571" s="16"/>
      <c r="AO571" s="13">
        <v>-2.0339999999999998</v>
      </c>
      <c r="AP571" s="13">
        <v>1.373</v>
      </c>
      <c r="AQ571" s="13">
        <v>-12.361000000000001</v>
      </c>
      <c r="AR571" s="13">
        <v>82.786000000000001</v>
      </c>
      <c r="AS571" s="13">
        <v>193.702</v>
      </c>
      <c r="AT571" s="13">
        <v>656.255</v>
      </c>
      <c r="AU571" s="13">
        <v>2221.3580000000002</v>
      </c>
      <c r="AV571" s="25">
        <f t="shared" si="2146"/>
        <v>2952.5790000000002</v>
      </c>
    </row>
    <row r="572" spans="2:48" x14ac:dyDescent="0.2">
      <c r="B572" s="4" t="s">
        <v>18</v>
      </c>
      <c r="H572" s="14">
        <f>IFERROR(H566+H567+H568+H569+H570+H571,"n/a")</f>
        <v>-201.02100000000024</v>
      </c>
      <c r="I572" s="14">
        <f t="shared" ref="I572:AD572" si="2147">IFERROR(I566+I567+I568+I569+I570+I571,"n/a")</f>
        <v>-6493.8879999999999</v>
      </c>
      <c r="J572" s="14">
        <f t="shared" si="2147"/>
        <v>-1098.3229999999994</v>
      </c>
      <c r="K572" s="14">
        <f t="shared" si="2147"/>
        <v>-2423.8929999999996</v>
      </c>
      <c r="L572" s="14">
        <f t="shared" si="2147"/>
        <v>-1877.7080000000001</v>
      </c>
      <c r="M572" s="14">
        <f t="shared" si="2147"/>
        <v>-1003.2500000000005</v>
      </c>
      <c r="N572" s="14">
        <f t="shared" si="2147"/>
        <v>-2326.7899999999995</v>
      </c>
      <c r="O572" s="14">
        <f t="shared" si="2147"/>
        <v>-1788.5310000000002</v>
      </c>
      <c r="P572" s="14">
        <f t="shared" si="2147"/>
        <v>-4119.2489999999998</v>
      </c>
      <c r="Q572" s="14">
        <f t="shared" si="2147"/>
        <v>-899.6130000000004</v>
      </c>
      <c r="R572" s="14">
        <f t="shared" si="2147"/>
        <v>-820.16600000000301</v>
      </c>
      <c r="S572" s="14">
        <f t="shared" si="2147"/>
        <v>-1424.3679999999972</v>
      </c>
      <c r="T572" s="14">
        <f t="shared" si="2147"/>
        <v>-3051.9250000000002</v>
      </c>
      <c r="U572" s="14">
        <f t="shared" si="2147"/>
        <v>2415.9520000000016</v>
      </c>
      <c r="V572" s="14">
        <f t="shared" si="2147"/>
        <v>2409.7149999999988</v>
      </c>
      <c r="W572" s="14">
        <f t="shared" si="2147"/>
        <v>7681.6850000000131</v>
      </c>
      <c r="X572" s="14">
        <f t="shared" si="2147"/>
        <v>3197.8809999999989</v>
      </c>
      <c r="Y572" s="14">
        <f t="shared" si="2147"/>
        <v>10507.895999999999</v>
      </c>
      <c r="Z572" s="14">
        <f t="shared" si="2147"/>
        <v>12115.018999999997</v>
      </c>
      <c r="AA572" s="14">
        <f t="shared" si="2147"/>
        <v>10598.217999999995</v>
      </c>
      <c r="AB572" s="14">
        <f t="shared" si="2147"/>
        <v>9592.4130000000041</v>
      </c>
      <c r="AC572" s="14">
        <f t="shared" si="2147"/>
        <v>16256.746999999998</v>
      </c>
      <c r="AD572" s="14">
        <f t="shared" si="2147"/>
        <v>19156.413</v>
      </c>
      <c r="AE572" s="14">
        <f t="shared" ref="AE572:AF572" si="2148">IFERROR(AE566+AE567+AE568+AE569+AE570+AE571,"n/a")</f>
        <v>26875.581999999995</v>
      </c>
      <c r="AF572" s="14">
        <f t="shared" si="2148"/>
        <v>33118.008000000009</v>
      </c>
      <c r="AG572" s="14">
        <f t="shared" ref="AG572" si="2149">IFERROR(AG566+AG567+AG568+AG569+AG570+AG571,"n/a")</f>
        <v>37973.551000000007</v>
      </c>
      <c r="AO572" s="14">
        <f t="shared" ref="AO572" si="2150">IFERROR(AO566+AO567+AO568+AO569+AO570+AO571,"n/a")</f>
        <v>-291.976</v>
      </c>
      <c r="AP572" s="14">
        <f t="shared" ref="AP572" si="2151">IFERROR(AP566+AP567+AP568+AP569+AP570+AP571,"n/a")</f>
        <v>-525.11500000000001</v>
      </c>
      <c r="AQ572" s="14">
        <f t="shared" ref="AQ572" si="2152">IFERROR(AQ566+AQ567+AQ568+AQ569+AQ570+AQ571,"n/a")</f>
        <v>-10217.124999999998</v>
      </c>
      <c r="AR572" s="14">
        <f t="shared" ref="AR572" si="2153">IFERROR(AR566+AR567+AR568+AR569+AR570+AR571,"n/a")</f>
        <v>-6996.2789999999995</v>
      </c>
      <c r="AS572" s="14">
        <f t="shared" ref="AS572" si="2154">IFERROR(AS566+AS567+AS568+AS569+AS570+AS571,"n/a")</f>
        <v>-7263.395999999997</v>
      </c>
      <c r="AT572" s="14">
        <f t="shared" ref="AT572" si="2155">IFERROR(AT566+AT567+AT568+AT569+AT570+AT571,"n/a")</f>
        <v>9455.4269999999942</v>
      </c>
      <c r="AU572" s="14">
        <f t="shared" ref="AU572" si="2156">IFERROR(AU566+AU567+AU568+AU569+AU570+AU571,"n/a")</f>
        <v>36419.014000000017</v>
      </c>
      <c r="AV572" s="10">
        <f t="shared" si="2146"/>
        <v>71881.154999999999</v>
      </c>
    </row>
    <row r="573" spans="2:48" x14ac:dyDescent="0.2">
      <c r="B573" t="s">
        <v>19</v>
      </c>
      <c r="H573" s="11">
        <v>0</v>
      </c>
      <c r="I573" s="11">
        <v>0</v>
      </c>
      <c r="J573" s="11">
        <v>0</v>
      </c>
      <c r="K573" s="11">
        <v>0</v>
      </c>
      <c r="L573" s="11">
        <v>0</v>
      </c>
      <c r="M573" s="11">
        <v>0</v>
      </c>
      <c r="N573" s="11">
        <v>0</v>
      </c>
      <c r="O573" s="11">
        <v>0</v>
      </c>
      <c r="P573" s="11">
        <v>0</v>
      </c>
      <c r="Q573" s="11">
        <v>0</v>
      </c>
      <c r="R573" s="11">
        <v>0</v>
      </c>
      <c r="S573" s="11">
        <v>0</v>
      </c>
      <c r="T573" s="11">
        <v>0</v>
      </c>
      <c r="U573" s="11">
        <v>0</v>
      </c>
      <c r="V573" s="11">
        <v>-854.76599999999996</v>
      </c>
      <c r="W573" s="11">
        <v>-1078.819</v>
      </c>
      <c r="X573" s="11">
        <v>-564.81399999999996</v>
      </c>
      <c r="Y573" s="11">
        <v>-1558.0630000000001</v>
      </c>
      <c r="Z573" s="11">
        <v>-1537.1769999999999</v>
      </c>
      <c r="AA573" s="11">
        <v>-1065.6130000000003</v>
      </c>
      <c r="AB573" s="11">
        <v>-1597.7750000000001</v>
      </c>
      <c r="AC573" s="11">
        <v>-3158.442</v>
      </c>
      <c r="AD573" s="11">
        <v>-3513.48</v>
      </c>
      <c r="AE573" s="11">
        <v>-3580.2069999999999</v>
      </c>
      <c r="AF573" s="11">
        <v>-5067.7520000000004</v>
      </c>
      <c r="AG573" s="11">
        <v>-5914.6130000000003</v>
      </c>
      <c r="AO573" s="11">
        <v>0</v>
      </c>
      <c r="AP573" s="11">
        <v>0</v>
      </c>
      <c r="AQ573" s="11">
        <v>0</v>
      </c>
      <c r="AR573" s="11">
        <v>0</v>
      </c>
      <c r="AS573" s="11">
        <v>0</v>
      </c>
      <c r="AT573" s="11">
        <v>-1933.585</v>
      </c>
      <c r="AU573" s="11">
        <v>-4725.6670000000004</v>
      </c>
      <c r="AV573" s="10">
        <f t="shared" si="2146"/>
        <v>-11849.904</v>
      </c>
    </row>
    <row r="574" spans="2:48" ht="13.5" x14ac:dyDescent="0.35">
      <c r="B574" t="s">
        <v>20</v>
      </c>
      <c r="H574" s="13">
        <v>0</v>
      </c>
      <c r="I574" s="13">
        <v>0</v>
      </c>
      <c r="J574" s="13">
        <v>0</v>
      </c>
      <c r="K574" s="13">
        <v>0</v>
      </c>
      <c r="L574" s="13">
        <v>0</v>
      </c>
      <c r="M574" s="13">
        <v>0</v>
      </c>
      <c r="N574" s="13">
        <v>-8.218</v>
      </c>
      <c r="O574" s="13">
        <v>36.893999999999998</v>
      </c>
      <c r="P574" s="13">
        <v>-0.08</v>
      </c>
      <c r="Q574" s="13">
        <v>0.26400000000000001</v>
      </c>
      <c r="R574" s="13">
        <v>35.457999999999998</v>
      </c>
      <c r="S574" s="13">
        <v>48.012</v>
      </c>
      <c r="T574" s="13">
        <v>146.50899999999999</v>
      </c>
      <c r="U574" s="13">
        <v>-1.3720000000000001</v>
      </c>
      <c r="V574" s="13">
        <v>85.010999999999996</v>
      </c>
      <c r="W574" s="13">
        <v>16.680000000000035</v>
      </c>
      <c r="X574" s="13">
        <v>-33.616</v>
      </c>
      <c r="Y574" s="13">
        <v>-53.493000000000002</v>
      </c>
      <c r="Z574" s="13">
        <v>10.731999999999999</v>
      </c>
      <c r="AA574" s="13">
        <v>-78.907999999999987</v>
      </c>
      <c r="AB574" s="13">
        <v>106.389</v>
      </c>
      <c r="AC574" s="13">
        <v>9.7810000000000006</v>
      </c>
      <c r="AD574" s="13">
        <v>-105.81100000000001</v>
      </c>
      <c r="AE574" s="13">
        <v>-15.066000000000001</v>
      </c>
      <c r="AF574" s="13">
        <v>-52.43</v>
      </c>
      <c r="AG574" s="13">
        <v>-49.582999999999998</v>
      </c>
      <c r="AH574" s="16"/>
      <c r="AI574" s="16"/>
      <c r="AJ574" s="16"/>
      <c r="AK574" s="16"/>
      <c r="AL574" s="16"/>
      <c r="AM574" s="16"/>
      <c r="AN574" s="16"/>
      <c r="AO574" s="13">
        <v>0</v>
      </c>
      <c r="AP574" s="13">
        <v>0</v>
      </c>
      <c r="AQ574" s="13">
        <v>0</v>
      </c>
      <c r="AR574" s="13">
        <v>28.675999999999998</v>
      </c>
      <c r="AS574" s="13">
        <v>83.653999999999996</v>
      </c>
      <c r="AT574" s="13">
        <v>246.828</v>
      </c>
      <c r="AU574" s="13">
        <v>-155.285</v>
      </c>
      <c r="AV574" s="25">
        <f t="shared" si="2146"/>
        <v>-4.7070000000000061</v>
      </c>
    </row>
    <row r="575" spans="2:48" x14ac:dyDescent="0.2">
      <c r="B575" s="4" t="s">
        <v>21</v>
      </c>
      <c r="H575" s="14">
        <f>IFERROR(H572+H573+H574,"n/a")</f>
        <v>-201.02100000000024</v>
      </c>
      <c r="I575" s="14">
        <f t="shared" ref="I575:AD575" si="2157">IFERROR(I572+I573+I574,"n/a")</f>
        <v>-6493.8879999999999</v>
      </c>
      <c r="J575" s="14">
        <f t="shared" si="2157"/>
        <v>-1098.3229999999994</v>
      </c>
      <c r="K575" s="14">
        <f t="shared" si="2157"/>
        <v>-2423.8929999999996</v>
      </c>
      <c r="L575" s="14">
        <f t="shared" si="2157"/>
        <v>-1877.7080000000001</v>
      </c>
      <c r="M575" s="14">
        <f t="shared" si="2157"/>
        <v>-1003.2500000000005</v>
      </c>
      <c r="N575" s="14">
        <f t="shared" si="2157"/>
        <v>-2335.0079999999994</v>
      </c>
      <c r="O575" s="14">
        <f t="shared" si="2157"/>
        <v>-1751.6370000000002</v>
      </c>
      <c r="P575" s="14">
        <f t="shared" si="2157"/>
        <v>-4119.3289999999997</v>
      </c>
      <c r="Q575" s="14">
        <f t="shared" si="2157"/>
        <v>-899.34900000000039</v>
      </c>
      <c r="R575" s="14">
        <f t="shared" si="2157"/>
        <v>-784.70800000000304</v>
      </c>
      <c r="S575" s="14">
        <f t="shared" si="2157"/>
        <v>-1376.3559999999973</v>
      </c>
      <c r="T575" s="14">
        <f t="shared" si="2157"/>
        <v>-2905.4160000000002</v>
      </c>
      <c r="U575" s="14">
        <f t="shared" si="2157"/>
        <v>2414.5800000000017</v>
      </c>
      <c r="V575" s="14">
        <f t="shared" si="2157"/>
        <v>1639.9599999999987</v>
      </c>
      <c r="W575" s="14">
        <f t="shared" si="2157"/>
        <v>6619.546000000013</v>
      </c>
      <c r="X575" s="14">
        <f t="shared" si="2157"/>
        <v>2599.4509999999991</v>
      </c>
      <c r="Y575" s="14">
        <f t="shared" si="2157"/>
        <v>8896.3399999999983</v>
      </c>
      <c r="Z575" s="14">
        <f t="shared" si="2157"/>
        <v>10588.573999999997</v>
      </c>
      <c r="AA575" s="14">
        <f t="shared" si="2157"/>
        <v>9453.6969999999965</v>
      </c>
      <c r="AB575" s="14">
        <f t="shared" si="2157"/>
        <v>8101.0270000000046</v>
      </c>
      <c r="AC575" s="14">
        <f t="shared" si="2157"/>
        <v>13108.085999999998</v>
      </c>
      <c r="AD575" s="14">
        <f t="shared" si="2157"/>
        <v>15537.122000000001</v>
      </c>
      <c r="AE575" s="14">
        <f t="shared" ref="AE575:AF575" si="2158">IFERROR(AE572+AE573+AE574,"n/a")</f>
        <v>23280.308999999997</v>
      </c>
      <c r="AF575" s="14">
        <f t="shared" si="2158"/>
        <v>27997.826000000008</v>
      </c>
      <c r="AG575" s="14">
        <f t="shared" ref="AG575" si="2159">IFERROR(AG572+AG573+AG574,"n/a")</f>
        <v>32009.355000000007</v>
      </c>
      <c r="AO575" s="14">
        <f t="shared" ref="AO575" si="2160">IFERROR(AO572+AO573+AO574,"n/a")</f>
        <v>-291.976</v>
      </c>
      <c r="AP575" s="14">
        <f t="shared" ref="AP575" si="2161">IFERROR(AP572+AP573+AP574,"n/a")</f>
        <v>-525.11500000000001</v>
      </c>
      <c r="AQ575" s="14">
        <f t="shared" ref="AQ575" si="2162">IFERROR(AQ572+AQ573+AQ574,"n/a")</f>
        <v>-10217.124999999998</v>
      </c>
      <c r="AR575" s="14">
        <f t="shared" ref="AR575" si="2163">IFERROR(AR572+AR573+AR574,"n/a")</f>
        <v>-6967.6029999999992</v>
      </c>
      <c r="AS575" s="14">
        <f t="shared" ref="AS575" si="2164">IFERROR(AS572+AS573+AS574,"n/a")</f>
        <v>-7179.7419999999966</v>
      </c>
      <c r="AT575" s="14">
        <f t="shared" ref="AT575" si="2165">IFERROR(AT572+AT573+AT574,"n/a")</f>
        <v>7768.6699999999946</v>
      </c>
      <c r="AU575" s="14">
        <f t="shared" ref="AU575" si="2166">IFERROR(AU572+AU573+AU574,"n/a")</f>
        <v>31538.062000000016</v>
      </c>
      <c r="AV575" s="10">
        <f t="shared" si="2146"/>
        <v>60026.543999999994</v>
      </c>
    </row>
    <row r="576" spans="2:48" x14ac:dyDescent="0.2">
      <c r="B576" t="s">
        <v>22</v>
      </c>
      <c r="H576" s="11">
        <v>-80.495999999999995</v>
      </c>
      <c r="I576" s="11">
        <v>0</v>
      </c>
      <c r="J576" s="11">
        <v>0</v>
      </c>
      <c r="K576" s="11">
        <v>0</v>
      </c>
      <c r="L576" s="11">
        <v>0</v>
      </c>
      <c r="M576" s="11">
        <v>0</v>
      </c>
      <c r="N576" s="11">
        <v>0</v>
      </c>
      <c r="O576" s="11">
        <v>0</v>
      </c>
      <c r="P576" s="11">
        <v>0</v>
      </c>
      <c r="Q576" s="11">
        <v>0</v>
      </c>
      <c r="R576" s="11">
        <v>0</v>
      </c>
      <c r="S576" s="11">
        <v>0</v>
      </c>
      <c r="T576" s="11">
        <v>0</v>
      </c>
      <c r="U576" s="11">
        <v>0</v>
      </c>
      <c r="V576" s="11">
        <v>0</v>
      </c>
      <c r="W576" s="11">
        <v>0</v>
      </c>
      <c r="X576" s="11">
        <v>0</v>
      </c>
      <c r="Y576" s="11">
        <v>0</v>
      </c>
      <c r="Z576" s="11">
        <v>0</v>
      </c>
      <c r="AA576" s="11">
        <v>0</v>
      </c>
      <c r="AB576" s="11">
        <v>0</v>
      </c>
      <c r="AC576" s="11">
        <v>0</v>
      </c>
      <c r="AD576" s="11">
        <v>0</v>
      </c>
      <c r="AE576" s="11">
        <v>0</v>
      </c>
      <c r="AF576" s="11">
        <v>0</v>
      </c>
      <c r="AG576" s="11">
        <v>0</v>
      </c>
      <c r="AO576" s="11">
        <v>-30.43</v>
      </c>
      <c r="AP576" s="11">
        <v>0</v>
      </c>
      <c r="AQ576" s="11">
        <v>-80.495999999999995</v>
      </c>
      <c r="AR576" s="11">
        <v>0</v>
      </c>
      <c r="AS576" s="11">
        <v>0</v>
      </c>
      <c r="AT576" s="11">
        <v>0</v>
      </c>
      <c r="AU576" s="11">
        <v>0</v>
      </c>
      <c r="AV576" s="10">
        <f t="shared" si="2146"/>
        <v>0</v>
      </c>
    </row>
    <row r="577" spans="2:48" ht="13.5" x14ac:dyDescent="0.35">
      <c r="B577" t="s">
        <v>23</v>
      </c>
      <c r="H577" s="13">
        <v>0</v>
      </c>
      <c r="I577" s="13">
        <v>0</v>
      </c>
      <c r="J577" s="13">
        <v>0</v>
      </c>
      <c r="K577" s="13">
        <v>0</v>
      </c>
      <c r="L577" s="13">
        <v>0</v>
      </c>
      <c r="M577" s="13">
        <v>0</v>
      </c>
      <c r="N577" s="13">
        <v>0</v>
      </c>
      <c r="O577" s="13">
        <v>0</v>
      </c>
      <c r="P577" s="13">
        <v>0</v>
      </c>
      <c r="Q577" s="13">
        <v>0</v>
      </c>
      <c r="R577" s="13">
        <v>0</v>
      </c>
      <c r="S577" s="13">
        <v>0</v>
      </c>
      <c r="T577" s="13">
        <v>0</v>
      </c>
      <c r="U577" s="13">
        <v>0</v>
      </c>
      <c r="V577" s="13">
        <v>0</v>
      </c>
      <c r="W577" s="13">
        <v>0</v>
      </c>
      <c r="X577" s="13">
        <v>0</v>
      </c>
      <c r="Y577" s="13">
        <v>0</v>
      </c>
      <c r="Z577" s="13">
        <v>0</v>
      </c>
      <c r="AA577" s="13">
        <v>0</v>
      </c>
      <c r="AB577" s="13">
        <v>0</v>
      </c>
      <c r="AC577" s="13">
        <v>0</v>
      </c>
      <c r="AD577" s="13">
        <v>0</v>
      </c>
      <c r="AE577" s="13">
        <v>0</v>
      </c>
      <c r="AF577" s="13">
        <v>0</v>
      </c>
      <c r="AG577" s="13">
        <v>0</v>
      </c>
      <c r="AO577" s="13">
        <v>0</v>
      </c>
      <c r="AP577" s="13">
        <v>26.413</v>
      </c>
      <c r="AQ577" s="13">
        <v>0</v>
      </c>
      <c r="AR577" s="13">
        <v>0</v>
      </c>
      <c r="AS577" s="13">
        <v>0</v>
      </c>
      <c r="AT577" s="13">
        <v>0</v>
      </c>
      <c r="AU577" s="13">
        <v>0</v>
      </c>
      <c r="AV577" s="25">
        <f t="shared" si="2146"/>
        <v>0</v>
      </c>
    </row>
    <row r="578" spans="2:48" x14ac:dyDescent="0.2">
      <c r="B578" s="4" t="s">
        <v>24</v>
      </c>
      <c r="H578" s="14">
        <f>IFERROR(H575+H576+H577,"n/a")</f>
        <v>-281.51700000000022</v>
      </c>
      <c r="I578" s="14">
        <f t="shared" ref="I578:AD578" si="2167">IFERROR(I575+I576+I577,"n/a")</f>
        <v>-6493.8879999999999</v>
      </c>
      <c r="J578" s="14">
        <f t="shared" si="2167"/>
        <v>-1098.3229999999994</v>
      </c>
      <c r="K578" s="14">
        <f t="shared" si="2167"/>
        <v>-2423.8929999999996</v>
      </c>
      <c r="L578" s="14">
        <f t="shared" si="2167"/>
        <v>-1877.7080000000001</v>
      </c>
      <c r="M578" s="14">
        <f t="shared" si="2167"/>
        <v>-1003.2500000000005</v>
      </c>
      <c r="N578" s="14">
        <f t="shared" si="2167"/>
        <v>-2335.0079999999994</v>
      </c>
      <c r="O578" s="14">
        <f t="shared" si="2167"/>
        <v>-1751.6370000000002</v>
      </c>
      <c r="P578" s="14">
        <f t="shared" si="2167"/>
        <v>-4119.3289999999997</v>
      </c>
      <c r="Q578" s="14">
        <f t="shared" si="2167"/>
        <v>-899.34900000000039</v>
      </c>
      <c r="R578" s="14">
        <f t="shared" si="2167"/>
        <v>-784.70800000000304</v>
      </c>
      <c r="S578" s="14">
        <f t="shared" si="2167"/>
        <v>-1376.3559999999973</v>
      </c>
      <c r="T578" s="14">
        <f t="shared" si="2167"/>
        <v>-2905.4160000000002</v>
      </c>
      <c r="U578" s="14">
        <f t="shared" si="2167"/>
        <v>2414.5800000000017</v>
      </c>
      <c r="V578" s="14">
        <f t="shared" si="2167"/>
        <v>1639.9599999999987</v>
      </c>
      <c r="W578" s="14">
        <f t="shared" si="2167"/>
        <v>6619.546000000013</v>
      </c>
      <c r="X578" s="14">
        <f t="shared" si="2167"/>
        <v>2599.4509999999991</v>
      </c>
      <c r="Y578" s="14">
        <f t="shared" si="2167"/>
        <v>8896.3399999999983</v>
      </c>
      <c r="Z578" s="14">
        <f t="shared" si="2167"/>
        <v>10588.573999999997</v>
      </c>
      <c r="AA578" s="14">
        <f t="shared" si="2167"/>
        <v>9453.6969999999965</v>
      </c>
      <c r="AB578" s="14">
        <f t="shared" si="2167"/>
        <v>8101.0270000000046</v>
      </c>
      <c r="AC578" s="14">
        <f t="shared" si="2167"/>
        <v>13108.085999999998</v>
      </c>
      <c r="AD578" s="14">
        <f t="shared" si="2167"/>
        <v>15537.122000000001</v>
      </c>
      <c r="AE578" s="14">
        <f t="shared" ref="AE578:AF578" si="2168">IFERROR(AE575+AE576+AE577,"n/a")</f>
        <v>23280.308999999997</v>
      </c>
      <c r="AF578" s="14">
        <f t="shared" si="2168"/>
        <v>27997.826000000008</v>
      </c>
      <c r="AG578" s="14">
        <f t="shared" ref="AG578" si="2169">IFERROR(AG575+AG576+AG577,"n/a")</f>
        <v>32009.355000000007</v>
      </c>
      <c r="AO578" s="14">
        <f t="shared" ref="AO578" si="2170">IFERROR(AO575+AO576+AO577,"n/a")</f>
        <v>-322.40600000000001</v>
      </c>
      <c r="AP578" s="14">
        <f t="shared" ref="AP578" si="2171">IFERROR(AP575+AP576+AP577,"n/a")</f>
        <v>-498.702</v>
      </c>
      <c r="AQ578" s="14">
        <f t="shared" ref="AQ578" si="2172">IFERROR(AQ575+AQ576+AQ577,"n/a")</f>
        <v>-10297.620999999997</v>
      </c>
      <c r="AR578" s="14">
        <f t="shared" ref="AR578" si="2173">IFERROR(AR575+AR576+AR577,"n/a")</f>
        <v>-6967.6029999999992</v>
      </c>
      <c r="AS578" s="14">
        <f t="shared" ref="AS578" si="2174">IFERROR(AS575+AS576+AS577,"n/a")</f>
        <v>-7179.7419999999966</v>
      </c>
      <c r="AT578" s="14">
        <f t="shared" ref="AT578" si="2175">IFERROR(AT575+AT576+AT577,"n/a")</f>
        <v>7768.6699999999946</v>
      </c>
      <c r="AU578" s="14">
        <f t="shared" ref="AU578" si="2176">IFERROR(AU575+AU576+AU577,"n/a")</f>
        <v>31538.062000000016</v>
      </c>
      <c r="AV578" s="10">
        <f t="shared" si="2146"/>
        <v>60026.543999999994</v>
      </c>
    </row>
    <row r="579" spans="2:48" x14ac:dyDescent="0.2">
      <c r="T579" s="33"/>
      <c r="U579" s="33"/>
      <c r="V579" s="33"/>
      <c r="W579" s="33"/>
      <c r="X579" s="33"/>
      <c r="Y579" s="33"/>
      <c r="Z579" s="33"/>
      <c r="AA579" s="33"/>
      <c r="AB579" s="33"/>
      <c r="AC579" s="33"/>
      <c r="AD579" s="33"/>
      <c r="AT579" s="33"/>
      <c r="AU579" s="33"/>
    </row>
    <row r="580" spans="2:48" x14ac:dyDescent="0.2">
      <c r="B580" t="s">
        <v>63</v>
      </c>
      <c r="H580" s="18" t="str">
        <f t="shared" ref="H580:AD580" si="2177">IFERROR(H578/H587,"n/a")</f>
        <v>n/a</v>
      </c>
      <c r="I580" s="18">
        <f t="shared" si="2177"/>
        <v>-3.3464393198877902</v>
      </c>
      <c r="J580" s="18">
        <f t="shared" si="2177"/>
        <v>-0.29861549337813087</v>
      </c>
      <c r="K580" s="18">
        <f t="shared" si="2177"/>
        <v>-0.5439996305235586</v>
      </c>
      <c r="L580" s="18">
        <f t="shared" si="2177"/>
        <v>-0.41186685638592707</v>
      </c>
      <c r="M580" s="18">
        <f t="shared" si="2177"/>
        <v>-0.21577918492786974</v>
      </c>
      <c r="N580" s="18">
        <f t="shared" si="2177"/>
        <v>-0.50221392777478679</v>
      </c>
      <c r="O580" s="18">
        <f t="shared" si="2177"/>
        <v>-0.37669645307221772</v>
      </c>
      <c r="P580" s="18">
        <f t="shared" si="2177"/>
        <v>-0.88585586755759849</v>
      </c>
      <c r="Q580" s="18">
        <f t="shared" si="2177"/>
        <v>-0.18809941264227739</v>
      </c>
      <c r="R580" s="18">
        <f t="shared" si="2177"/>
        <v>-0.16394959254334748</v>
      </c>
      <c r="S580" s="18">
        <f t="shared" si="2177"/>
        <v>-0.28351601585054276</v>
      </c>
      <c r="T580" s="18">
        <f t="shared" si="2177"/>
        <v>-0.58300361390420052</v>
      </c>
      <c r="U580" s="18">
        <f t="shared" si="2177"/>
        <v>0.48159191119934885</v>
      </c>
      <c r="V580" s="18">
        <f t="shared" si="2177"/>
        <v>0.32660952719329595</v>
      </c>
      <c r="W580" s="18">
        <f t="shared" si="2177"/>
        <v>1.3156095456205013</v>
      </c>
      <c r="X580" s="18">
        <f t="shared" si="2177"/>
        <v>0.51609862980626509</v>
      </c>
      <c r="Y580" s="18">
        <f t="shared" si="2177"/>
        <v>1.7643007311771315</v>
      </c>
      <c r="Z580" s="18">
        <f t="shared" si="2177"/>
        <v>2.0962259683532167</v>
      </c>
      <c r="AA580" s="18">
        <f t="shared" si="2177"/>
        <v>1.853979437308815</v>
      </c>
      <c r="AB580" s="18">
        <f t="shared" si="2177"/>
        <v>1.5334954341702767</v>
      </c>
      <c r="AC580" s="18">
        <f t="shared" si="2177"/>
        <v>2.4102861984622659</v>
      </c>
      <c r="AD580" s="18">
        <f t="shared" si="2177"/>
        <v>2.8443025243558768</v>
      </c>
      <c r="AE580" s="18">
        <f t="shared" ref="AE580:AF580" si="2178">IFERROR(AE578/AE587,"n/a")</f>
        <v>4.249696473839248</v>
      </c>
      <c r="AF580" s="18">
        <f t="shared" si="2178"/>
        <v>5.0815684099372724</v>
      </c>
      <c r="AG580" s="18">
        <f t="shared" ref="AG580" si="2179">IFERROR(AG578/AG587,"n/a")</f>
        <v>5.7843395383566731</v>
      </c>
      <c r="AO580" s="18" t="str">
        <f t="shared" ref="AO580:AU580" si="2180">IFERROR(AO578/AO587,"n/a")</f>
        <v>n/a</v>
      </c>
      <c r="AP580" s="18" t="str">
        <f t="shared" si="2180"/>
        <v>n/a</v>
      </c>
      <c r="AQ580" s="18">
        <f t="shared" si="2180"/>
        <v>-3.4691753465253341</v>
      </c>
      <c r="AR580" s="18">
        <f t="shared" si="2180"/>
        <v>-1.5057671054127284</v>
      </c>
      <c r="AS580" s="18">
        <f t="shared" si="2180"/>
        <v>-1.5057100548345614</v>
      </c>
      <c r="AT580" s="18">
        <f t="shared" si="2180"/>
        <v>1.5498125607313573</v>
      </c>
      <c r="AU580" s="18">
        <f t="shared" si="2180"/>
        <v>6.235850082600356</v>
      </c>
      <c r="AV580" s="18">
        <f t="shared" ref="AV580" si="2181">IFERROR(AV578/AV587,"n/a")</f>
        <v>11.08297068041135</v>
      </c>
    </row>
    <row r="581" spans="2:48" x14ac:dyDescent="0.2">
      <c r="B581" t="s">
        <v>64</v>
      </c>
      <c r="H581" s="18" t="str">
        <f t="shared" ref="H581:AD581" si="2182">IFERROR(H578/H588,"n/a")</f>
        <v>n/a</v>
      </c>
      <c r="I581" s="18">
        <f t="shared" si="2182"/>
        <v>-3.3464393198877902</v>
      </c>
      <c r="J581" s="18">
        <f t="shared" si="2182"/>
        <v>-0.29861549337813087</v>
      </c>
      <c r="K581" s="18">
        <f t="shared" si="2182"/>
        <v>-0.5439996305235586</v>
      </c>
      <c r="L581" s="18">
        <f t="shared" si="2182"/>
        <v>-0.41186685638592707</v>
      </c>
      <c r="M581" s="18">
        <f t="shared" si="2182"/>
        <v>-0.21577918492786974</v>
      </c>
      <c r="N581" s="18">
        <f t="shared" si="2182"/>
        <v>-0.50221392777478679</v>
      </c>
      <c r="O581" s="18">
        <f t="shared" si="2182"/>
        <v>-0.37669645307221772</v>
      </c>
      <c r="P581" s="18">
        <f t="shared" si="2182"/>
        <v>-0.88585586755759849</v>
      </c>
      <c r="Q581" s="18">
        <f t="shared" si="2182"/>
        <v>-0.18809941264227739</v>
      </c>
      <c r="R581" s="18">
        <f t="shared" si="2182"/>
        <v>-0.16394959254334748</v>
      </c>
      <c r="S581" s="18">
        <f t="shared" si="2182"/>
        <v>-0.28351601585054276</v>
      </c>
      <c r="T581" s="18">
        <f t="shared" si="2182"/>
        <v>-0.58300361390420052</v>
      </c>
      <c r="U581" s="18">
        <f t="shared" si="2182"/>
        <v>0.42217350695055211</v>
      </c>
      <c r="V581" s="18">
        <f t="shared" si="2182"/>
        <v>0.28751122460679229</v>
      </c>
      <c r="W581" s="18">
        <f t="shared" si="2182"/>
        <v>1.1644705860415459</v>
      </c>
      <c r="X581" s="18">
        <f t="shared" si="2182"/>
        <v>0.45699860093732614</v>
      </c>
      <c r="Y581" s="18">
        <f t="shared" si="2182"/>
        <v>1.5561347691346445</v>
      </c>
      <c r="Z581" s="18">
        <f t="shared" si="2182"/>
        <v>1.8331495031738181</v>
      </c>
      <c r="AA581" s="18">
        <f t="shared" si="2182"/>
        <v>1.6273630571581819</v>
      </c>
      <c r="AB581" s="18">
        <f t="shared" si="2182"/>
        <v>1.3847014671530635</v>
      </c>
      <c r="AC581" s="18">
        <f t="shared" si="2182"/>
        <v>2.2470948073044843</v>
      </c>
      <c r="AD581" s="18">
        <f t="shared" si="2182"/>
        <v>2.6490795897496757</v>
      </c>
      <c r="AE581" s="18">
        <f t="shared" ref="AE581:AF581" si="2183">IFERROR(AE578/AE588,"n/a")</f>
        <v>3.9572306892085303</v>
      </c>
      <c r="AF581" s="18">
        <f t="shared" si="2183"/>
        <v>4.7397539301113047</v>
      </c>
      <c r="AG581" s="18">
        <f t="shared" ref="AG581" si="2184">IFERROR(AG578/AG588,"n/a")</f>
        <v>5.4018219745685681</v>
      </c>
      <c r="AO581" s="18" t="str">
        <f t="shared" ref="AO581:AU581" si="2185">IFERROR(AO578/AO588,"n/a")</f>
        <v>n/a</v>
      </c>
      <c r="AP581" s="18" t="str">
        <f t="shared" si="2185"/>
        <v>n/a</v>
      </c>
      <c r="AQ581" s="18">
        <f t="shared" si="2185"/>
        <v>-3.4691753465253341</v>
      </c>
      <c r="AR581" s="18">
        <f t="shared" si="2185"/>
        <v>-1.5057671054127284</v>
      </c>
      <c r="AS581" s="18">
        <f t="shared" si="2185"/>
        <v>-1.5057100548345614</v>
      </c>
      <c r="AT581" s="18">
        <f t="shared" si="2185"/>
        <v>1.3596413145846633</v>
      </c>
      <c r="AU581" s="18">
        <f t="shared" si="2185"/>
        <v>5.4741306413539377</v>
      </c>
      <c r="AV581" s="18">
        <f t="shared" ref="AV581" si="2186">IFERROR(AV578/AV588,"n/a")</f>
        <v>10.279169056943674</v>
      </c>
    </row>
    <row r="582" spans="2:48" x14ac:dyDescent="0.2">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O582" s="18"/>
      <c r="AP582" s="18"/>
      <c r="AQ582" s="18"/>
      <c r="AR582" s="18"/>
      <c r="AS582" s="18"/>
      <c r="AT582" s="18"/>
      <c r="AU582" s="18"/>
      <c r="AV582" s="18"/>
    </row>
    <row r="583" spans="2:48" x14ac:dyDescent="0.2">
      <c r="B583" s="19" t="s">
        <v>66</v>
      </c>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O583" s="18"/>
      <c r="AP583" s="18"/>
      <c r="AQ583" s="18"/>
      <c r="AR583" s="18"/>
      <c r="AS583" s="18"/>
      <c r="AT583" s="18"/>
      <c r="AU583" s="18"/>
      <c r="AV583" s="18"/>
    </row>
    <row r="584" spans="2:48" s="3" customFormat="1" x14ac:dyDescent="0.2">
      <c r="B584" s="20" t="s">
        <v>263</v>
      </c>
      <c r="H584" s="21" t="str">
        <f>IFERROR(H578/H591,"n/a")</f>
        <v>n/a</v>
      </c>
      <c r="I584" s="21">
        <f t="shared" ref="I584:AD584" si="2187">IFERROR(I578/I591,"n/a")</f>
        <v>-13.385757279551161</v>
      </c>
      <c r="J584" s="21">
        <f t="shared" si="2187"/>
        <v>-1.1944619735125235</v>
      </c>
      <c r="K584" s="21">
        <f t="shared" si="2187"/>
        <v>-2.1759985220942344</v>
      </c>
      <c r="L584" s="21">
        <f t="shared" si="2187"/>
        <v>-1.6474674255437083</v>
      </c>
      <c r="M584" s="21">
        <f t="shared" si="2187"/>
        <v>-0.86311673971147895</v>
      </c>
      <c r="N584" s="21">
        <f t="shared" si="2187"/>
        <v>-2.0088557110991472</v>
      </c>
      <c r="O584" s="21">
        <f t="shared" si="2187"/>
        <v>-1.5067858122888709</v>
      </c>
      <c r="P584" s="21">
        <f t="shared" si="2187"/>
        <v>-3.5434234702303939</v>
      </c>
      <c r="Q584" s="21">
        <f t="shared" si="2187"/>
        <v>-0.75239765056910957</v>
      </c>
      <c r="R584" s="21">
        <f t="shared" si="2187"/>
        <v>-0.65579837017338993</v>
      </c>
      <c r="S584" s="21">
        <f t="shared" si="2187"/>
        <v>-1.134064063402171</v>
      </c>
      <c r="T584" s="21">
        <f t="shared" si="2187"/>
        <v>-2.3320144556168021</v>
      </c>
      <c r="U584" s="21">
        <f t="shared" si="2187"/>
        <v>1.9263676447973954</v>
      </c>
      <c r="V584" s="21">
        <f t="shared" si="2187"/>
        <v>1.3064381087731838</v>
      </c>
      <c r="W584" s="21">
        <f t="shared" si="2187"/>
        <v>5.262438182482005</v>
      </c>
      <c r="X584" s="21">
        <f t="shared" si="2187"/>
        <v>2.0643945192250603</v>
      </c>
      <c r="Y584" s="21">
        <f t="shared" si="2187"/>
        <v>7.0572029247085259</v>
      </c>
      <c r="Z584" s="21">
        <f t="shared" si="2187"/>
        <v>8.3849038734128669</v>
      </c>
      <c r="AA584" s="21">
        <f t="shared" si="2187"/>
        <v>7.4159177492352599</v>
      </c>
      <c r="AB584" s="21">
        <f t="shared" si="2187"/>
        <v>6.1339817366811067</v>
      </c>
      <c r="AC584" s="21">
        <f t="shared" si="2187"/>
        <v>9.6411447938490635</v>
      </c>
      <c r="AD584" s="21">
        <f t="shared" si="2187"/>
        <v>11.377210097423507</v>
      </c>
      <c r="AE584" s="21">
        <f t="shared" ref="AE584:AF584" si="2188">IFERROR(AE578/AE591,"n/a")</f>
        <v>16.998785895356992</v>
      </c>
      <c r="AF584" s="21">
        <f t="shared" si="2188"/>
        <v>20.32627363974909</v>
      </c>
      <c r="AG584" s="21">
        <f t="shared" ref="AG584" si="2189">IFERROR(AG578/AG591,"n/a")</f>
        <v>23.137358153426693</v>
      </c>
      <c r="AO584" s="21" t="str">
        <f t="shared" ref="AO584:AU584" si="2190">IFERROR(AO578/AO591,"n/a")</f>
        <v>n/a</v>
      </c>
      <c r="AP584" s="21" t="str">
        <f t="shared" si="2190"/>
        <v>n/a</v>
      </c>
      <c r="AQ584" s="21">
        <f t="shared" si="2190"/>
        <v>-13.876701386101336</v>
      </c>
      <c r="AR584" s="21">
        <f t="shared" si="2190"/>
        <v>-6.0230684216509136</v>
      </c>
      <c r="AS584" s="21">
        <f t="shared" si="2190"/>
        <v>-6.0228402193382458</v>
      </c>
      <c r="AT584" s="21">
        <f t="shared" si="2190"/>
        <v>6.1992502429254293</v>
      </c>
      <c r="AU584" s="21">
        <f t="shared" si="2190"/>
        <v>24.943400330401424</v>
      </c>
      <c r="AV584" s="21">
        <f t="shared" ref="AV584" si="2191">IFERROR(AV578/AV591,"n/a")</f>
        <v>44.3318827216454</v>
      </c>
    </row>
    <row r="585" spans="2:48" s="3" customFormat="1" x14ac:dyDescent="0.2">
      <c r="B585" s="20" t="s">
        <v>264</v>
      </c>
      <c r="H585" s="21" t="str">
        <f>IFERROR(H578/H592,"n/a")</f>
        <v>n/a</v>
      </c>
      <c r="I585" s="21">
        <f t="shared" ref="I585:AD585" si="2192">IFERROR(I578/I592,"n/a")</f>
        <v>-13.385757279551161</v>
      </c>
      <c r="J585" s="21">
        <f t="shared" si="2192"/>
        <v>-1.1944619735125235</v>
      </c>
      <c r="K585" s="21">
        <f t="shared" si="2192"/>
        <v>-2.1759985220942344</v>
      </c>
      <c r="L585" s="21">
        <f t="shared" si="2192"/>
        <v>-1.6474674255437083</v>
      </c>
      <c r="M585" s="21">
        <f t="shared" si="2192"/>
        <v>-0.86311673971147895</v>
      </c>
      <c r="N585" s="21">
        <f t="shared" si="2192"/>
        <v>-2.0088557110991472</v>
      </c>
      <c r="O585" s="21">
        <f t="shared" si="2192"/>
        <v>-1.5067858122888709</v>
      </c>
      <c r="P585" s="21">
        <f t="shared" si="2192"/>
        <v>-3.5434234702303939</v>
      </c>
      <c r="Q585" s="21">
        <f t="shared" si="2192"/>
        <v>-0.75239765056910957</v>
      </c>
      <c r="R585" s="21">
        <f t="shared" si="2192"/>
        <v>-0.65579837017338993</v>
      </c>
      <c r="S585" s="21">
        <f t="shared" si="2192"/>
        <v>-1.134064063402171</v>
      </c>
      <c r="T585" s="21">
        <f t="shared" si="2192"/>
        <v>-2.3320144556168021</v>
      </c>
      <c r="U585" s="21">
        <f t="shared" si="2192"/>
        <v>1.6886940278022085</v>
      </c>
      <c r="V585" s="21">
        <f t="shared" si="2192"/>
        <v>1.1500448984271692</v>
      </c>
      <c r="W585" s="21">
        <f t="shared" si="2192"/>
        <v>4.6578823441661834</v>
      </c>
      <c r="X585" s="21">
        <f t="shared" si="2192"/>
        <v>1.8279944037493046</v>
      </c>
      <c r="Y585" s="21">
        <f t="shared" si="2192"/>
        <v>6.2245390765385782</v>
      </c>
      <c r="Z585" s="21">
        <f t="shared" si="2192"/>
        <v>7.3325980126952723</v>
      </c>
      <c r="AA585" s="21">
        <f t="shared" si="2192"/>
        <v>6.5094522286327274</v>
      </c>
      <c r="AB585" s="21">
        <f t="shared" si="2192"/>
        <v>5.5388058686122541</v>
      </c>
      <c r="AC585" s="21">
        <f t="shared" si="2192"/>
        <v>8.9883792292179372</v>
      </c>
      <c r="AD585" s="21">
        <f t="shared" si="2192"/>
        <v>10.596318358998703</v>
      </c>
      <c r="AE585" s="21">
        <f t="shared" ref="AE585:AF585" si="2193">IFERROR(AE578/AE592,"n/a")</f>
        <v>15.828922756834121</v>
      </c>
      <c r="AF585" s="21">
        <f t="shared" si="2193"/>
        <v>18.959015720445219</v>
      </c>
      <c r="AG585" s="21">
        <f t="shared" ref="AG585" si="2194">IFERROR(AG578/AG592,"n/a")</f>
        <v>21.607287898274272</v>
      </c>
      <c r="AO585" s="21" t="str">
        <f t="shared" ref="AO585:AU585" si="2195">IFERROR(AO578/AO592,"n/a")</f>
        <v>n/a</v>
      </c>
      <c r="AP585" s="21" t="str">
        <f t="shared" si="2195"/>
        <v>n/a</v>
      </c>
      <c r="AQ585" s="21">
        <f t="shared" si="2195"/>
        <v>-13.876701386101336</v>
      </c>
      <c r="AR585" s="21">
        <f t="shared" si="2195"/>
        <v>-6.0230684216509136</v>
      </c>
      <c r="AS585" s="21">
        <f t="shared" si="2195"/>
        <v>-6.0228402193382458</v>
      </c>
      <c r="AT585" s="21">
        <f t="shared" si="2195"/>
        <v>5.4385652583386532</v>
      </c>
      <c r="AU585" s="21">
        <f t="shared" si="2195"/>
        <v>21.896522565415751</v>
      </c>
      <c r="AV585" s="21">
        <f t="shared" ref="AV585" si="2196">IFERROR(AV578/AV592,"n/a")</f>
        <v>41.116676227774697</v>
      </c>
    </row>
    <row r="587" spans="2:48" x14ac:dyDescent="0.2">
      <c r="B587" t="s">
        <v>61</v>
      </c>
      <c r="H587" s="12" t="s">
        <v>65</v>
      </c>
      <c r="I587" s="11">
        <v>1940.5366059999999</v>
      </c>
      <c r="J587" s="11">
        <v>3678.0509529999999</v>
      </c>
      <c r="K587" s="11">
        <v>4455.6886880000002</v>
      </c>
      <c r="L587" s="11">
        <v>4559.0169999999998</v>
      </c>
      <c r="M587" s="11">
        <v>4649.4290000000001</v>
      </c>
      <c r="N587" s="11">
        <v>4649.4290000000001</v>
      </c>
      <c r="O587" s="11">
        <v>4649.9960000000001</v>
      </c>
      <c r="P587" s="11">
        <v>4650.1120000000001</v>
      </c>
      <c r="Q587" s="11">
        <v>4781.2430000000004</v>
      </c>
      <c r="R587" s="11">
        <v>4786.2759999999998</v>
      </c>
      <c r="S587" s="11">
        <v>4854.5969999999998</v>
      </c>
      <c r="T587" s="11">
        <v>4983.53</v>
      </c>
      <c r="U587" s="11">
        <v>5013.7470000000003</v>
      </c>
      <c r="V587" s="11">
        <v>5021.1639999999998</v>
      </c>
      <c r="W587" s="11">
        <v>5031.5429999999997</v>
      </c>
      <c r="X587" s="11">
        <v>5036.7330000000002</v>
      </c>
      <c r="Y587" s="11">
        <v>5042.4170000000004</v>
      </c>
      <c r="Z587" s="11">
        <v>5051.2560000000003</v>
      </c>
      <c r="AA587" s="11">
        <v>5099.1379999999999</v>
      </c>
      <c r="AB587" s="11">
        <v>5282.72</v>
      </c>
      <c r="AC587" s="11">
        <v>5438.3940000000002</v>
      </c>
      <c r="AD587" s="11">
        <v>5462.5420000000004</v>
      </c>
      <c r="AE587" s="11">
        <v>5478.1109999999999</v>
      </c>
      <c r="AF587" s="11">
        <v>5509.6819999999998</v>
      </c>
      <c r="AG587" s="11">
        <v>5533.7960000000003</v>
      </c>
      <c r="AO587" s="12" t="s">
        <v>65</v>
      </c>
      <c r="AP587" s="12" t="s">
        <v>65</v>
      </c>
      <c r="AQ587" s="11">
        <v>2968.3195489999998</v>
      </c>
      <c r="AR587" s="11">
        <v>4627.2780000000002</v>
      </c>
      <c r="AS587" s="11">
        <v>4768.3429999999998</v>
      </c>
      <c r="AT587" s="11">
        <v>5012.6513340000001</v>
      </c>
      <c r="AU587" s="11">
        <v>5057.5401240000001</v>
      </c>
      <c r="AV587" s="11">
        <v>5416.1059999999998</v>
      </c>
    </row>
    <row r="588" spans="2:48" x14ac:dyDescent="0.2">
      <c r="B588" t="s">
        <v>62</v>
      </c>
      <c r="H588" s="12" t="s">
        <v>65</v>
      </c>
      <c r="I588" s="11">
        <v>1940.5366059999999</v>
      </c>
      <c r="J588" s="11">
        <v>3678.0509529999999</v>
      </c>
      <c r="K588" s="11">
        <v>4455.6886880000002</v>
      </c>
      <c r="L588" s="11">
        <v>4559.0169999999998</v>
      </c>
      <c r="M588" s="11">
        <v>4649.4290000000001</v>
      </c>
      <c r="N588" s="11">
        <v>4649.4290000000001</v>
      </c>
      <c r="O588" s="11">
        <v>4649.9960000000001</v>
      </c>
      <c r="P588" s="11">
        <v>4650.1120000000001</v>
      </c>
      <c r="Q588" s="11">
        <v>4781.2430000000004</v>
      </c>
      <c r="R588" s="11">
        <v>4786.2759999999998</v>
      </c>
      <c r="S588" s="11">
        <v>4854.5969999999998</v>
      </c>
      <c r="T588" s="11">
        <v>4983.53</v>
      </c>
      <c r="U588" s="11">
        <v>5719.402</v>
      </c>
      <c r="V588" s="11">
        <v>5703.9859999999999</v>
      </c>
      <c r="W588" s="11">
        <v>5684.5969999999998</v>
      </c>
      <c r="X588" s="11">
        <v>5688.0940000000001</v>
      </c>
      <c r="Y588" s="11">
        <v>5716.9470000000001</v>
      </c>
      <c r="Z588" s="11">
        <v>5776.165</v>
      </c>
      <c r="AA588" s="11">
        <v>5809.2120000000004</v>
      </c>
      <c r="AB588" s="11">
        <v>5850.3779999999997</v>
      </c>
      <c r="AC588" s="11">
        <v>5833.348</v>
      </c>
      <c r="AD588" s="11">
        <v>5865.1019999999999</v>
      </c>
      <c r="AE588" s="11">
        <v>5882.98</v>
      </c>
      <c r="AF588" s="11">
        <v>5907.0209999999997</v>
      </c>
      <c r="AG588" s="11">
        <v>5925.6589999999997</v>
      </c>
      <c r="AO588" s="12" t="s">
        <v>65</v>
      </c>
      <c r="AP588" s="12" t="s">
        <v>65</v>
      </c>
      <c r="AQ588" s="11">
        <v>2968.3195489999998</v>
      </c>
      <c r="AR588" s="11">
        <v>4627.2780000000002</v>
      </c>
      <c r="AS588" s="11">
        <v>4768.3429999999998</v>
      </c>
      <c r="AT588" s="11">
        <v>5713.7642969999997</v>
      </c>
      <c r="AU588" s="11">
        <v>5761.2914389999996</v>
      </c>
      <c r="AV588" s="11">
        <v>5839.63</v>
      </c>
    </row>
    <row r="589" spans="2:48" x14ac:dyDescent="0.2">
      <c r="H589" s="12"/>
      <c r="I589" s="11"/>
      <c r="J589" s="11"/>
      <c r="K589" s="11"/>
      <c r="L589" s="11"/>
      <c r="M589" s="11"/>
      <c r="N589" s="11"/>
      <c r="O589" s="11"/>
      <c r="P589" s="11"/>
      <c r="Q589" s="11"/>
      <c r="R589" s="11"/>
      <c r="S589" s="11"/>
      <c r="T589" s="11"/>
      <c r="U589" s="11"/>
      <c r="V589" s="11"/>
      <c r="W589" s="11"/>
      <c r="X589" s="11"/>
      <c r="Y589" s="11"/>
      <c r="Z589" s="11"/>
      <c r="AA589" s="11"/>
      <c r="AB589" s="11"/>
      <c r="AC589" s="11"/>
      <c r="AD589" s="11"/>
      <c r="AO589" s="12"/>
      <c r="AP589" s="12"/>
      <c r="AQ589" s="11"/>
      <c r="AR589" s="11"/>
      <c r="AS589" s="11"/>
      <c r="AT589" s="11"/>
      <c r="AU589" s="11"/>
    </row>
    <row r="590" spans="2:48" x14ac:dyDescent="0.2">
      <c r="B590" s="19" t="s">
        <v>66</v>
      </c>
    </row>
    <row r="591" spans="2:48" s="3" customFormat="1" x14ac:dyDescent="0.2">
      <c r="B591" s="20" t="s">
        <v>265</v>
      </c>
      <c r="H591" s="22" t="str">
        <f>+IFERROR(H587/4,"n/a")</f>
        <v>n/a</v>
      </c>
      <c r="I591" s="22">
        <f t="shared" ref="I591:AD591" si="2197">+IFERROR(I587/4,"n/a")</f>
        <v>485.13415149999997</v>
      </c>
      <c r="J591" s="22">
        <f t="shared" si="2197"/>
        <v>919.51273824999998</v>
      </c>
      <c r="K591" s="22">
        <f t="shared" si="2197"/>
        <v>1113.922172</v>
      </c>
      <c r="L591" s="22">
        <f t="shared" si="2197"/>
        <v>1139.75425</v>
      </c>
      <c r="M591" s="22">
        <f t="shared" si="2197"/>
        <v>1162.35725</v>
      </c>
      <c r="N591" s="22">
        <f t="shared" si="2197"/>
        <v>1162.35725</v>
      </c>
      <c r="O591" s="22">
        <f t="shared" si="2197"/>
        <v>1162.499</v>
      </c>
      <c r="P591" s="22">
        <f t="shared" si="2197"/>
        <v>1162.528</v>
      </c>
      <c r="Q591" s="22">
        <f t="shared" si="2197"/>
        <v>1195.3107500000001</v>
      </c>
      <c r="R591" s="22">
        <f t="shared" si="2197"/>
        <v>1196.569</v>
      </c>
      <c r="S591" s="22">
        <f t="shared" si="2197"/>
        <v>1213.6492499999999</v>
      </c>
      <c r="T591" s="22">
        <f t="shared" si="2197"/>
        <v>1245.8824999999999</v>
      </c>
      <c r="U591" s="22">
        <f t="shared" si="2197"/>
        <v>1253.4367500000001</v>
      </c>
      <c r="V591" s="22">
        <f t="shared" si="2197"/>
        <v>1255.2909999999999</v>
      </c>
      <c r="W591" s="22">
        <f t="shared" si="2197"/>
        <v>1257.8857499999999</v>
      </c>
      <c r="X591" s="22">
        <f t="shared" si="2197"/>
        <v>1259.18325</v>
      </c>
      <c r="Y591" s="22">
        <f t="shared" si="2197"/>
        <v>1260.6042500000001</v>
      </c>
      <c r="Z591" s="22">
        <f t="shared" si="2197"/>
        <v>1262.8140000000001</v>
      </c>
      <c r="AA591" s="22">
        <f t="shared" si="2197"/>
        <v>1274.7845</v>
      </c>
      <c r="AB591" s="22">
        <f t="shared" si="2197"/>
        <v>1320.68</v>
      </c>
      <c r="AC591" s="22">
        <f t="shared" si="2197"/>
        <v>1359.5985000000001</v>
      </c>
      <c r="AD591" s="22">
        <f t="shared" si="2197"/>
        <v>1365.6355000000001</v>
      </c>
      <c r="AE591" s="22">
        <f t="shared" ref="AE591:AF591" si="2198">+IFERROR(AE587/4,"n/a")</f>
        <v>1369.52775</v>
      </c>
      <c r="AF591" s="22">
        <f t="shared" si="2198"/>
        <v>1377.4204999999999</v>
      </c>
      <c r="AG591" s="22">
        <f t="shared" ref="AG591" si="2199">+IFERROR(AG587/4,"n/a")</f>
        <v>1383.4490000000001</v>
      </c>
      <c r="AO591" s="22" t="str">
        <f t="shared" ref="AO591:AU591" si="2200">+IFERROR(AO587/4,"n/a")</f>
        <v>n/a</v>
      </c>
      <c r="AP591" s="22" t="str">
        <f t="shared" si="2200"/>
        <v>n/a</v>
      </c>
      <c r="AQ591" s="22">
        <f t="shared" si="2200"/>
        <v>742.07988724999996</v>
      </c>
      <c r="AR591" s="22">
        <f t="shared" si="2200"/>
        <v>1156.8195000000001</v>
      </c>
      <c r="AS591" s="22">
        <f t="shared" si="2200"/>
        <v>1192.08575</v>
      </c>
      <c r="AT591" s="22">
        <f t="shared" si="2200"/>
        <v>1253.1628335</v>
      </c>
      <c r="AU591" s="22">
        <f t="shared" si="2200"/>
        <v>1264.385031</v>
      </c>
      <c r="AV591" s="22">
        <f t="shared" ref="AV591" si="2201">+IFERROR(AV587/4,"n/a")</f>
        <v>1354.0264999999999</v>
      </c>
    </row>
    <row r="592" spans="2:48" s="3" customFormat="1" x14ac:dyDescent="0.2">
      <c r="B592" s="20" t="s">
        <v>266</v>
      </c>
      <c r="H592" s="22" t="str">
        <f>+IFERROR(H588/4,"n/a")</f>
        <v>n/a</v>
      </c>
      <c r="I592" s="22">
        <f t="shared" ref="I592:AD592" si="2202">+IFERROR(I588/4,"n/a")</f>
        <v>485.13415149999997</v>
      </c>
      <c r="J592" s="22">
        <f t="shared" si="2202"/>
        <v>919.51273824999998</v>
      </c>
      <c r="K592" s="22">
        <f t="shared" si="2202"/>
        <v>1113.922172</v>
      </c>
      <c r="L592" s="22">
        <f t="shared" si="2202"/>
        <v>1139.75425</v>
      </c>
      <c r="M592" s="22">
        <f t="shared" si="2202"/>
        <v>1162.35725</v>
      </c>
      <c r="N592" s="22">
        <f t="shared" si="2202"/>
        <v>1162.35725</v>
      </c>
      <c r="O592" s="22">
        <f t="shared" si="2202"/>
        <v>1162.499</v>
      </c>
      <c r="P592" s="22">
        <f t="shared" si="2202"/>
        <v>1162.528</v>
      </c>
      <c r="Q592" s="22">
        <f t="shared" si="2202"/>
        <v>1195.3107500000001</v>
      </c>
      <c r="R592" s="22">
        <f t="shared" si="2202"/>
        <v>1196.569</v>
      </c>
      <c r="S592" s="22">
        <f t="shared" si="2202"/>
        <v>1213.6492499999999</v>
      </c>
      <c r="T592" s="22">
        <f t="shared" si="2202"/>
        <v>1245.8824999999999</v>
      </c>
      <c r="U592" s="22">
        <f t="shared" si="2202"/>
        <v>1429.8505</v>
      </c>
      <c r="V592" s="22">
        <f t="shared" si="2202"/>
        <v>1425.9965</v>
      </c>
      <c r="W592" s="22">
        <f t="shared" si="2202"/>
        <v>1421.1492499999999</v>
      </c>
      <c r="X592" s="22">
        <f t="shared" si="2202"/>
        <v>1422.0235</v>
      </c>
      <c r="Y592" s="22">
        <f t="shared" si="2202"/>
        <v>1429.23675</v>
      </c>
      <c r="Z592" s="22">
        <f t="shared" si="2202"/>
        <v>1444.04125</v>
      </c>
      <c r="AA592" s="22">
        <f t="shared" si="2202"/>
        <v>1452.3030000000001</v>
      </c>
      <c r="AB592" s="22">
        <f t="shared" si="2202"/>
        <v>1462.5944999999999</v>
      </c>
      <c r="AC592" s="22">
        <f t="shared" si="2202"/>
        <v>1458.337</v>
      </c>
      <c r="AD592" s="22">
        <f t="shared" si="2202"/>
        <v>1466.2755</v>
      </c>
      <c r="AE592" s="22">
        <f t="shared" ref="AE592:AF592" si="2203">+IFERROR(AE588/4,"n/a")</f>
        <v>1470.7449999999999</v>
      </c>
      <c r="AF592" s="22">
        <f t="shared" si="2203"/>
        <v>1476.7552499999999</v>
      </c>
      <c r="AG592" s="22">
        <f t="shared" ref="AG592" si="2204">+IFERROR(AG588/4,"n/a")</f>
        <v>1481.4147499999999</v>
      </c>
      <c r="AO592" s="22" t="str">
        <f t="shared" ref="AO592:AU592" si="2205">+IFERROR(AO588/4,"n/a")</f>
        <v>n/a</v>
      </c>
      <c r="AP592" s="22" t="str">
        <f t="shared" si="2205"/>
        <v>n/a</v>
      </c>
      <c r="AQ592" s="22">
        <f t="shared" si="2205"/>
        <v>742.07988724999996</v>
      </c>
      <c r="AR592" s="22">
        <f t="shared" si="2205"/>
        <v>1156.8195000000001</v>
      </c>
      <c r="AS592" s="22">
        <f t="shared" si="2205"/>
        <v>1192.08575</v>
      </c>
      <c r="AT592" s="22">
        <f t="shared" si="2205"/>
        <v>1428.4410742499999</v>
      </c>
      <c r="AU592" s="22">
        <f t="shared" si="2205"/>
        <v>1440.3228597499999</v>
      </c>
      <c r="AV592" s="22">
        <f t="shared" ref="AV592" si="2206">+IFERROR(AV588/4,"n/a")</f>
        <v>1459.9075</v>
      </c>
    </row>
    <row r="594" spans="2:48" x14ac:dyDescent="0.2">
      <c r="B594" s="24" t="s">
        <v>71</v>
      </c>
    </row>
    <row r="595" spans="2:48" x14ac:dyDescent="0.2">
      <c r="B595" t="s">
        <v>72</v>
      </c>
      <c r="H595" s="11">
        <v>0.3</v>
      </c>
      <c r="I595" s="11">
        <v>0.51100000000000001</v>
      </c>
      <c r="J595" s="11">
        <v>0.55900000000000005</v>
      </c>
      <c r="K595" s="11">
        <v>2.1179999999999999</v>
      </c>
      <c r="L595" s="11">
        <v>4.2809999999999997</v>
      </c>
      <c r="M595" s="11">
        <v>3.7309999999999999</v>
      </c>
      <c r="N595" s="11">
        <v>8.5670000000000002</v>
      </c>
      <c r="O595" s="11">
        <v>7.2560000000000002</v>
      </c>
      <c r="P595" s="11">
        <v>8.4469999999999992</v>
      </c>
      <c r="Q595" s="11">
        <v>9.4969999999999999</v>
      </c>
      <c r="R595" s="11">
        <v>4.4240000000000004</v>
      </c>
      <c r="S595" s="11">
        <v>9.923</v>
      </c>
      <c r="T595" s="11">
        <v>4.3639999999999999</v>
      </c>
      <c r="U595" s="11">
        <v>7.4420000000000002</v>
      </c>
      <c r="V595" s="11">
        <v>9.0890000000000004</v>
      </c>
      <c r="W595" s="11">
        <v>5.7289999999999957</v>
      </c>
      <c r="X595" s="11">
        <v>9.1809999999999992</v>
      </c>
      <c r="Y595" s="11">
        <v>6.9889999999999999</v>
      </c>
      <c r="Z595" s="11">
        <v>5.8410000000000002</v>
      </c>
      <c r="AA595" s="11">
        <v>11.776999999999997</v>
      </c>
      <c r="AB595" s="11">
        <v>37.368000000000002</v>
      </c>
      <c r="AC595" s="11">
        <v>28.276</v>
      </c>
      <c r="AD595" s="11">
        <v>20.422000000000001</v>
      </c>
      <c r="AE595" s="11">
        <v>46.404000000000003</v>
      </c>
      <c r="AF595" s="11">
        <v>17.513999999999999</v>
      </c>
      <c r="AG595" s="11">
        <v>37.706000000000003</v>
      </c>
      <c r="AO595" s="11">
        <v>0.27600000000000002</v>
      </c>
      <c r="AP595" s="11">
        <v>0.79600000000000004</v>
      </c>
      <c r="AQ595" s="11">
        <v>3.488</v>
      </c>
      <c r="AR595" s="11">
        <v>23.835000000000001</v>
      </c>
      <c r="AS595" s="11">
        <v>32.290999999999997</v>
      </c>
      <c r="AT595" s="11">
        <v>26.623999999999999</v>
      </c>
      <c r="AU595" s="11">
        <v>33.787999999999997</v>
      </c>
      <c r="AV595" s="10">
        <f>+SUM(AB595:AE595)</f>
        <v>132.47</v>
      </c>
    </row>
    <row r="596" spans="2:48" x14ac:dyDescent="0.2">
      <c r="B596" t="s">
        <v>6</v>
      </c>
      <c r="H596" s="11">
        <v>1.202</v>
      </c>
      <c r="I596" s="11">
        <v>32.290999999999997</v>
      </c>
      <c r="J596" s="11">
        <v>180.46799999999999</v>
      </c>
      <c r="K596" s="11">
        <v>191.84399999999999</v>
      </c>
      <c r="L596" s="11">
        <v>196.12100000000001</v>
      </c>
      <c r="M596" s="11">
        <v>208.37899999999999</v>
      </c>
      <c r="N596" s="11">
        <v>219.00800000000001</v>
      </c>
      <c r="O596" s="11">
        <v>237.35400000000001</v>
      </c>
      <c r="P596" s="11">
        <v>231.79900000000001</v>
      </c>
      <c r="Q596" s="11">
        <v>249.542</v>
      </c>
      <c r="R596" s="11">
        <v>335.33100000000002</v>
      </c>
      <c r="S596" s="11">
        <v>276.875</v>
      </c>
      <c r="T596" s="11">
        <v>299.483</v>
      </c>
      <c r="U596" s="11">
        <v>383.54</v>
      </c>
      <c r="V596" s="11">
        <v>384.70400000000001</v>
      </c>
      <c r="W596" s="11">
        <v>544.49199999999996</v>
      </c>
      <c r="X596" s="11">
        <v>501.10500000000002</v>
      </c>
      <c r="Y596" s="11">
        <v>513.55899999999997</v>
      </c>
      <c r="Z596" s="11">
        <v>608.46199999999999</v>
      </c>
      <c r="AA596" s="11">
        <v>535.54999999999995</v>
      </c>
      <c r="AB596" s="11">
        <v>488.77300000000002</v>
      </c>
      <c r="AC596" s="11">
        <v>989.32600000000002</v>
      </c>
      <c r="AD596" s="11">
        <v>464.95</v>
      </c>
      <c r="AE596" s="11">
        <v>411.048</v>
      </c>
      <c r="AF596" s="11">
        <v>672.375</v>
      </c>
      <c r="AG596" s="11">
        <v>637.99699999999996</v>
      </c>
      <c r="AO596" s="11">
        <v>0.56299999999999994</v>
      </c>
      <c r="AP596" s="11">
        <v>1.675</v>
      </c>
      <c r="AQ596" s="11">
        <v>405.80500000000001</v>
      </c>
      <c r="AR596" s="11">
        <v>860.86199999999997</v>
      </c>
      <c r="AS596" s="11">
        <v>1093.547</v>
      </c>
      <c r="AT596" s="11">
        <v>1612.2190000000001</v>
      </c>
      <c r="AU596" s="11">
        <v>2158.6759999999999</v>
      </c>
      <c r="AV596" s="10">
        <f>+SUM(AB596:AE596)</f>
        <v>2354.0970000000002</v>
      </c>
    </row>
    <row r="597" spans="2:48" x14ac:dyDescent="0.2">
      <c r="B597" t="s">
        <v>7</v>
      </c>
      <c r="H597" s="11">
        <v>5.0270000000000001</v>
      </c>
      <c r="I597" s="11">
        <v>5770.7060000000001</v>
      </c>
      <c r="J597" s="11">
        <v>264.78199999999998</v>
      </c>
      <c r="K597" s="11">
        <v>255.67099999999999</v>
      </c>
      <c r="L597" s="11">
        <v>169.00299999999999</v>
      </c>
      <c r="M597" s="11">
        <v>187.04900000000001</v>
      </c>
      <c r="N597" s="11">
        <v>206.066</v>
      </c>
      <c r="O597" s="11">
        <v>224.523</v>
      </c>
      <c r="P597" s="11">
        <v>220.18799999999999</v>
      </c>
      <c r="Q597" s="11">
        <v>258.31599999999997</v>
      </c>
      <c r="R597" s="11">
        <v>236.011</v>
      </c>
      <c r="S597" s="11">
        <v>252.47</v>
      </c>
      <c r="T597" s="11">
        <v>191.17</v>
      </c>
      <c r="U597" s="11">
        <v>220.36500000000001</v>
      </c>
      <c r="V597" s="11">
        <v>156.73099999999999</v>
      </c>
      <c r="W597" s="11">
        <v>224.15500000000009</v>
      </c>
      <c r="X597" s="11">
        <v>383.29599999999999</v>
      </c>
      <c r="Y597" s="11">
        <v>661.01900000000001</v>
      </c>
      <c r="Z597" s="11">
        <v>680.25199999999995</v>
      </c>
      <c r="AA597" s="11">
        <v>1279.7600000000002</v>
      </c>
      <c r="AB597" s="11">
        <v>478.06200000000001</v>
      </c>
      <c r="AC597" s="11">
        <v>225.79900000000001</v>
      </c>
      <c r="AD597" s="11">
        <v>355.053</v>
      </c>
      <c r="AE597" s="11">
        <v>1230.3579999999999</v>
      </c>
      <c r="AF597" s="11">
        <v>1251.768</v>
      </c>
      <c r="AG597" s="11">
        <v>1244.961</v>
      </c>
      <c r="AO597" s="11">
        <v>1.4770000000000001</v>
      </c>
      <c r="AP597" s="11">
        <v>108.14100000000001</v>
      </c>
      <c r="AQ597" s="11">
        <v>6296.1859999999997</v>
      </c>
      <c r="AR597" s="11">
        <v>786.64099999999996</v>
      </c>
      <c r="AS597" s="11">
        <v>966.98500000000001</v>
      </c>
      <c r="AT597" s="11">
        <v>792.42100000000005</v>
      </c>
      <c r="AU597" s="11">
        <v>3004.3270000000002</v>
      </c>
      <c r="AV597" s="10">
        <f>+SUM(AB597:AE597)</f>
        <v>2289.2719999999999</v>
      </c>
    </row>
    <row r="598" spans="2:48" ht="13.5" x14ac:dyDescent="0.35">
      <c r="B598" t="s">
        <v>8</v>
      </c>
      <c r="H598" s="13">
        <v>7.0810000000000004</v>
      </c>
      <c r="I598" s="13">
        <v>16.981999999999999</v>
      </c>
      <c r="J598" s="13">
        <v>33.652000000000001</v>
      </c>
      <c r="K598" s="13">
        <v>78.379000000000005</v>
      </c>
      <c r="L598" s="13">
        <v>129.227</v>
      </c>
      <c r="M598" s="13">
        <v>192.816</v>
      </c>
      <c r="N598" s="13">
        <v>234.786</v>
      </c>
      <c r="O598" s="13">
        <v>329.53899999999999</v>
      </c>
      <c r="P598" s="13">
        <v>348.93900000000002</v>
      </c>
      <c r="Q598" s="13">
        <v>397.15600000000001</v>
      </c>
      <c r="R598" s="13">
        <v>380.16300000000001</v>
      </c>
      <c r="S598" s="13">
        <v>393.96199999999999</v>
      </c>
      <c r="T598" s="13">
        <v>477.79199999999997</v>
      </c>
      <c r="U598" s="13">
        <v>576.41600000000005</v>
      </c>
      <c r="V598" s="13">
        <v>570.92899999999997</v>
      </c>
      <c r="W598" s="13">
        <v>718.32899999999972</v>
      </c>
      <c r="X598" s="13">
        <v>629.16800000000001</v>
      </c>
      <c r="Y598" s="13">
        <v>662.78099999999995</v>
      </c>
      <c r="Z598" s="13">
        <v>570.327</v>
      </c>
      <c r="AA598" s="13">
        <v>659.298</v>
      </c>
      <c r="AB598" s="13">
        <v>529.19899999999996</v>
      </c>
      <c r="AC598" s="13">
        <v>647.22799999999995</v>
      </c>
      <c r="AD598" s="13">
        <v>629.39400000000001</v>
      </c>
      <c r="AE598" s="13">
        <v>497.13400000000001</v>
      </c>
      <c r="AF598" s="13">
        <v>636.88499999999999</v>
      </c>
      <c r="AG598" s="13">
        <v>502.09800000000001</v>
      </c>
      <c r="AO598" s="13">
        <v>1.748</v>
      </c>
      <c r="AP598" s="13">
        <v>5.8929999999999998</v>
      </c>
      <c r="AQ598" s="13">
        <v>136.09399999999999</v>
      </c>
      <c r="AR598" s="13">
        <v>886.36800000000005</v>
      </c>
      <c r="AS598" s="13">
        <v>1520.22</v>
      </c>
      <c r="AT598" s="13">
        <v>2343.4659999999999</v>
      </c>
      <c r="AU598" s="13">
        <v>2521.5740000000001</v>
      </c>
      <c r="AV598" s="25">
        <f>+SUM(AB598:AE598)</f>
        <v>2302.9549999999999</v>
      </c>
    </row>
    <row r="599" spans="2:48" x14ac:dyDescent="0.2">
      <c r="B599" s="4" t="s">
        <v>74</v>
      </c>
      <c r="H599" s="17">
        <f>IFERROR(H595+H596+H597+H598,"n/a")</f>
        <v>13.61</v>
      </c>
      <c r="I599" s="17">
        <f t="shared" ref="I599:AD599" si="2207">IFERROR(I595+I596+I597+I598,"n/a")</f>
        <v>5820.49</v>
      </c>
      <c r="J599" s="17">
        <f t="shared" si="2207"/>
        <v>479.46099999999996</v>
      </c>
      <c r="K599" s="17">
        <f t="shared" si="2207"/>
        <v>528.01199999999994</v>
      </c>
      <c r="L599" s="17">
        <f t="shared" si="2207"/>
        <v>498.63199999999995</v>
      </c>
      <c r="M599" s="17">
        <f t="shared" si="2207"/>
        <v>591.97500000000002</v>
      </c>
      <c r="N599" s="17">
        <f t="shared" si="2207"/>
        <v>668.42700000000002</v>
      </c>
      <c r="O599" s="17">
        <f t="shared" si="2207"/>
        <v>798.67200000000003</v>
      </c>
      <c r="P599" s="17">
        <f t="shared" si="2207"/>
        <v>809.37300000000005</v>
      </c>
      <c r="Q599" s="17">
        <f t="shared" si="2207"/>
        <v>914.51099999999997</v>
      </c>
      <c r="R599" s="17">
        <f t="shared" si="2207"/>
        <v>955.92899999999997</v>
      </c>
      <c r="S599" s="17">
        <f t="shared" si="2207"/>
        <v>933.23</v>
      </c>
      <c r="T599" s="17">
        <f t="shared" si="2207"/>
        <v>972.80899999999997</v>
      </c>
      <c r="U599" s="17">
        <f t="shared" si="2207"/>
        <v>1187.7629999999999</v>
      </c>
      <c r="V599" s="17">
        <f t="shared" si="2207"/>
        <v>1121.453</v>
      </c>
      <c r="W599" s="17">
        <f t="shared" si="2207"/>
        <v>1492.7049999999999</v>
      </c>
      <c r="X599" s="17">
        <f t="shared" si="2207"/>
        <v>1522.75</v>
      </c>
      <c r="Y599" s="17">
        <f t="shared" si="2207"/>
        <v>1844.348</v>
      </c>
      <c r="Z599" s="17">
        <f t="shared" si="2207"/>
        <v>1864.8819999999998</v>
      </c>
      <c r="AA599" s="17">
        <f t="shared" si="2207"/>
        <v>2486.3850000000002</v>
      </c>
      <c r="AB599" s="17">
        <f t="shared" si="2207"/>
        <v>1533.402</v>
      </c>
      <c r="AC599" s="17">
        <f t="shared" si="2207"/>
        <v>1890.6289999999999</v>
      </c>
      <c r="AD599" s="17">
        <f t="shared" si="2207"/>
        <v>1469.819</v>
      </c>
      <c r="AE599" s="17">
        <f t="shared" ref="AE599:AF599" si="2208">IFERROR(AE595+AE596+AE597+AE598,"n/a")</f>
        <v>2184.944</v>
      </c>
      <c r="AF599" s="17">
        <f t="shared" si="2208"/>
        <v>2578.5420000000004</v>
      </c>
      <c r="AG599" s="17">
        <f t="shared" ref="AG599" si="2209">IFERROR(AG595+AG596+AG597+AG598,"n/a")</f>
        <v>2422.7620000000002</v>
      </c>
      <c r="AO599" s="17">
        <f t="shared" ref="AO599" si="2210">IFERROR(AO595+AO596+AO597+AO598,"n/a")</f>
        <v>4.0640000000000001</v>
      </c>
      <c r="AP599" s="17">
        <f t="shared" ref="AP599" si="2211">IFERROR(AP595+AP596+AP597+AP598,"n/a")</f>
        <v>116.50500000000001</v>
      </c>
      <c r="AQ599" s="17">
        <f t="shared" ref="AQ599" si="2212">IFERROR(AQ595+AQ596+AQ597+AQ598,"n/a")</f>
        <v>6841.5729999999994</v>
      </c>
      <c r="AR599" s="17">
        <f t="shared" ref="AR599" si="2213">IFERROR(AR595+AR596+AR597+AR598,"n/a")</f>
        <v>2557.7060000000001</v>
      </c>
      <c r="AS599" s="17">
        <f t="shared" ref="AS599" si="2214">IFERROR(AS595+AS596+AS597+AS598,"n/a")</f>
        <v>3613.0429999999997</v>
      </c>
      <c r="AT599" s="17">
        <f t="shared" ref="AT599" si="2215">IFERROR(AT595+AT596+AT597+AT598,"n/a")</f>
        <v>4774.7299999999996</v>
      </c>
      <c r="AU599" s="17">
        <f t="shared" ref="AU599" si="2216">IFERROR(AU595+AU596+AU597+AU598,"n/a")</f>
        <v>7718.3649999999998</v>
      </c>
      <c r="AV599" s="10">
        <f>+SUM(AB599:AE599)</f>
        <v>7078.7939999999999</v>
      </c>
    </row>
    <row r="601" spans="2:48" x14ac:dyDescent="0.2">
      <c r="B601" s="24" t="s">
        <v>75</v>
      </c>
    </row>
    <row r="602" spans="2:48" x14ac:dyDescent="0.2">
      <c r="B602" t="s">
        <v>76</v>
      </c>
      <c r="H602" s="10">
        <f>+H566</f>
        <v>-253.13300000000027</v>
      </c>
      <c r="I602" s="10">
        <f t="shared" ref="I602:AD602" si="2217">+I566</f>
        <v>-6636.2199999999993</v>
      </c>
      <c r="J602" s="10">
        <f t="shared" si="2217"/>
        <v>-1269.4789999999994</v>
      </c>
      <c r="K602" s="10">
        <f t="shared" si="2217"/>
        <v>-2640.9089999999997</v>
      </c>
      <c r="L602" s="10">
        <f t="shared" si="2217"/>
        <v>-2120.5210000000002</v>
      </c>
      <c r="M602" s="10">
        <f t="shared" si="2217"/>
        <v>-1490.4130000000005</v>
      </c>
      <c r="N602" s="10">
        <f t="shared" si="2217"/>
        <v>-2791.972999999999</v>
      </c>
      <c r="O602" s="10">
        <f t="shared" si="2217"/>
        <v>-2135.3040000000001</v>
      </c>
      <c r="P602" s="10">
        <f t="shared" si="2217"/>
        <v>-4397.2330000000002</v>
      </c>
      <c r="Q602" s="10">
        <f t="shared" si="2217"/>
        <v>-1639.5820000000003</v>
      </c>
      <c r="R602" s="10">
        <f t="shared" si="2217"/>
        <v>-1295.738000000003</v>
      </c>
      <c r="S602" s="10">
        <f t="shared" si="2217"/>
        <v>-2047.7719999999972</v>
      </c>
      <c r="T602" s="10">
        <f t="shared" si="2217"/>
        <v>-4146.9560000000001</v>
      </c>
      <c r="U602" s="10">
        <f t="shared" si="2217"/>
        <v>1997.4790000000012</v>
      </c>
      <c r="V602" s="10">
        <f t="shared" si="2217"/>
        <v>2139.271999999999</v>
      </c>
      <c r="W602" s="10">
        <f t="shared" si="2217"/>
        <v>6906.9670000000133</v>
      </c>
      <c r="X602" s="10">
        <f t="shared" si="2217"/>
        <v>2154.405999999999</v>
      </c>
      <c r="Y602" s="10">
        <f t="shared" si="2217"/>
        <v>8697.1669999999976</v>
      </c>
      <c r="Z602" s="10">
        <f t="shared" si="2217"/>
        <v>10436.612999999998</v>
      </c>
      <c r="AA602" s="10">
        <f t="shared" si="2217"/>
        <v>9113.7349999999933</v>
      </c>
      <c r="AB602" s="10">
        <f t="shared" si="2217"/>
        <v>6929.0180000000037</v>
      </c>
      <c r="AC602" s="10">
        <f t="shared" si="2217"/>
        <v>12718.754999999997</v>
      </c>
      <c r="AD602" s="10">
        <f t="shared" si="2217"/>
        <v>16656.020999999997</v>
      </c>
      <c r="AE602" s="10">
        <f t="shared" ref="AE602:AF602" si="2218">+AE566</f>
        <v>22394.967999999993</v>
      </c>
      <c r="AF602" s="10">
        <f t="shared" si="2218"/>
        <v>25973.653000000009</v>
      </c>
      <c r="AG602" s="10">
        <f t="shared" ref="AG602" si="2219">+AG566</f>
        <v>32564.536000000007</v>
      </c>
      <c r="AO602" s="10">
        <f t="shared" ref="AO602:AU602" si="2220">+AO566</f>
        <v>-286.209</v>
      </c>
      <c r="AP602" s="10">
        <f t="shared" si="2220"/>
        <v>-595.72400000000005</v>
      </c>
      <c r="AQ602" s="10">
        <f t="shared" si="2220"/>
        <v>-10799.740999999998</v>
      </c>
      <c r="AR602" s="10">
        <f t="shared" si="2220"/>
        <v>-8538.2109999999993</v>
      </c>
      <c r="AS602" s="10">
        <f t="shared" si="2220"/>
        <v>-9380.3249999999971</v>
      </c>
      <c r="AT602" s="10">
        <f t="shared" si="2220"/>
        <v>6896.7619999999952</v>
      </c>
      <c r="AU602" s="10">
        <f t="shared" si="2220"/>
        <v>30401.921000000017</v>
      </c>
      <c r="AV602" s="10">
        <f>+SUM(AB602:AE602)</f>
        <v>58698.761999999988</v>
      </c>
    </row>
    <row r="603" spans="2:48" x14ac:dyDescent="0.2">
      <c r="B603" t="s">
        <v>77</v>
      </c>
      <c r="H603" s="10">
        <f>+H599</f>
        <v>13.61</v>
      </c>
      <c r="I603" s="10">
        <f t="shared" ref="I603:AD603" si="2221">+I599</f>
        <v>5820.49</v>
      </c>
      <c r="J603" s="10">
        <f t="shared" si="2221"/>
        <v>479.46099999999996</v>
      </c>
      <c r="K603" s="10">
        <f t="shared" si="2221"/>
        <v>528.01199999999994</v>
      </c>
      <c r="L603" s="10">
        <f t="shared" si="2221"/>
        <v>498.63199999999995</v>
      </c>
      <c r="M603" s="10">
        <f t="shared" si="2221"/>
        <v>591.97500000000002</v>
      </c>
      <c r="N603" s="10">
        <f t="shared" si="2221"/>
        <v>668.42700000000002</v>
      </c>
      <c r="O603" s="10">
        <f t="shared" si="2221"/>
        <v>798.67200000000003</v>
      </c>
      <c r="P603" s="10">
        <f t="shared" si="2221"/>
        <v>809.37300000000005</v>
      </c>
      <c r="Q603" s="10">
        <f t="shared" si="2221"/>
        <v>914.51099999999997</v>
      </c>
      <c r="R603" s="10">
        <f t="shared" si="2221"/>
        <v>955.92899999999997</v>
      </c>
      <c r="S603" s="10">
        <f t="shared" si="2221"/>
        <v>933.23</v>
      </c>
      <c r="T603" s="10">
        <f t="shared" si="2221"/>
        <v>972.80899999999997</v>
      </c>
      <c r="U603" s="10">
        <f t="shared" si="2221"/>
        <v>1187.7629999999999</v>
      </c>
      <c r="V603" s="10">
        <f t="shared" si="2221"/>
        <v>1121.453</v>
      </c>
      <c r="W603" s="10">
        <f t="shared" si="2221"/>
        <v>1492.7049999999999</v>
      </c>
      <c r="X603" s="10">
        <f t="shared" si="2221"/>
        <v>1522.75</v>
      </c>
      <c r="Y603" s="10">
        <f t="shared" si="2221"/>
        <v>1844.348</v>
      </c>
      <c r="Z603" s="10">
        <f t="shared" si="2221"/>
        <v>1864.8819999999998</v>
      </c>
      <c r="AA603" s="10">
        <f t="shared" si="2221"/>
        <v>2486.3850000000002</v>
      </c>
      <c r="AB603" s="10">
        <f t="shared" si="2221"/>
        <v>1533.402</v>
      </c>
      <c r="AC603" s="10">
        <f t="shared" si="2221"/>
        <v>1890.6289999999999</v>
      </c>
      <c r="AD603" s="10">
        <f t="shared" si="2221"/>
        <v>1469.819</v>
      </c>
      <c r="AE603" s="10">
        <f t="shared" ref="AE603:AF603" si="2222">+AE599</f>
        <v>2184.944</v>
      </c>
      <c r="AF603" s="10">
        <f t="shared" si="2222"/>
        <v>2578.5420000000004</v>
      </c>
      <c r="AG603" s="10">
        <f t="shared" ref="AG603" si="2223">+AG599</f>
        <v>2422.7620000000002</v>
      </c>
      <c r="AO603" s="10">
        <f t="shared" ref="AO603:AU603" si="2224">+AO599</f>
        <v>4.0640000000000001</v>
      </c>
      <c r="AP603" s="10">
        <f t="shared" si="2224"/>
        <v>116.50500000000001</v>
      </c>
      <c r="AQ603" s="10">
        <f t="shared" si="2224"/>
        <v>6841.5729999999994</v>
      </c>
      <c r="AR603" s="10">
        <f t="shared" si="2224"/>
        <v>2557.7060000000001</v>
      </c>
      <c r="AS603" s="10">
        <f t="shared" si="2224"/>
        <v>3613.0429999999997</v>
      </c>
      <c r="AT603" s="10">
        <f t="shared" si="2224"/>
        <v>4774.7299999999996</v>
      </c>
      <c r="AU603" s="10">
        <f t="shared" si="2224"/>
        <v>7718.3649999999998</v>
      </c>
      <c r="AV603" s="10">
        <f>+SUM(AB603:AE603)</f>
        <v>7078.7939999999999</v>
      </c>
    </row>
    <row r="604" spans="2:48" ht="13.5" x14ac:dyDescent="0.35">
      <c r="B604" t="s">
        <v>78</v>
      </c>
      <c r="H604" s="25">
        <f>+H563</f>
        <v>0</v>
      </c>
      <c r="I604" s="25">
        <f t="shared" ref="I604:AD604" si="2225">+I563</f>
        <v>0</v>
      </c>
      <c r="J604" s="25">
        <f t="shared" si="2225"/>
        <v>0</v>
      </c>
      <c r="K604" s="25">
        <f t="shared" si="2225"/>
        <v>0</v>
      </c>
      <c r="L604" s="25">
        <f t="shared" si="2225"/>
        <v>0</v>
      </c>
      <c r="M604" s="25">
        <f t="shared" si="2225"/>
        <v>0</v>
      </c>
      <c r="N604" s="25">
        <f t="shared" si="2225"/>
        <v>0</v>
      </c>
      <c r="O604" s="25">
        <f t="shared" si="2225"/>
        <v>0</v>
      </c>
      <c r="P604" s="25">
        <f t="shared" si="2225"/>
        <v>0</v>
      </c>
      <c r="Q604" s="25">
        <f t="shared" si="2225"/>
        <v>0</v>
      </c>
      <c r="R604" s="25">
        <f t="shared" si="2225"/>
        <v>0</v>
      </c>
      <c r="S604" s="25">
        <f t="shared" si="2225"/>
        <v>0</v>
      </c>
      <c r="T604" s="25">
        <f t="shared" si="2225"/>
        <v>0</v>
      </c>
      <c r="U604" s="25">
        <f t="shared" si="2225"/>
        <v>0</v>
      </c>
      <c r="V604" s="25">
        <f t="shared" si="2225"/>
        <v>0</v>
      </c>
      <c r="W604" s="25">
        <f t="shared" si="2225"/>
        <v>0</v>
      </c>
      <c r="X604" s="25">
        <f t="shared" si="2225"/>
        <v>0</v>
      </c>
      <c r="Y604" s="25">
        <f t="shared" si="2225"/>
        <v>0</v>
      </c>
      <c r="Z604" s="25">
        <f t="shared" si="2225"/>
        <v>0</v>
      </c>
      <c r="AA604" s="25">
        <f t="shared" si="2225"/>
        <v>0</v>
      </c>
      <c r="AB604" s="25">
        <f t="shared" si="2225"/>
        <v>0</v>
      </c>
      <c r="AC604" s="25">
        <f t="shared" si="2225"/>
        <v>0</v>
      </c>
      <c r="AD604" s="25">
        <f t="shared" si="2225"/>
        <v>0</v>
      </c>
      <c r="AE604" s="25">
        <f t="shared" ref="AE604:AF604" si="2226">+AE563</f>
        <v>0</v>
      </c>
      <c r="AF604" s="25">
        <f t="shared" si="2226"/>
        <v>0</v>
      </c>
      <c r="AG604" s="25">
        <f t="shared" ref="AG604" si="2227">+AG563</f>
        <v>0</v>
      </c>
      <c r="AO604" s="25">
        <f t="shared" ref="AO604:AU604" si="2228">+AO563</f>
        <v>0</v>
      </c>
      <c r="AP604" s="25">
        <f t="shared" si="2228"/>
        <v>10</v>
      </c>
      <c r="AQ604" s="25">
        <f t="shared" si="2228"/>
        <v>0</v>
      </c>
      <c r="AR604" s="25">
        <f t="shared" si="2228"/>
        <v>0</v>
      </c>
      <c r="AS604" s="25">
        <f t="shared" si="2228"/>
        <v>0</v>
      </c>
      <c r="AT604" s="25">
        <f t="shared" si="2228"/>
        <v>0</v>
      </c>
      <c r="AU604" s="25">
        <f t="shared" si="2228"/>
        <v>0</v>
      </c>
      <c r="AV604" s="25">
        <f>+SUM(AB604:AE604)</f>
        <v>0</v>
      </c>
    </row>
    <row r="605" spans="2:48" x14ac:dyDescent="0.2">
      <c r="B605" s="4" t="s">
        <v>79</v>
      </c>
      <c r="H605" s="17">
        <f>IFERROR(H602+H603+H604,"n/a")</f>
        <v>-239.52300000000025</v>
      </c>
      <c r="I605" s="17">
        <f t="shared" ref="I605:AD605" si="2229">IFERROR(I602+I603+I604,"n/a")</f>
        <v>-815.72999999999956</v>
      </c>
      <c r="J605" s="17">
        <f t="shared" si="2229"/>
        <v>-790.01799999999935</v>
      </c>
      <c r="K605" s="17">
        <f t="shared" si="2229"/>
        <v>-2112.8969999999999</v>
      </c>
      <c r="L605" s="17">
        <f t="shared" si="2229"/>
        <v>-1621.8890000000001</v>
      </c>
      <c r="M605" s="17">
        <f t="shared" si="2229"/>
        <v>-898.43800000000044</v>
      </c>
      <c r="N605" s="17">
        <f t="shared" si="2229"/>
        <v>-2123.5459999999989</v>
      </c>
      <c r="O605" s="17">
        <f t="shared" si="2229"/>
        <v>-1336.6320000000001</v>
      </c>
      <c r="P605" s="17">
        <f t="shared" si="2229"/>
        <v>-3587.86</v>
      </c>
      <c r="Q605" s="17">
        <f t="shared" si="2229"/>
        <v>-725.07100000000037</v>
      </c>
      <c r="R605" s="17">
        <f t="shared" si="2229"/>
        <v>-339.80900000000304</v>
      </c>
      <c r="S605" s="17">
        <f t="shared" si="2229"/>
        <v>-1114.5419999999972</v>
      </c>
      <c r="T605" s="17">
        <f t="shared" si="2229"/>
        <v>-3174.1469999999999</v>
      </c>
      <c r="U605" s="17">
        <f t="shared" si="2229"/>
        <v>3185.2420000000011</v>
      </c>
      <c r="V605" s="17">
        <f t="shared" si="2229"/>
        <v>3260.724999999999</v>
      </c>
      <c r="W605" s="17">
        <f t="shared" si="2229"/>
        <v>8399.6720000000132</v>
      </c>
      <c r="X605" s="17">
        <f t="shared" si="2229"/>
        <v>3677.155999999999</v>
      </c>
      <c r="Y605" s="17">
        <f t="shared" si="2229"/>
        <v>10541.514999999998</v>
      </c>
      <c r="Z605" s="17">
        <f t="shared" si="2229"/>
        <v>12301.494999999997</v>
      </c>
      <c r="AA605" s="17">
        <f t="shared" si="2229"/>
        <v>11600.119999999994</v>
      </c>
      <c r="AB605" s="17">
        <f t="shared" si="2229"/>
        <v>8462.4200000000037</v>
      </c>
      <c r="AC605" s="17">
        <f t="shared" si="2229"/>
        <v>14609.383999999998</v>
      </c>
      <c r="AD605" s="17">
        <f t="shared" si="2229"/>
        <v>18125.839999999997</v>
      </c>
      <c r="AE605" s="17">
        <f t="shared" ref="AE605:AF605" si="2230">IFERROR(AE602+AE603+AE604,"n/a")</f>
        <v>24579.911999999993</v>
      </c>
      <c r="AF605" s="17">
        <f t="shared" si="2230"/>
        <v>28552.195000000011</v>
      </c>
      <c r="AG605" s="17">
        <f t="shared" ref="AG605" si="2231">IFERROR(AG602+AG603+AG604,"n/a")</f>
        <v>34987.29800000001</v>
      </c>
      <c r="AO605" s="17">
        <f t="shared" ref="AO605" si="2232">IFERROR(AO602+AO603+AO604,"n/a")</f>
        <v>-282.14499999999998</v>
      </c>
      <c r="AP605" s="17">
        <f t="shared" ref="AP605" si="2233">IFERROR(AP602+AP603+AP604,"n/a")</f>
        <v>-469.21900000000005</v>
      </c>
      <c r="AQ605" s="17">
        <f t="shared" ref="AQ605" si="2234">IFERROR(AQ602+AQ603+AQ604,"n/a")</f>
        <v>-3958.1679999999988</v>
      </c>
      <c r="AR605" s="17">
        <f t="shared" ref="AR605" si="2235">IFERROR(AR602+AR603+AR604,"n/a")</f>
        <v>-5980.5049999999992</v>
      </c>
      <c r="AS605" s="17">
        <f t="shared" ref="AS605" si="2236">IFERROR(AS602+AS603+AS604,"n/a")</f>
        <v>-5767.2819999999974</v>
      </c>
      <c r="AT605" s="17">
        <f t="shared" ref="AT605" si="2237">IFERROR(AT602+AT603+AT604,"n/a")</f>
        <v>11671.491999999995</v>
      </c>
      <c r="AU605" s="17">
        <f t="shared" ref="AU605" si="2238">IFERROR(AU602+AU603+AU604,"n/a")</f>
        <v>38120.286000000015</v>
      </c>
      <c r="AV605" s="10">
        <f>+SUM(AB605:AE605)</f>
        <v>65777.555999999997</v>
      </c>
    </row>
    <row r="607" spans="2:48" x14ac:dyDescent="0.2">
      <c r="B607" s="24" t="s">
        <v>80</v>
      </c>
    </row>
    <row r="608" spans="2:48" x14ac:dyDescent="0.2">
      <c r="B608" t="s">
        <v>24</v>
      </c>
      <c r="H608" s="10">
        <f>+H578</f>
        <v>-281.51700000000022</v>
      </c>
      <c r="I608" s="10">
        <f t="shared" ref="I608:AD608" si="2239">+I578</f>
        <v>-6493.8879999999999</v>
      </c>
      <c r="J608" s="10">
        <f t="shared" si="2239"/>
        <v>-1098.3229999999994</v>
      </c>
      <c r="K608" s="10">
        <f t="shared" si="2239"/>
        <v>-2423.8929999999996</v>
      </c>
      <c r="L608" s="10">
        <f t="shared" si="2239"/>
        <v>-1877.7080000000001</v>
      </c>
      <c r="M608" s="10">
        <f t="shared" si="2239"/>
        <v>-1003.2500000000005</v>
      </c>
      <c r="N608" s="10">
        <f t="shared" si="2239"/>
        <v>-2335.0079999999994</v>
      </c>
      <c r="O608" s="10">
        <f t="shared" si="2239"/>
        <v>-1751.6370000000002</v>
      </c>
      <c r="P608" s="10">
        <f t="shared" si="2239"/>
        <v>-4119.3289999999997</v>
      </c>
      <c r="Q608" s="10">
        <f t="shared" si="2239"/>
        <v>-899.34900000000039</v>
      </c>
      <c r="R608" s="10">
        <f t="shared" si="2239"/>
        <v>-784.70800000000304</v>
      </c>
      <c r="S608" s="10">
        <f t="shared" si="2239"/>
        <v>-1376.3559999999973</v>
      </c>
      <c r="T608" s="10">
        <f t="shared" si="2239"/>
        <v>-2905.4160000000002</v>
      </c>
      <c r="U608" s="10">
        <f t="shared" si="2239"/>
        <v>2414.5800000000017</v>
      </c>
      <c r="V608" s="10">
        <f t="shared" si="2239"/>
        <v>1639.9599999999987</v>
      </c>
      <c r="W608" s="10">
        <f t="shared" si="2239"/>
        <v>6619.546000000013</v>
      </c>
      <c r="X608" s="10">
        <f t="shared" si="2239"/>
        <v>2599.4509999999991</v>
      </c>
      <c r="Y608" s="10">
        <f t="shared" si="2239"/>
        <v>8896.3399999999983</v>
      </c>
      <c r="Z608" s="10">
        <f t="shared" si="2239"/>
        <v>10588.573999999997</v>
      </c>
      <c r="AA608" s="10">
        <f t="shared" si="2239"/>
        <v>9453.6969999999965</v>
      </c>
      <c r="AB608" s="10">
        <f t="shared" si="2239"/>
        <v>8101.0270000000046</v>
      </c>
      <c r="AC608" s="10">
        <f t="shared" si="2239"/>
        <v>13108.085999999998</v>
      </c>
      <c r="AD608" s="10">
        <f t="shared" si="2239"/>
        <v>15537.122000000001</v>
      </c>
      <c r="AE608" s="10">
        <f t="shared" ref="AE608:AF608" si="2240">+AE578</f>
        <v>23280.308999999997</v>
      </c>
      <c r="AF608" s="10">
        <f t="shared" si="2240"/>
        <v>27997.826000000008</v>
      </c>
      <c r="AG608" s="10">
        <f t="shared" ref="AG608" si="2241">+AG578</f>
        <v>32009.355000000007</v>
      </c>
      <c r="AO608" s="10">
        <f t="shared" ref="AO608:AU608" si="2242">+AO578</f>
        <v>-322.40600000000001</v>
      </c>
      <c r="AP608" s="10">
        <f t="shared" si="2242"/>
        <v>-498.702</v>
      </c>
      <c r="AQ608" s="10">
        <f t="shared" si="2242"/>
        <v>-10297.620999999997</v>
      </c>
      <c r="AR608" s="10">
        <f t="shared" si="2242"/>
        <v>-6967.6029999999992</v>
      </c>
      <c r="AS608" s="10">
        <f t="shared" si="2242"/>
        <v>-7179.7419999999966</v>
      </c>
      <c r="AT608" s="10">
        <f t="shared" si="2242"/>
        <v>7768.6699999999946</v>
      </c>
      <c r="AU608" s="10">
        <f t="shared" si="2242"/>
        <v>31538.062000000016</v>
      </c>
      <c r="AV608" s="10">
        <f>+SUM(AB608:AE608)</f>
        <v>60026.543999999994</v>
      </c>
    </row>
    <row r="609" spans="2:48" x14ac:dyDescent="0.2">
      <c r="B609" t="s">
        <v>77</v>
      </c>
      <c r="H609" s="10">
        <f>+H599</f>
        <v>13.61</v>
      </c>
      <c r="I609" s="10">
        <f t="shared" ref="I609:AD609" si="2243">+I599</f>
        <v>5820.49</v>
      </c>
      <c r="J609" s="10">
        <f t="shared" si="2243"/>
        <v>479.46099999999996</v>
      </c>
      <c r="K609" s="10">
        <f t="shared" si="2243"/>
        <v>528.01199999999994</v>
      </c>
      <c r="L609" s="10">
        <f t="shared" si="2243"/>
        <v>498.63199999999995</v>
      </c>
      <c r="M609" s="10">
        <f t="shared" si="2243"/>
        <v>591.97500000000002</v>
      </c>
      <c r="N609" s="10">
        <f t="shared" si="2243"/>
        <v>668.42700000000002</v>
      </c>
      <c r="O609" s="10">
        <f t="shared" si="2243"/>
        <v>798.67200000000003</v>
      </c>
      <c r="P609" s="10">
        <f t="shared" si="2243"/>
        <v>809.37300000000005</v>
      </c>
      <c r="Q609" s="10">
        <f t="shared" si="2243"/>
        <v>914.51099999999997</v>
      </c>
      <c r="R609" s="10">
        <f t="shared" si="2243"/>
        <v>955.92899999999997</v>
      </c>
      <c r="S609" s="10">
        <f t="shared" si="2243"/>
        <v>933.23</v>
      </c>
      <c r="T609" s="10">
        <f t="shared" si="2243"/>
        <v>972.80899999999997</v>
      </c>
      <c r="U609" s="10">
        <f t="shared" si="2243"/>
        <v>1187.7629999999999</v>
      </c>
      <c r="V609" s="10">
        <f t="shared" si="2243"/>
        <v>1121.453</v>
      </c>
      <c r="W609" s="10">
        <f t="shared" si="2243"/>
        <v>1492.7049999999999</v>
      </c>
      <c r="X609" s="10">
        <f t="shared" si="2243"/>
        <v>1522.75</v>
      </c>
      <c r="Y609" s="10">
        <f t="shared" si="2243"/>
        <v>1844.348</v>
      </c>
      <c r="Z609" s="10">
        <f t="shared" si="2243"/>
        <v>1864.8819999999998</v>
      </c>
      <c r="AA609" s="10">
        <f t="shared" si="2243"/>
        <v>2486.3850000000002</v>
      </c>
      <c r="AB609" s="10">
        <f t="shared" si="2243"/>
        <v>1533.402</v>
      </c>
      <c r="AC609" s="10">
        <f t="shared" si="2243"/>
        <v>1890.6289999999999</v>
      </c>
      <c r="AD609" s="10">
        <f t="shared" si="2243"/>
        <v>1469.819</v>
      </c>
      <c r="AE609" s="10">
        <f t="shared" ref="AE609:AF609" si="2244">+AE599</f>
        <v>2184.944</v>
      </c>
      <c r="AF609" s="10">
        <f t="shared" si="2244"/>
        <v>2578.5420000000004</v>
      </c>
      <c r="AG609" s="10">
        <f t="shared" ref="AG609" si="2245">+AG599</f>
        <v>2422.7620000000002</v>
      </c>
      <c r="AO609" s="10">
        <f t="shared" ref="AO609:AU609" si="2246">+AO599</f>
        <v>4.0640000000000001</v>
      </c>
      <c r="AP609" s="10">
        <f t="shared" si="2246"/>
        <v>116.50500000000001</v>
      </c>
      <c r="AQ609" s="10">
        <f t="shared" si="2246"/>
        <v>6841.5729999999994</v>
      </c>
      <c r="AR609" s="10">
        <f t="shared" si="2246"/>
        <v>2557.7060000000001</v>
      </c>
      <c r="AS609" s="10">
        <f t="shared" si="2246"/>
        <v>3613.0429999999997</v>
      </c>
      <c r="AT609" s="10">
        <f t="shared" si="2246"/>
        <v>4774.7299999999996</v>
      </c>
      <c r="AU609" s="10">
        <f t="shared" si="2246"/>
        <v>7718.3649999999998</v>
      </c>
      <c r="AV609" s="10">
        <f>+SUM(AB609:AE609)</f>
        <v>7078.7939999999999</v>
      </c>
    </row>
    <row r="610" spans="2:48" x14ac:dyDescent="0.2">
      <c r="B610" t="s">
        <v>93</v>
      </c>
      <c r="H610" s="11">
        <v>0</v>
      </c>
      <c r="I610" s="11">
        <v>0</v>
      </c>
      <c r="J610" s="11">
        <v>0</v>
      </c>
      <c r="K610" s="11">
        <v>0</v>
      </c>
      <c r="L610" s="11">
        <v>0</v>
      </c>
      <c r="M610" s="11">
        <v>0</v>
      </c>
      <c r="N610" s="11">
        <v>0</v>
      </c>
      <c r="O610" s="11">
        <v>0</v>
      </c>
      <c r="P610" s="11">
        <v>0</v>
      </c>
      <c r="Q610" s="11">
        <v>-238.84800000000001</v>
      </c>
      <c r="R610" s="11">
        <v>148.09299999999999</v>
      </c>
      <c r="S610" s="11">
        <v>1.8280000000000001</v>
      </c>
      <c r="T610" s="11">
        <v>-276.33600000000001</v>
      </c>
      <c r="U610" s="11">
        <v>224.1</v>
      </c>
      <c r="V610" s="11">
        <v>90.3</v>
      </c>
      <c r="W610" s="11">
        <v>29.001000000000001</v>
      </c>
      <c r="X610" s="11">
        <v>65.599999999999994</v>
      </c>
      <c r="Y610" s="11">
        <v>22.459</v>
      </c>
      <c r="Z610" s="11">
        <v>-19.885999999999999</v>
      </c>
      <c r="AA610" s="11">
        <v>153.46700000000001</v>
      </c>
      <c r="AB610" s="11">
        <v>480.27600000000001</v>
      </c>
      <c r="AC610" s="11">
        <v>258.70400000000001</v>
      </c>
      <c r="AD610" s="11">
        <v>7.9349999999999996</v>
      </c>
      <c r="AE610" s="11">
        <v>3.052</v>
      </c>
      <c r="AF610" s="11">
        <v>25.437000000000001</v>
      </c>
      <c r="AG610" s="11">
        <v>1.7000000000000001E-2</v>
      </c>
      <c r="AO610" s="11">
        <v>0</v>
      </c>
      <c r="AP610" s="11">
        <v>10</v>
      </c>
      <c r="AQ610" s="11">
        <v>0</v>
      </c>
      <c r="AR610" s="11">
        <v>0</v>
      </c>
      <c r="AS610" s="11">
        <v>-88.927999999999997</v>
      </c>
      <c r="AT610" s="11">
        <v>67.064999999999998</v>
      </c>
      <c r="AU610" s="11">
        <v>221.64</v>
      </c>
      <c r="AV610" s="10">
        <f>+SUM(AB610:AE610)</f>
        <v>749.96699999999998</v>
      </c>
    </row>
    <row r="611" spans="2:48" ht="13.5" x14ac:dyDescent="0.35">
      <c r="B611" t="s">
        <v>81</v>
      </c>
      <c r="H611" s="13">
        <v>0</v>
      </c>
      <c r="I611" s="13">
        <v>0</v>
      </c>
      <c r="J611" s="13">
        <v>0</v>
      </c>
      <c r="K611" s="13">
        <v>0</v>
      </c>
      <c r="L611" s="13">
        <v>0</v>
      </c>
      <c r="M611" s="13">
        <v>0</v>
      </c>
      <c r="N611" s="13">
        <v>6.15</v>
      </c>
      <c r="O611" s="13">
        <v>137.982</v>
      </c>
      <c r="P611" s="13">
        <v>140.31200000000001</v>
      </c>
      <c r="Q611" s="13">
        <v>146.44499999999999</v>
      </c>
      <c r="R611" s="13">
        <v>147.08099999999999</v>
      </c>
      <c r="S611" s="13">
        <v>256.76799999999997</v>
      </c>
      <c r="T611" s="13">
        <v>318.61099999999999</v>
      </c>
      <c r="U611" s="13">
        <v>298.863</v>
      </c>
      <c r="V611" s="13">
        <v>298.44299999999998</v>
      </c>
      <c r="W611" s="13">
        <v>303.14100000000002</v>
      </c>
      <c r="X611" s="13">
        <v>12.64</v>
      </c>
      <c r="Y611" s="13">
        <v>13.148</v>
      </c>
      <c r="Z611" s="13">
        <v>13.646000000000001</v>
      </c>
      <c r="AA611" s="13">
        <v>12.221</v>
      </c>
      <c r="AB611" s="13">
        <v>11.686999999999999</v>
      </c>
      <c r="AC611" s="13">
        <v>11.936999999999999</v>
      </c>
      <c r="AD611" s="13">
        <v>12.208</v>
      </c>
      <c r="AE611" s="13">
        <v>8.1549999999999994</v>
      </c>
      <c r="AF611" s="13">
        <v>0</v>
      </c>
      <c r="AG611" s="13">
        <v>0</v>
      </c>
      <c r="AO611" s="13">
        <v>0</v>
      </c>
      <c r="AP611" s="13">
        <v>0</v>
      </c>
      <c r="AQ611" s="13">
        <v>0</v>
      </c>
      <c r="AR611" s="13">
        <v>144.13200000000001</v>
      </c>
      <c r="AS611" s="13">
        <v>690.60599999999999</v>
      </c>
      <c r="AT611" s="13">
        <v>1219.058</v>
      </c>
      <c r="AU611" s="13">
        <v>51.655000000000001</v>
      </c>
      <c r="AV611" s="25">
        <f>+SUM(AB611:AE611)</f>
        <v>43.987000000000002</v>
      </c>
    </row>
    <row r="612" spans="2:48" x14ac:dyDescent="0.2">
      <c r="B612" s="4" t="s">
        <v>82</v>
      </c>
      <c r="H612" s="10">
        <f>IFERROR(H608+H609+H610+H611,"n/a")</f>
        <v>-267.90700000000021</v>
      </c>
      <c r="I612" s="10">
        <f t="shared" ref="I612:AD612" si="2247">IFERROR(I608+I609+I610+I611,"n/a")</f>
        <v>-673.39800000000014</v>
      </c>
      <c r="J612" s="10">
        <f t="shared" si="2247"/>
        <v>-618.8619999999994</v>
      </c>
      <c r="K612" s="10">
        <f t="shared" si="2247"/>
        <v>-1895.8809999999996</v>
      </c>
      <c r="L612" s="10">
        <f t="shared" si="2247"/>
        <v>-1379.076</v>
      </c>
      <c r="M612" s="10">
        <f t="shared" si="2247"/>
        <v>-411.27500000000043</v>
      </c>
      <c r="N612" s="10">
        <f t="shared" si="2247"/>
        <v>-1660.4309999999991</v>
      </c>
      <c r="O612" s="10">
        <f t="shared" si="2247"/>
        <v>-814.98300000000017</v>
      </c>
      <c r="P612" s="10">
        <f t="shared" si="2247"/>
        <v>-3169.6439999999998</v>
      </c>
      <c r="Q612" s="10">
        <f t="shared" si="2247"/>
        <v>-77.24100000000044</v>
      </c>
      <c r="R612" s="10">
        <f t="shared" si="2247"/>
        <v>466.39499999999691</v>
      </c>
      <c r="S612" s="10">
        <f t="shared" si="2247"/>
        <v>-184.5299999999973</v>
      </c>
      <c r="T612" s="10">
        <f t="shared" si="2247"/>
        <v>-1890.3320000000003</v>
      </c>
      <c r="U612" s="10">
        <f t="shared" si="2247"/>
        <v>4125.3060000000014</v>
      </c>
      <c r="V612" s="10">
        <f t="shared" si="2247"/>
        <v>3150.155999999999</v>
      </c>
      <c r="W612" s="10">
        <f t="shared" si="2247"/>
        <v>8444.3930000000128</v>
      </c>
      <c r="X612" s="10">
        <f t="shared" si="2247"/>
        <v>4200.4409999999998</v>
      </c>
      <c r="Y612" s="10">
        <f t="shared" si="2247"/>
        <v>10776.294999999998</v>
      </c>
      <c r="Z612" s="10">
        <f t="shared" si="2247"/>
        <v>12447.215999999997</v>
      </c>
      <c r="AA612" s="10">
        <f t="shared" si="2247"/>
        <v>12105.769999999997</v>
      </c>
      <c r="AB612" s="10">
        <f t="shared" si="2247"/>
        <v>10126.392000000003</v>
      </c>
      <c r="AC612" s="10">
        <f t="shared" si="2247"/>
        <v>15269.355999999996</v>
      </c>
      <c r="AD612" s="10">
        <f t="shared" si="2247"/>
        <v>17027.084000000003</v>
      </c>
      <c r="AE612" s="10">
        <f t="shared" ref="AE612:AF612" si="2248">IFERROR(AE608+AE609+AE610+AE611,"n/a")</f>
        <v>25476.459999999995</v>
      </c>
      <c r="AF612" s="10">
        <f t="shared" si="2248"/>
        <v>30601.805000000011</v>
      </c>
      <c r="AG612" s="10">
        <f t="shared" ref="AG612" si="2249">IFERROR(AG608+AG609+AG610+AG611,"n/a")</f>
        <v>34432.134000000005</v>
      </c>
      <c r="AO612" s="10">
        <f t="shared" ref="AO612" si="2250">IFERROR(AO608+AO609+AO610+AO611,"n/a")</f>
        <v>-318.34199999999998</v>
      </c>
      <c r="AP612" s="10">
        <f t="shared" ref="AP612" si="2251">IFERROR(AP608+AP609+AP610+AP611,"n/a")</f>
        <v>-372.197</v>
      </c>
      <c r="AQ612" s="10">
        <f t="shared" ref="AQ612" si="2252">IFERROR(AQ608+AQ609+AQ610+AQ611,"n/a")</f>
        <v>-3456.047999999998</v>
      </c>
      <c r="AR612" s="10">
        <f t="shared" ref="AR612" si="2253">IFERROR(AR608+AR609+AR610+AR611,"n/a")</f>
        <v>-4265.7649999999994</v>
      </c>
      <c r="AS612" s="10">
        <f t="shared" ref="AS612" si="2254">IFERROR(AS608+AS609+AS610+AS611,"n/a")</f>
        <v>-2965.020999999997</v>
      </c>
      <c r="AT612" s="10">
        <f t="shared" ref="AT612" si="2255">IFERROR(AT608+AT609+AT610+AT611,"n/a")</f>
        <v>13829.522999999994</v>
      </c>
      <c r="AU612" s="10">
        <f t="shared" ref="AU612" si="2256">IFERROR(AU608+AU609+AU610+AU611,"n/a")</f>
        <v>39529.722000000016</v>
      </c>
      <c r="AV612" s="10">
        <f>+SUM(AB612:AE612)</f>
        <v>67899.292000000001</v>
      </c>
    </row>
    <row r="613" spans="2:48" ht="13.5" x14ac:dyDescent="0.35">
      <c r="B613" t="s">
        <v>83</v>
      </c>
      <c r="H613" s="23" t="s">
        <v>65</v>
      </c>
      <c r="I613" s="13">
        <v>1940.5366059999999</v>
      </c>
      <c r="J613" s="13">
        <v>3678.0509529999999</v>
      </c>
      <c r="K613" s="13">
        <v>4455.6886880000002</v>
      </c>
      <c r="L613" s="13">
        <v>4559.0169999999998</v>
      </c>
      <c r="M613" s="13">
        <v>4649.4290000000001</v>
      </c>
      <c r="N613" s="13">
        <v>4649.4290000000001</v>
      </c>
      <c r="O613" s="13">
        <v>4649.9960000000001</v>
      </c>
      <c r="P613" s="13">
        <v>4650.1120000000001</v>
      </c>
      <c r="Q613" s="13">
        <v>4781.2430000000004</v>
      </c>
      <c r="R613" s="13">
        <v>5576.0929999999998</v>
      </c>
      <c r="S613" s="13">
        <v>4854.5969999999998</v>
      </c>
      <c r="T613" s="13">
        <v>4983.53</v>
      </c>
      <c r="U613" s="13">
        <v>5784.2079999999996</v>
      </c>
      <c r="V613" s="13">
        <v>5767.2070000000003</v>
      </c>
      <c r="W613" s="13">
        <v>5747.7839999999997</v>
      </c>
      <c r="X613" s="13">
        <v>5688.0940000000001</v>
      </c>
      <c r="Y613" s="13">
        <v>5716.9470000000001</v>
      </c>
      <c r="Z613" s="13">
        <v>5776.165</v>
      </c>
      <c r="AA613" s="13">
        <v>5809.2120000000004</v>
      </c>
      <c r="AB613" s="13">
        <v>5850.3779999999997</v>
      </c>
      <c r="AC613" s="13">
        <v>5833.348</v>
      </c>
      <c r="AD613" s="13">
        <v>5865.1019999999999</v>
      </c>
      <c r="AE613" s="13">
        <v>5882.98</v>
      </c>
      <c r="AF613" s="13">
        <v>5907.0209999999997</v>
      </c>
      <c r="AG613" s="13">
        <v>5925.6589999999997</v>
      </c>
      <c r="AO613" s="23" t="s">
        <v>65</v>
      </c>
      <c r="AP613" s="23" t="s">
        <v>65</v>
      </c>
      <c r="AQ613" s="13">
        <v>2968.3195489999998</v>
      </c>
      <c r="AR613" s="13">
        <v>4627.2780000000002</v>
      </c>
      <c r="AS613" s="13">
        <v>4768.3429999999998</v>
      </c>
      <c r="AT613" s="13">
        <v>5784.4650000000001</v>
      </c>
      <c r="AU613" s="13">
        <v>5761.2914389999996</v>
      </c>
      <c r="AV613" s="13">
        <v>5839.63</v>
      </c>
    </row>
    <row r="614" spans="2:48" x14ac:dyDescent="0.2">
      <c r="B614" s="4" t="s">
        <v>84</v>
      </c>
      <c r="H614" s="26" t="str">
        <f>+IFERROR(H612/H613,"n/a")</f>
        <v>n/a</v>
      </c>
      <c r="I614" s="26">
        <f t="shared" ref="I614:AD614" si="2257">+IFERROR(I612/I613,"n/a")</f>
        <v>-0.34701638604389212</v>
      </c>
      <c r="J614" s="26">
        <f t="shared" si="2257"/>
        <v>-0.16825813668927697</v>
      </c>
      <c r="K614" s="26">
        <f t="shared" si="2257"/>
        <v>-0.42549673748661132</v>
      </c>
      <c r="L614" s="26">
        <f t="shared" si="2257"/>
        <v>-0.30249415608671781</v>
      </c>
      <c r="M614" s="26">
        <f t="shared" si="2257"/>
        <v>-8.8457098710400875E-2</v>
      </c>
      <c r="N614" s="26">
        <f t="shared" si="2257"/>
        <v>-0.35712578899473441</v>
      </c>
      <c r="O614" s="26">
        <f t="shared" si="2257"/>
        <v>-0.17526531205618245</v>
      </c>
      <c r="P614" s="26">
        <f t="shared" si="2257"/>
        <v>-0.68162745327424368</v>
      </c>
      <c r="Q614" s="26">
        <f t="shared" si="2257"/>
        <v>-1.6155004043927581E-2</v>
      </c>
      <c r="R614" s="26">
        <f t="shared" si="2257"/>
        <v>8.3641897651276068E-2</v>
      </c>
      <c r="S614" s="26">
        <f t="shared" si="2257"/>
        <v>-3.8011394148679552E-2</v>
      </c>
      <c r="T614" s="26">
        <f t="shared" si="2257"/>
        <v>-0.37931586646413296</v>
      </c>
      <c r="U614" s="26">
        <f t="shared" si="2257"/>
        <v>0.713201530788658</v>
      </c>
      <c r="V614" s="26">
        <f t="shared" si="2257"/>
        <v>0.54621864621817784</v>
      </c>
      <c r="W614" s="26">
        <f t="shared" si="2257"/>
        <v>1.4691562870142674</v>
      </c>
      <c r="X614" s="26">
        <f t="shared" si="2257"/>
        <v>0.73846195228137923</v>
      </c>
      <c r="Y614" s="26">
        <f t="shared" si="2257"/>
        <v>1.884973745602329</v>
      </c>
      <c r="Z614" s="26">
        <f t="shared" si="2257"/>
        <v>2.1549273609739328</v>
      </c>
      <c r="AA614" s="26">
        <f t="shared" si="2257"/>
        <v>2.083891928888117</v>
      </c>
      <c r="AB614" s="26">
        <f t="shared" si="2257"/>
        <v>1.7308953370192497</v>
      </c>
      <c r="AC614" s="26">
        <f t="shared" si="2257"/>
        <v>2.6175973043267771</v>
      </c>
      <c r="AD614" s="26">
        <f t="shared" si="2257"/>
        <v>2.9031181384398774</v>
      </c>
      <c r="AE614" s="26">
        <f t="shared" ref="AE614:AF614" si="2258">+IFERROR(AE612/AE613,"n/a")</f>
        <v>4.3305365648021921</v>
      </c>
      <c r="AF614" s="26">
        <f t="shared" si="2258"/>
        <v>5.180581717925163</v>
      </c>
      <c r="AG614" s="26">
        <f t="shared" ref="AG614" si="2259">+IFERROR(AG612/AG613,"n/a")</f>
        <v>5.8106843475130798</v>
      </c>
      <c r="AO614" s="26" t="str">
        <f t="shared" ref="AO614" si="2260">+IFERROR(AO612/AO613,"n/a")</f>
        <v>n/a</v>
      </c>
      <c r="AP614" s="26" t="str">
        <f t="shared" ref="AP614" si="2261">+IFERROR(AP612/AP613,"n/a")</f>
        <v>n/a</v>
      </c>
      <c r="AQ614" s="26">
        <f t="shared" ref="AQ614" si="2262">+IFERROR(AQ612/AQ613,"n/a")</f>
        <v>-1.1643113023880161</v>
      </c>
      <c r="AR614" s="26">
        <f t="shared" ref="AR614" si="2263">+IFERROR(AR612/AR613,"n/a")</f>
        <v>-0.92187350749187735</v>
      </c>
      <c r="AS614" s="26">
        <f t="shared" ref="AS614" si="2264">+IFERROR(AS612/AS613,"n/a")</f>
        <v>-0.62181369922423724</v>
      </c>
      <c r="AT614" s="26">
        <f t="shared" ref="AT614" si="2265">+IFERROR(AT612/AT613,"n/a")</f>
        <v>2.3908041625284264</v>
      </c>
      <c r="AU614" s="26">
        <f t="shared" ref="AU614:AV614" si="2266">+IFERROR(AU612/AU613,"n/a")</f>
        <v>6.861260607719105</v>
      </c>
      <c r="AV614" s="26">
        <f t="shared" si="2266"/>
        <v>11.627327758779238</v>
      </c>
    </row>
    <row r="615" spans="2:48" x14ac:dyDescent="0.2">
      <c r="B615" s="4"/>
    </row>
    <row r="616" spans="2:48" x14ac:dyDescent="0.2">
      <c r="B616" s="19" t="s">
        <v>66</v>
      </c>
    </row>
    <row r="617" spans="2:48" x14ac:dyDescent="0.2">
      <c r="B617" s="20" t="s">
        <v>267</v>
      </c>
      <c r="H617" s="27" t="str">
        <f>+IFERROR(H614*4,"n/a")</f>
        <v>n/a</v>
      </c>
      <c r="I617" s="27">
        <f t="shared" ref="I617:AF617" si="2267">+IFERROR(I614*4,"n/a")</f>
        <v>-1.3880655441755685</v>
      </c>
      <c r="J617" s="27">
        <f t="shared" si="2267"/>
        <v>-0.67303254675710789</v>
      </c>
      <c r="K617" s="27">
        <f t="shared" si="2267"/>
        <v>-1.7019869499464453</v>
      </c>
      <c r="L617" s="27">
        <f t="shared" si="2267"/>
        <v>-1.2099766243468713</v>
      </c>
      <c r="M617" s="27">
        <f t="shared" si="2267"/>
        <v>-0.3538283948416035</v>
      </c>
      <c r="N617" s="27">
        <f t="shared" si="2267"/>
        <v>-1.4285031559789376</v>
      </c>
      <c r="O617" s="27">
        <f t="shared" si="2267"/>
        <v>-0.70106124822472982</v>
      </c>
      <c r="P617" s="27">
        <f t="shared" si="2267"/>
        <v>-2.7265098130969747</v>
      </c>
      <c r="Q617" s="27">
        <f t="shared" si="2267"/>
        <v>-6.4620016175710324E-2</v>
      </c>
      <c r="R617" s="27">
        <f t="shared" si="2267"/>
        <v>0.33456759060510427</v>
      </c>
      <c r="S617" s="27">
        <f t="shared" si="2267"/>
        <v>-0.15204557659471821</v>
      </c>
      <c r="T617" s="27">
        <f t="shared" si="2267"/>
        <v>-1.5172634658565318</v>
      </c>
      <c r="U617" s="27">
        <f t="shared" si="2267"/>
        <v>2.852806123154632</v>
      </c>
      <c r="V617" s="27">
        <f t="shared" si="2267"/>
        <v>2.1848745848727114</v>
      </c>
      <c r="W617" s="27">
        <f t="shared" si="2267"/>
        <v>5.8766251480570695</v>
      </c>
      <c r="X617" s="27">
        <f t="shared" si="2267"/>
        <v>2.9538478091255169</v>
      </c>
      <c r="Y617" s="27">
        <f t="shared" si="2267"/>
        <v>7.539894982409316</v>
      </c>
      <c r="Z617" s="27">
        <f t="shared" si="2267"/>
        <v>8.6197094438957311</v>
      </c>
      <c r="AA617" s="27">
        <f t="shared" si="2267"/>
        <v>8.3355677155524681</v>
      </c>
      <c r="AB617" s="27">
        <f t="shared" si="2267"/>
        <v>6.9235813480769988</v>
      </c>
      <c r="AC617" s="27">
        <f t="shared" si="2267"/>
        <v>10.470389217307108</v>
      </c>
      <c r="AD617" s="27">
        <f t="shared" si="2267"/>
        <v>11.61247255375951</v>
      </c>
      <c r="AE617" s="27">
        <f t="shared" si="2267"/>
        <v>17.322146259208768</v>
      </c>
      <c r="AF617" s="27">
        <f t="shared" si="2267"/>
        <v>20.722326871700652</v>
      </c>
      <c r="AG617" s="27">
        <f t="shared" ref="AG617" si="2268">+IFERROR(AG614*4,"n/a")</f>
        <v>23.242737390052319</v>
      </c>
      <c r="AH617" s="3"/>
      <c r="AI617" s="3"/>
      <c r="AJ617" s="3"/>
      <c r="AK617" s="3"/>
      <c r="AL617" s="3"/>
      <c r="AM617" s="3"/>
      <c r="AN617" s="3"/>
      <c r="AO617" s="27" t="str">
        <f t="shared" ref="AO617:AV617" si="2269">+IFERROR(AO614*4,"n/a")</f>
        <v>n/a</v>
      </c>
      <c r="AP617" s="27" t="str">
        <f t="shared" si="2269"/>
        <v>n/a</v>
      </c>
      <c r="AQ617" s="27">
        <f t="shared" si="2269"/>
        <v>-4.6572452095520642</v>
      </c>
      <c r="AR617" s="27">
        <f t="shared" si="2269"/>
        <v>-3.6874940299675094</v>
      </c>
      <c r="AS617" s="27">
        <f t="shared" si="2269"/>
        <v>-2.4872547968969489</v>
      </c>
      <c r="AT617" s="27">
        <f t="shared" si="2269"/>
        <v>9.5632166501137057</v>
      </c>
      <c r="AU617" s="27">
        <f t="shared" si="2269"/>
        <v>27.44504243087642</v>
      </c>
      <c r="AV617" s="27">
        <f t="shared" si="2269"/>
        <v>46.509311035116951</v>
      </c>
    </row>
    <row r="618" spans="2:48" x14ac:dyDescent="0.2">
      <c r="B618" s="20"/>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3"/>
      <c r="AF618" s="3"/>
      <c r="AG618" s="3"/>
      <c r="AH618" s="3"/>
      <c r="AI618" s="3"/>
      <c r="AJ618" s="3"/>
      <c r="AK618" s="3"/>
      <c r="AL618" s="3"/>
      <c r="AM618" s="3"/>
      <c r="AN618" s="3"/>
      <c r="AO618" s="27"/>
      <c r="AP618" s="27"/>
      <c r="AQ618" s="27"/>
      <c r="AR618" s="27"/>
      <c r="AS618" s="27"/>
      <c r="AT618" s="27"/>
      <c r="AU618" s="27"/>
    </row>
    <row r="619" spans="2:48" x14ac:dyDescent="0.2">
      <c r="B619" s="24" t="s">
        <v>354</v>
      </c>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3"/>
      <c r="AF619" s="3"/>
      <c r="AG619" s="3"/>
      <c r="AH619" s="3"/>
      <c r="AI619" s="3"/>
      <c r="AJ619" s="3"/>
      <c r="AK619" s="3"/>
      <c r="AL619" s="3"/>
      <c r="AM619" s="3"/>
      <c r="AN619" s="3"/>
      <c r="AO619" s="27"/>
      <c r="AP619" s="27"/>
      <c r="AQ619" s="27"/>
      <c r="AR619" s="27"/>
      <c r="AS619" s="27"/>
      <c r="AT619" s="27"/>
      <c r="AU619" s="27"/>
    </row>
    <row r="620" spans="2:48" x14ac:dyDescent="0.2">
      <c r="B620" t="s">
        <v>598</v>
      </c>
      <c r="H620" s="12" t="s">
        <v>65</v>
      </c>
      <c r="I620" s="12" t="s">
        <v>65</v>
      </c>
      <c r="J620" s="12" t="s">
        <v>65</v>
      </c>
      <c r="K620" s="12" t="s">
        <v>65</v>
      </c>
      <c r="L620" s="12" t="s">
        <v>65</v>
      </c>
      <c r="M620" s="12" t="s">
        <v>65</v>
      </c>
      <c r="N620" s="12" t="s">
        <v>65</v>
      </c>
      <c r="O620" s="12" t="s">
        <v>65</v>
      </c>
      <c r="P620" s="12" t="s">
        <v>65</v>
      </c>
      <c r="Q620" s="12" t="s">
        <v>65</v>
      </c>
      <c r="R620" s="12" t="s">
        <v>65</v>
      </c>
      <c r="S620" s="12" t="s">
        <v>65</v>
      </c>
      <c r="T620" s="12" t="s">
        <v>65</v>
      </c>
      <c r="U620" s="12" t="s">
        <v>65</v>
      </c>
      <c r="V620" s="12" t="s">
        <v>65</v>
      </c>
      <c r="W620" s="12" t="s">
        <v>65</v>
      </c>
      <c r="X620" s="12" t="s">
        <v>65</v>
      </c>
      <c r="Y620" s="12" t="s">
        <v>65</v>
      </c>
      <c r="Z620" s="12" t="s">
        <v>65</v>
      </c>
      <c r="AA620" s="12" t="s">
        <v>65</v>
      </c>
      <c r="AB620" s="12" t="s">
        <v>65</v>
      </c>
      <c r="AC620" s="12" t="s">
        <v>65</v>
      </c>
      <c r="AD620" s="12" t="s">
        <v>65</v>
      </c>
      <c r="AE620" s="12" t="s">
        <v>65</v>
      </c>
      <c r="AF620" s="12" t="s">
        <v>65</v>
      </c>
      <c r="AG620" s="12" t="s">
        <v>65</v>
      </c>
      <c r="AH620" s="3"/>
      <c r="AI620" s="3"/>
      <c r="AJ620" s="3"/>
      <c r="AK620" s="3"/>
      <c r="AL620" s="3"/>
      <c r="AM620" s="3"/>
      <c r="AN620" s="3"/>
      <c r="AO620" s="12">
        <v>113.691</v>
      </c>
      <c r="AP620" s="12">
        <v>1259.6099999999999</v>
      </c>
      <c r="AQ620" s="12">
        <v>12867.833000000001</v>
      </c>
      <c r="AR620" s="12">
        <v>25867.772000000001</v>
      </c>
      <c r="AS620" s="12">
        <v>39297.89</v>
      </c>
      <c r="AT620" s="12">
        <v>41456.838000000003</v>
      </c>
      <c r="AU620" s="12">
        <v>49971.417999999998</v>
      </c>
      <c r="AV620" s="12">
        <v>76428.811000000002</v>
      </c>
    </row>
    <row r="621" spans="2:48" ht="13.5" x14ac:dyDescent="0.35">
      <c r="B621" t="s">
        <v>355</v>
      </c>
      <c r="H621" s="36" t="str">
        <f>+IFERROR(H622-H620,"n/a")</f>
        <v>n/a</v>
      </c>
      <c r="I621" s="36" t="str">
        <f t="shared" ref="I621:AD621" si="2270">+IFERROR(I622-I620,"n/a")</f>
        <v>n/a</v>
      </c>
      <c r="J621" s="36" t="str">
        <f t="shared" si="2270"/>
        <v>n/a</v>
      </c>
      <c r="K621" s="36" t="str">
        <f t="shared" si="2270"/>
        <v>n/a</v>
      </c>
      <c r="L621" s="36" t="str">
        <f t="shared" si="2270"/>
        <v>n/a</v>
      </c>
      <c r="M621" s="36" t="str">
        <f t="shared" si="2270"/>
        <v>n/a</v>
      </c>
      <c r="N621" s="36" t="str">
        <f t="shared" si="2270"/>
        <v>n/a</v>
      </c>
      <c r="O621" s="36" t="str">
        <f t="shared" si="2270"/>
        <v>n/a</v>
      </c>
      <c r="P621" s="36" t="str">
        <f t="shared" si="2270"/>
        <v>n/a</v>
      </c>
      <c r="Q621" s="36" t="str">
        <f t="shared" si="2270"/>
        <v>n/a</v>
      </c>
      <c r="R621" s="36" t="str">
        <f t="shared" si="2270"/>
        <v>n/a</v>
      </c>
      <c r="S621" s="36" t="str">
        <f t="shared" si="2270"/>
        <v>n/a</v>
      </c>
      <c r="T621" s="36" t="str">
        <f t="shared" si="2270"/>
        <v>n/a</v>
      </c>
      <c r="U621" s="36" t="str">
        <f t="shared" si="2270"/>
        <v>n/a</v>
      </c>
      <c r="V621" s="36" t="str">
        <f t="shared" si="2270"/>
        <v>n/a</v>
      </c>
      <c r="W621" s="36" t="str">
        <f t="shared" si="2270"/>
        <v>n/a</v>
      </c>
      <c r="X621" s="36" t="str">
        <f t="shared" si="2270"/>
        <v>n/a</v>
      </c>
      <c r="Y621" s="36" t="str">
        <f t="shared" si="2270"/>
        <v>n/a</v>
      </c>
      <c r="Z621" s="36" t="str">
        <f t="shared" si="2270"/>
        <v>n/a</v>
      </c>
      <c r="AA621" s="36" t="str">
        <f t="shared" si="2270"/>
        <v>n/a</v>
      </c>
      <c r="AB621" s="36" t="str">
        <f t="shared" si="2270"/>
        <v>n/a</v>
      </c>
      <c r="AC621" s="36" t="str">
        <f t="shared" si="2270"/>
        <v>n/a</v>
      </c>
      <c r="AD621" s="36" t="str">
        <f t="shared" si="2270"/>
        <v>n/a</v>
      </c>
      <c r="AE621" s="36" t="str">
        <f t="shared" ref="AE621:AF621" si="2271">+IFERROR(AE622-AE620,"n/a")</f>
        <v>n/a</v>
      </c>
      <c r="AF621" s="36" t="str">
        <f t="shared" si="2271"/>
        <v>n/a</v>
      </c>
      <c r="AG621" s="36" t="str">
        <f t="shared" ref="AG621" si="2272">+IFERROR(AG622-AG620,"n/a")</f>
        <v>n/a</v>
      </c>
      <c r="AH621" s="3"/>
      <c r="AI621" s="3"/>
      <c r="AJ621" s="3"/>
      <c r="AK621" s="3"/>
      <c r="AL621" s="3"/>
      <c r="AM621" s="3"/>
      <c r="AN621" s="3"/>
      <c r="AO621" s="36">
        <f t="shared" ref="AO621" si="2273">+IFERROR(AO622-AO620,"n/a")</f>
        <v>55.299000000000007</v>
      </c>
      <c r="AP621" s="36">
        <f t="shared" ref="AP621" si="2274">+IFERROR(AP622-AP620,"n/a")</f>
        <v>84.972000000000207</v>
      </c>
      <c r="AQ621" s="36">
        <f t="shared" ref="AQ621" si="2275">+IFERROR(AQ622-AQ620,"n/a")</f>
        <v>573.97999999999956</v>
      </c>
      <c r="AR621" s="36">
        <f t="shared" ref="AR621" si="2276">+IFERROR(AR622-AR620,"n/a")</f>
        <v>1306.476999999999</v>
      </c>
      <c r="AS621" s="36">
        <f t="shared" ref="AS621" si="2277">+IFERROR(AS622-AS620,"n/a")</f>
        <v>1896.7090000000026</v>
      </c>
      <c r="AT621" s="36">
        <f t="shared" ref="AT621" si="2278">+IFERROR(AT622-AT620,"n/a")</f>
        <v>3344.8819999999978</v>
      </c>
      <c r="AU621" s="36">
        <f t="shared" ref="AU621:AV621" si="2279">+IFERROR(AU622-AU620,"n/a")</f>
        <v>4372.3009999999995</v>
      </c>
      <c r="AV621" s="36">
        <f t="shared" si="2279"/>
        <v>5760.0589999999938</v>
      </c>
    </row>
    <row r="622" spans="2:48" x14ac:dyDescent="0.2">
      <c r="B622" s="4" t="s">
        <v>356</v>
      </c>
      <c r="H622" s="17">
        <f>+H560</f>
        <v>1217.4580000000001</v>
      </c>
      <c r="I622" s="17">
        <f t="shared" ref="I622:AD622" si="2280">+I560</f>
        <v>2970.7339999999999</v>
      </c>
      <c r="J622" s="17">
        <f t="shared" si="2280"/>
        <v>3229.6469999999999</v>
      </c>
      <c r="K622" s="17">
        <f t="shared" si="2280"/>
        <v>6023.9740000000002</v>
      </c>
      <c r="L622" s="17">
        <f t="shared" si="2280"/>
        <v>4889.2550000000001</v>
      </c>
      <c r="M622" s="17">
        <f t="shared" si="2280"/>
        <v>6103.7030000000004</v>
      </c>
      <c r="N622" s="17">
        <f t="shared" si="2280"/>
        <v>6908.7550000000001</v>
      </c>
      <c r="O622" s="17">
        <f t="shared" si="2280"/>
        <v>9272.5360000000001</v>
      </c>
      <c r="P622" s="17">
        <f t="shared" si="2280"/>
        <v>7296.6210000000001</v>
      </c>
      <c r="Q622" s="17">
        <f t="shared" si="2280"/>
        <v>9113.5840000000007</v>
      </c>
      <c r="R622" s="17">
        <f t="shared" si="2280"/>
        <v>10071.868</v>
      </c>
      <c r="S622" s="17">
        <f t="shared" si="2280"/>
        <v>14712.526</v>
      </c>
      <c r="T622" s="17">
        <f t="shared" si="2280"/>
        <v>12997.406999999999</v>
      </c>
      <c r="U622" s="17">
        <f t="shared" si="2280"/>
        <v>10387.873</v>
      </c>
      <c r="V622" s="17">
        <f t="shared" si="2280"/>
        <v>10050.611000000001</v>
      </c>
      <c r="W622" s="17">
        <f t="shared" si="2280"/>
        <v>11365.828999999998</v>
      </c>
      <c r="X622" s="17">
        <f t="shared" si="2280"/>
        <v>11219.067999999999</v>
      </c>
      <c r="Y622" s="17">
        <f t="shared" si="2280"/>
        <v>11343.447</v>
      </c>
      <c r="Z622" s="17">
        <f t="shared" si="2280"/>
        <v>14048.82</v>
      </c>
      <c r="AA622" s="17">
        <f t="shared" si="2280"/>
        <v>17732.383999999998</v>
      </c>
      <c r="AB622" s="17">
        <f t="shared" si="2280"/>
        <v>16259.688</v>
      </c>
      <c r="AC622" s="17">
        <f t="shared" si="2280"/>
        <v>17542.208999999999</v>
      </c>
      <c r="AD622" s="17">
        <f t="shared" si="2280"/>
        <v>21748.449000000001</v>
      </c>
      <c r="AE622" s="17">
        <f t="shared" ref="AE622:AF622" si="2281">+AE560</f>
        <v>26638.524000000001</v>
      </c>
      <c r="AF622" s="17">
        <f t="shared" si="2281"/>
        <v>23410.654999999999</v>
      </c>
      <c r="AG622" s="17">
        <f t="shared" ref="AG622" si="2282">+AG560</f>
        <v>26049.136999999999</v>
      </c>
      <c r="AH622" s="3"/>
      <c r="AI622" s="3"/>
      <c r="AJ622" s="3"/>
      <c r="AK622" s="3"/>
      <c r="AL622" s="3"/>
      <c r="AM622" s="3"/>
      <c r="AN622" s="3"/>
      <c r="AO622" s="17">
        <f t="shared" ref="AO622:AV622" si="2283">+AO560</f>
        <v>168.99</v>
      </c>
      <c r="AP622" s="17">
        <f t="shared" si="2283"/>
        <v>1344.5820000000001</v>
      </c>
      <c r="AQ622" s="17">
        <f t="shared" si="2283"/>
        <v>13441.813</v>
      </c>
      <c r="AR622" s="17">
        <f t="shared" si="2283"/>
        <v>27174.249</v>
      </c>
      <c r="AS622" s="17">
        <f t="shared" si="2283"/>
        <v>41194.599000000002</v>
      </c>
      <c r="AT622" s="17">
        <f t="shared" si="2283"/>
        <v>44801.72</v>
      </c>
      <c r="AU622" s="17">
        <f t="shared" si="2283"/>
        <v>54343.718999999997</v>
      </c>
      <c r="AV622" s="17">
        <f t="shared" si="2283"/>
        <v>82188.87</v>
      </c>
    </row>
    <row r="623" spans="2:48" x14ac:dyDescent="0.2">
      <c r="B623" s="20"/>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3"/>
      <c r="AF623" s="3"/>
      <c r="AG623" s="3"/>
      <c r="AH623" s="3"/>
      <c r="AI623" s="3"/>
      <c r="AJ623" s="3"/>
      <c r="AK623" s="3"/>
      <c r="AL623" s="3"/>
      <c r="AM623" s="3"/>
      <c r="AN623" s="3"/>
      <c r="AO623" s="27"/>
      <c r="AP623" s="27"/>
      <c r="AQ623" s="27"/>
      <c r="AR623" s="27"/>
      <c r="AS623" s="27"/>
      <c r="AT623" s="27"/>
      <c r="AU623" s="27"/>
    </row>
    <row r="624" spans="2:48" x14ac:dyDescent="0.2">
      <c r="B624" s="24" t="s">
        <v>327</v>
      </c>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3"/>
      <c r="AF624" s="3"/>
      <c r="AG624" s="3"/>
      <c r="AH624" s="3"/>
      <c r="AI624" s="3"/>
      <c r="AJ624" s="3"/>
      <c r="AK624" s="3"/>
      <c r="AL624" s="3"/>
      <c r="AM624" s="3"/>
      <c r="AN624" s="3"/>
      <c r="AO624" s="27"/>
      <c r="AP624" s="27"/>
      <c r="AQ624" s="27"/>
      <c r="AR624" s="27"/>
      <c r="AS624" s="27"/>
      <c r="AT624" s="27"/>
      <c r="AU624" s="27"/>
    </row>
    <row r="625" spans="2:48" x14ac:dyDescent="0.2">
      <c r="B625" t="s">
        <v>446</v>
      </c>
      <c r="H625" s="12" t="s">
        <v>65</v>
      </c>
      <c r="I625" s="12" t="s">
        <v>65</v>
      </c>
      <c r="J625" s="12" t="s">
        <v>65</v>
      </c>
      <c r="K625" s="17">
        <f>+AQ625</f>
        <v>507</v>
      </c>
      <c r="L625" s="12" t="s">
        <v>65</v>
      </c>
      <c r="M625" s="12" t="s">
        <v>65</v>
      </c>
      <c r="N625" s="12" t="s">
        <v>65</v>
      </c>
      <c r="O625" s="17">
        <f>+AR625</f>
        <v>826</v>
      </c>
      <c r="P625" s="12" t="s">
        <v>65</v>
      </c>
      <c r="Q625" s="12" t="s">
        <v>65</v>
      </c>
      <c r="R625" s="12" t="s">
        <v>65</v>
      </c>
      <c r="S625" s="17">
        <f>+AS625</f>
        <v>1936</v>
      </c>
      <c r="T625" s="12" t="s">
        <v>65</v>
      </c>
      <c r="U625" s="12" t="s">
        <v>65</v>
      </c>
      <c r="V625" s="12" t="s">
        <v>65</v>
      </c>
      <c r="W625" s="17">
        <f>+AT625</f>
        <v>2791</v>
      </c>
      <c r="X625" s="12" t="s">
        <v>65</v>
      </c>
      <c r="Y625" s="12" t="s">
        <v>65</v>
      </c>
      <c r="Z625" s="12" t="s">
        <v>65</v>
      </c>
      <c r="AA625" s="17">
        <f>+AU625</f>
        <v>4590</v>
      </c>
      <c r="AB625" s="12" t="s">
        <v>65</v>
      </c>
      <c r="AC625" s="12" t="s">
        <v>65</v>
      </c>
      <c r="AD625" s="12" t="s">
        <v>65</v>
      </c>
      <c r="AE625" s="17">
        <f>+AV625</f>
        <v>7158</v>
      </c>
      <c r="AF625" s="12" t="s">
        <v>65</v>
      </c>
      <c r="AG625" s="12" t="s">
        <v>65</v>
      </c>
      <c r="AH625" s="3"/>
      <c r="AI625" s="3"/>
      <c r="AJ625" s="3"/>
      <c r="AK625" s="3"/>
      <c r="AL625" s="3"/>
      <c r="AM625" s="3"/>
      <c r="AN625" s="3"/>
      <c r="AO625" s="12" t="s">
        <v>65</v>
      </c>
      <c r="AP625" s="12">
        <v>208</v>
      </c>
      <c r="AQ625" s="12">
        <v>507</v>
      </c>
      <c r="AR625" s="12">
        <v>826</v>
      </c>
      <c r="AS625" s="12">
        <v>1936</v>
      </c>
      <c r="AT625" s="12">
        <v>2791</v>
      </c>
      <c r="AU625" s="12">
        <v>4590</v>
      </c>
      <c r="AV625" s="12">
        <v>7158</v>
      </c>
    </row>
    <row r="626" spans="2:48" x14ac:dyDescent="0.2">
      <c r="B626" t="s">
        <v>329</v>
      </c>
      <c r="H626" s="12" t="s">
        <v>65</v>
      </c>
      <c r="I626" s="12" t="s">
        <v>65</v>
      </c>
      <c r="J626" s="12" t="s">
        <v>65</v>
      </c>
      <c r="K626" s="17">
        <f t="shared" ref="K626:K629" si="2284">+AQ626</f>
        <v>1866</v>
      </c>
      <c r="L626" s="12" t="s">
        <v>65</v>
      </c>
      <c r="M626" s="12" t="s">
        <v>65</v>
      </c>
      <c r="N626" s="12" t="s">
        <v>65</v>
      </c>
      <c r="O626" s="17">
        <f t="shared" ref="O626:O629" si="2285">+AR626</f>
        <v>3613</v>
      </c>
      <c r="P626" s="12" t="s">
        <v>65</v>
      </c>
      <c r="Q626" s="12" t="s">
        <v>65</v>
      </c>
      <c r="R626" s="12" t="s">
        <v>65</v>
      </c>
      <c r="S626" s="17">
        <f t="shared" ref="S626:S629" si="2286">+AS626</f>
        <v>4864</v>
      </c>
      <c r="T626" s="12" t="s">
        <v>65</v>
      </c>
      <c r="U626" s="12" t="s">
        <v>65</v>
      </c>
      <c r="V626" s="12" t="s">
        <v>65</v>
      </c>
      <c r="W626" s="17">
        <f t="shared" ref="W626:W629" si="2287">+AT626</f>
        <v>5622</v>
      </c>
      <c r="X626" s="12" t="s">
        <v>65</v>
      </c>
      <c r="Y626" s="12" t="s">
        <v>65</v>
      </c>
      <c r="Z626" s="12" t="s">
        <v>65</v>
      </c>
      <c r="AA626" s="17">
        <f t="shared" ref="AA626:AA629" si="2288">+AU626</f>
        <v>6444</v>
      </c>
      <c r="AB626" s="12" t="s">
        <v>65</v>
      </c>
      <c r="AC626" s="12" t="s">
        <v>65</v>
      </c>
      <c r="AD626" s="12" t="s">
        <v>65</v>
      </c>
      <c r="AE626" s="17">
        <f t="shared" ref="AE626:AE629" si="2289">+AV626</f>
        <v>7332</v>
      </c>
      <c r="AF626" s="12" t="s">
        <v>65</v>
      </c>
      <c r="AG626" s="12" t="s">
        <v>65</v>
      </c>
      <c r="AH626" s="3"/>
      <c r="AI626" s="3"/>
      <c r="AJ626" s="3"/>
      <c r="AK626" s="3"/>
      <c r="AL626" s="3"/>
      <c r="AM626" s="3"/>
      <c r="AN626" s="3"/>
      <c r="AO626" s="12" t="s">
        <v>65</v>
      </c>
      <c r="AP626" s="12">
        <v>545</v>
      </c>
      <c r="AQ626" s="12">
        <v>1866</v>
      </c>
      <c r="AR626" s="12">
        <v>3613</v>
      </c>
      <c r="AS626" s="12">
        <v>4864</v>
      </c>
      <c r="AT626" s="12">
        <v>5622</v>
      </c>
      <c r="AU626" s="12">
        <v>6444</v>
      </c>
      <c r="AV626" s="12">
        <v>7332</v>
      </c>
    </row>
    <row r="627" spans="2:48" x14ac:dyDescent="0.2">
      <c r="B627" t="s">
        <v>330</v>
      </c>
      <c r="H627" s="12" t="s">
        <v>65</v>
      </c>
      <c r="I627" s="12" t="s">
        <v>65</v>
      </c>
      <c r="J627" s="12" t="s">
        <v>65</v>
      </c>
      <c r="K627" s="17">
        <f t="shared" si="2284"/>
        <v>1039</v>
      </c>
      <c r="L627" s="12" t="s">
        <v>65</v>
      </c>
      <c r="M627" s="12" t="s">
        <v>65</v>
      </c>
      <c r="N627" s="12" t="s">
        <v>65</v>
      </c>
      <c r="O627" s="17">
        <f t="shared" si="2285"/>
        <v>879</v>
      </c>
      <c r="P627" s="12" t="s">
        <v>65</v>
      </c>
      <c r="Q627" s="12" t="s">
        <v>65</v>
      </c>
      <c r="R627" s="12" t="s">
        <v>65</v>
      </c>
      <c r="S627" s="17">
        <f t="shared" si="2286"/>
        <v>583</v>
      </c>
      <c r="T627" s="12" t="s">
        <v>65</v>
      </c>
      <c r="U627" s="12" t="s">
        <v>65</v>
      </c>
      <c r="V627" s="12" t="s">
        <v>65</v>
      </c>
      <c r="W627" s="17">
        <f t="shared" si="2287"/>
        <v>602</v>
      </c>
      <c r="X627" s="12" t="s">
        <v>65</v>
      </c>
      <c r="Y627" s="12" t="s">
        <v>65</v>
      </c>
      <c r="Z627" s="12" t="s">
        <v>65</v>
      </c>
      <c r="AA627" s="17">
        <f t="shared" si="2288"/>
        <v>809</v>
      </c>
      <c r="AB627" s="12" t="s">
        <v>65</v>
      </c>
      <c r="AC627" s="12" t="s">
        <v>65</v>
      </c>
      <c r="AD627" s="12" t="s">
        <v>65</v>
      </c>
      <c r="AE627" s="17">
        <f t="shared" si="2289"/>
        <v>1339</v>
      </c>
      <c r="AF627" s="12" t="s">
        <v>65</v>
      </c>
      <c r="AG627" s="12" t="s">
        <v>65</v>
      </c>
      <c r="AH627" s="3"/>
      <c r="AI627" s="3"/>
      <c r="AJ627" s="3"/>
      <c r="AK627" s="3"/>
      <c r="AL627" s="3"/>
      <c r="AM627" s="3"/>
      <c r="AN627" s="3"/>
      <c r="AO627" s="12" t="s">
        <v>65</v>
      </c>
      <c r="AP627" s="12">
        <v>306</v>
      </c>
      <c r="AQ627" s="12">
        <v>1039</v>
      </c>
      <c r="AR627" s="12">
        <v>879</v>
      </c>
      <c r="AS627" s="12">
        <v>583</v>
      </c>
      <c r="AT627" s="12">
        <v>602</v>
      </c>
      <c r="AU627" s="12">
        <v>809</v>
      </c>
      <c r="AV627" s="12">
        <v>1339</v>
      </c>
    </row>
    <row r="628" spans="2:48" ht="13.5" x14ac:dyDescent="0.35">
      <c r="B628" t="s">
        <v>331</v>
      </c>
      <c r="H628" s="23" t="s">
        <v>65</v>
      </c>
      <c r="I628" s="23" t="s">
        <v>65</v>
      </c>
      <c r="J628" s="23" t="s">
        <v>65</v>
      </c>
      <c r="K628" s="36">
        <f t="shared" si="2284"/>
        <v>271</v>
      </c>
      <c r="L628" s="23" t="s">
        <v>65</v>
      </c>
      <c r="M628" s="23" t="s">
        <v>65</v>
      </c>
      <c r="N628" s="23" t="s">
        <v>65</v>
      </c>
      <c r="O628" s="36">
        <f t="shared" si="2285"/>
        <v>510</v>
      </c>
      <c r="P628" s="23" t="s">
        <v>65</v>
      </c>
      <c r="Q628" s="23" t="s">
        <v>65</v>
      </c>
      <c r="R628" s="23" t="s">
        <v>65</v>
      </c>
      <c r="S628" s="36">
        <f t="shared" si="2286"/>
        <v>603</v>
      </c>
      <c r="T628" s="23" t="s">
        <v>65</v>
      </c>
      <c r="U628" s="23" t="s">
        <v>65</v>
      </c>
      <c r="V628" s="23" t="s">
        <v>65</v>
      </c>
      <c r="W628" s="36">
        <f t="shared" si="2287"/>
        <v>747</v>
      </c>
      <c r="X628" s="23" t="s">
        <v>65</v>
      </c>
      <c r="Y628" s="23" t="s">
        <v>65</v>
      </c>
      <c r="Z628" s="23" t="s">
        <v>65</v>
      </c>
      <c r="AA628" s="36">
        <f t="shared" si="2288"/>
        <v>1149</v>
      </c>
      <c r="AB628" s="23" t="s">
        <v>65</v>
      </c>
      <c r="AC628" s="23" t="s">
        <v>65</v>
      </c>
      <c r="AD628" s="23" t="s">
        <v>65</v>
      </c>
      <c r="AE628" s="36">
        <f t="shared" si="2289"/>
        <v>1574</v>
      </c>
      <c r="AF628" s="23" t="s">
        <v>65</v>
      </c>
      <c r="AG628" s="23" t="s">
        <v>65</v>
      </c>
      <c r="AH628" s="3"/>
      <c r="AI628" s="3"/>
      <c r="AJ628" s="3"/>
      <c r="AK628" s="3"/>
      <c r="AL628" s="3"/>
      <c r="AM628" s="3"/>
      <c r="AN628" s="3"/>
      <c r="AO628" s="23" t="s">
        <v>65</v>
      </c>
      <c r="AP628" s="23">
        <v>100</v>
      </c>
      <c r="AQ628" s="23">
        <v>271</v>
      </c>
      <c r="AR628" s="23">
        <v>510</v>
      </c>
      <c r="AS628" s="23">
        <v>603</v>
      </c>
      <c r="AT628" s="23">
        <v>747</v>
      </c>
      <c r="AU628" s="23">
        <v>1149</v>
      </c>
      <c r="AV628" s="23">
        <v>1574</v>
      </c>
    </row>
    <row r="629" spans="2:48" x14ac:dyDescent="0.2">
      <c r="B629" s="4" t="s">
        <v>332</v>
      </c>
      <c r="H629" s="17" t="str">
        <f>IFERROR(H625+SUM(H626:H628),"n/a")</f>
        <v>n/a</v>
      </c>
      <c r="I629" s="17" t="str">
        <f t="shared" ref="I629:AD629" si="2290">IFERROR(I625+SUM(I626:I628),"n/a")</f>
        <v>n/a</v>
      </c>
      <c r="J629" s="17" t="str">
        <f t="shared" si="2290"/>
        <v>n/a</v>
      </c>
      <c r="K629" s="17">
        <f t="shared" si="2284"/>
        <v>3683</v>
      </c>
      <c r="L629" s="17" t="str">
        <f t="shared" si="2290"/>
        <v>n/a</v>
      </c>
      <c r="M629" s="17" t="str">
        <f t="shared" si="2290"/>
        <v>n/a</v>
      </c>
      <c r="N629" s="17" t="str">
        <f t="shared" si="2290"/>
        <v>n/a</v>
      </c>
      <c r="O629" s="17">
        <f t="shared" si="2285"/>
        <v>5828</v>
      </c>
      <c r="P629" s="17" t="str">
        <f t="shared" si="2290"/>
        <v>n/a</v>
      </c>
      <c r="Q629" s="17" t="str">
        <f t="shared" si="2290"/>
        <v>n/a</v>
      </c>
      <c r="R629" s="17" t="str">
        <f t="shared" si="2290"/>
        <v>n/a</v>
      </c>
      <c r="S629" s="17">
        <f t="shared" si="2286"/>
        <v>7986</v>
      </c>
      <c r="T629" s="17" t="str">
        <f t="shared" si="2290"/>
        <v>n/a</v>
      </c>
      <c r="U629" s="17" t="str">
        <f t="shared" si="2290"/>
        <v>n/a</v>
      </c>
      <c r="V629" s="17" t="str">
        <f t="shared" si="2290"/>
        <v>n/a</v>
      </c>
      <c r="W629" s="17">
        <f t="shared" si="2287"/>
        <v>9762</v>
      </c>
      <c r="X629" s="17" t="str">
        <f t="shared" si="2290"/>
        <v>n/a</v>
      </c>
      <c r="Y629" s="17" t="str">
        <f t="shared" si="2290"/>
        <v>n/a</v>
      </c>
      <c r="Z629" s="17" t="str">
        <f t="shared" si="2290"/>
        <v>n/a</v>
      </c>
      <c r="AA629" s="17">
        <f t="shared" si="2288"/>
        <v>12992</v>
      </c>
      <c r="AB629" s="17" t="str">
        <f t="shared" si="2290"/>
        <v>n/a</v>
      </c>
      <c r="AC629" s="17" t="str">
        <f t="shared" si="2290"/>
        <v>n/a</v>
      </c>
      <c r="AD629" s="17" t="str">
        <f t="shared" si="2290"/>
        <v>n/a</v>
      </c>
      <c r="AE629" s="17">
        <f t="shared" si="2289"/>
        <v>17403</v>
      </c>
      <c r="AF629" s="17" t="str">
        <f t="shared" ref="AF629:AG629" si="2291">IFERROR(AF625+SUM(AF626:AF628),"n/a")</f>
        <v>n/a</v>
      </c>
      <c r="AG629" s="17" t="str">
        <f t="shared" si="2291"/>
        <v>n/a</v>
      </c>
      <c r="AH629" s="3"/>
      <c r="AI629" s="3"/>
      <c r="AJ629" s="3"/>
      <c r="AK629" s="3"/>
      <c r="AL629" s="3"/>
      <c r="AM629" s="3"/>
      <c r="AN629" s="3"/>
      <c r="AO629" s="12">
        <v>531</v>
      </c>
      <c r="AP629" s="17">
        <f t="shared" ref="AP629:AS629" si="2292">IFERROR(AP625+SUM(AP626:AP628),"n/a")</f>
        <v>1159</v>
      </c>
      <c r="AQ629" s="17">
        <f t="shared" si="2292"/>
        <v>3683</v>
      </c>
      <c r="AR629" s="17">
        <f t="shared" si="2292"/>
        <v>5828</v>
      </c>
      <c r="AS629" s="17">
        <f t="shared" si="2292"/>
        <v>7986</v>
      </c>
      <c r="AT629" s="17">
        <f t="shared" ref="AT629" si="2293">IFERROR(AT625+SUM(AT626:AT628),"n/a")</f>
        <v>9762</v>
      </c>
      <c r="AU629" s="17">
        <f t="shared" ref="AU629:AV629" si="2294">IFERROR(AU625+SUM(AU626:AU628),"n/a")</f>
        <v>12992</v>
      </c>
      <c r="AV629" s="17">
        <f t="shared" si="2294"/>
        <v>17403</v>
      </c>
    </row>
    <row r="630" spans="2:48" x14ac:dyDescent="0.2">
      <c r="B630" s="20"/>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3"/>
      <c r="AF630" s="27"/>
      <c r="AG630" s="27"/>
      <c r="AH630" s="3"/>
      <c r="AI630" s="3"/>
      <c r="AJ630" s="3"/>
      <c r="AK630" s="3"/>
      <c r="AL630" s="3"/>
      <c r="AM630" s="3"/>
      <c r="AN630" s="3"/>
      <c r="AO630" s="27"/>
      <c r="AP630" s="27"/>
      <c r="AQ630" s="27"/>
      <c r="AR630" s="27"/>
      <c r="AS630" s="27"/>
      <c r="AT630" s="27"/>
      <c r="AU630" s="27"/>
    </row>
    <row r="631" spans="2:48" x14ac:dyDescent="0.2">
      <c r="B631" s="19" t="s">
        <v>86</v>
      </c>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3"/>
      <c r="AF631" s="27"/>
      <c r="AG631" s="27"/>
      <c r="AH631" s="3"/>
      <c r="AI631" s="3"/>
      <c r="AJ631" s="3"/>
      <c r="AK631" s="3"/>
      <c r="AL631" s="3"/>
      <c r="AM631" s="3"/>
      <c r="AN631" s="3"/>
      <c r="AO631" s="27"/>
      <c r="AP631" s="27"/>
      <c r="AQ631" s="27"/>
      <c r="AR631" s="27"/>
      <c r="AS631" s="27"/>
      <c r="AT631" s="27"/>
      <c r="AU631" s="27"/>
    </row>
    <row r="632" spans="2:48" x14ac:dyDescent="0.2">
      <c r="B632" s="20" t="s">
        <v>328</v>
      </c>
      <c r="H632" s="27"/>
      <c r="I632" s="27"/>
      <c r="J632" s="27"/>
      <c r="K632" s="27"/>
      <c r="L632" s="46" t="str">
        <f>IFERROR(L625/H625-1,"n/a")</f>
        <v>n/a</v>
      </c>
      <c r="M632" s="46" t="str">
        <f t="shared" ref="M632:AG636" si="2295">IFERROR(M625/I625-1,"n/a")</f>
        <v>n/a</v>
      </c>
      <c r="N632" s="46" t="str">
        <f t="shared" si="2295"/>
        <v>n/a</v>
      </c>
      <c r="O632" s="46">
        <f t="shared" si="2295"/>
        <v>0.62919132149901391</v>
      </c>
      <c r="P632" s="46" t="str">
        <f t="shared" si="2295"/>
        <v>n/a</v>
      </c>
      <c r="Q632" s="46" t="str">
        <f t="shared" si="2295"/>
        <v>n/a</v>
      </c>
      <c r="R632" s="46" t="str">
        <f t="shared" si="2295"/>
        <v>n/a</v>
      </c>
      <c r="S632" s="46">
        <f t="shared" si="2295"/>
        <v>1.3438256658595642</v>
      </c>
      <c r="T632" s="46" t="str">
        <f t="shared" si="2295"/>
        <v>n/a</v>
      </c>
      <c r="U632" s="46" t="str">
        <f t="shared" si="2295"/>
        <v>n/a</v>
      </c>
      <c r="V632" s="46" t="str">
        <f t="shared" si="2295"/>
        <v>n/a</v>
      </c>
      <c r="W632" s="46">
        <f t="shared" si="2295"/>
        <v>0.44163223140495877</v>
      </c>
      <c r="X632" s="46" t="str">
        <f t="shared" si="2295"/>
        <v>n/a</v>
      </c>
      <c r="Y632" s="46" t="str">
        <f t="shared" si="2295"/>
        <v>n/a</v>
      </c>
      <c r="Z632" s="46" t="str">
        <f t="shared" si="2295"/>
        <v>n/a</v>
      </c>
      <c r="AA632" s="46">
        <f t="shared" si="2295"/>
        <v>0.64457183805087781</v>
      </c>
      <c r="AB632" s="46" t="str">
        <f t="shared" si="2295"/>
        <v>n/a</v>
      </c>
      <c r="AC632" s="46" t="str">
        <f t="shared" si="2295"/>
        <v>n/a</v>
      </c>
      <c r="AD632" s="46" t="str">
        <f t="shared" si="2295"/>
        <v>n/a</v>
      </c>
      <c r="AE632" s="46">
        <f t="shared" si="2295"/>
        <v>0.55947712418300655</v>
      </c>
      <c r="AF632" s="46" t="str">
        <f t="shared" si="2295"/>
        <v>n/a</v>
      </c>
      <c r="AG632" s="46" t="str">
        <f t="shared" si="2295"/>
        <v>n/a</v>
      </c>
      <c r="AH632" s="3"/>
      <c r="AI632" s="3"/>
      <c r="AJ632" s="3"/>
      <c r="AK632" s="3"/>
      <c r="AL632" s="3"/>
      <c r="AM632" s="3"/>
      <c r="AN632" s="3"/>
      <c r="AO632" s="27"/>
      <c r="AP632" s="46" t="str">
        <f t="shared" ref="AP632:AV632" si="2296">IFERROR(AP625/AO625-1,"n/a")</f>
        <v>n/a</v>
      </c>
      <c r="AQ632" s="46">
        <f t="shared" si="2296"/>
        <v>1.4375</v>
      </c>
      <c r="AR632" s="46">
        <f t="shared" si="2296"/>
        <v>0.62919132149901391</v>
      </c>
      <c r="AS632" s="46">
        <f t="shared" si="2296"/>
        <v>1.3438256658595642</v>
      </c>
      <c r="AT632" s="46">
        <f t="shared" si="2296"/>
        <v>0.44163223140495877</v>
      </c>
      <c r="AU632" s="46">
        <f t="shared" si="2296"/>
        <v>0.64457183805087781</v>
      </c>
      <c r="AV632" s="46">
        <f t="shared" si="2296"/>
        <v>0.55947712418300655</v>
      </c>
    </row>
    <row r="633" spans="2:48" x14ac:dyDescent="0.2">
      <c r="B633" s="20" t="s">
        <v>329</v>
      </c>
      <c r="H633" s="27"/>
      <c r="I633" s="27"/>
      <c r="J633" s="27"/>
      <c r="K633" s="27"/>
      <c r="L633" s="46" t="str">
        <f t="shared" ref="L633:L636" si="2297">IFERROR(L626/H626-1,"n/a")</f>
        <v>n/a</v>
      </c>
      <c r="M633" s="46" t="str">
        <f t="shared" si="2295"/>
        <v>n/a</v>
      </c>
      <c r="N633" s="46" t="str">
        <f t="shared" si="2295"/>
        <v>n/a</v>
      </c>
      <c r="O633" s="46">
        <f t="shared" si="2295"/>
        <v>0.9362272240085745</v>
      </c>
      <c r="P633" s="46" t="str">
        <f t="shared" si="2295"/>
        <v>n/a</v>
      </c>
      <c r="Q633" s="46" t="str">
        <f t="shared" si="2295"/>
        <v>n/a</v>
      </c>
      <c r="R633" s="46" t="str">
        <f t="shared" si="2295"/>
        <v>n/a</v>
      </c>
      <c r="S633" s="46">
        <f t="shared" si="2295"/>
        <v>0.34624965402712427</v>
      </c>
      <c r="T633" s="46" t="str">
        <f t="shared" si="2295"/>
        <v>n/a</v>
      </c>
      <c r="U633" s="46" t="str">
        <f t="shared" si="2295"/>
        <v>n/a</v>
      </c>
      <c r="V633" s="46" t="str">
        <f t="shared" si="2295"/>
        <v>n/a</v>
      </c>
      <c r="W633" s="46">
        <f t="shared" si="2295"/>
        <v>0.15583881578947367</v>
      </c>
      <c r="X633" s="46" t="str">
        <f t="shared" si="2295"/>
        <v>n/a</v>
      </c>
      <c r="Y633" s="46" t="str">
        <f t="shared" si="2295"/>
        <v>n/a</v>
      </c>
      <c r="Z633" s="46" t="str">
        <f t="shared" si="2295"/>
        <v>n/a</v>
      </c>
      <c r="AA633" s="46">
        <f t="shared" si="2295"/>
        <v>0.14621131270010679</v>
      </c>
      <c r="AB633" s="46" t="str">
        <f t="shared" si="2295"/>
        <v>n/a</v>
      </c>
      <c r="AC633" s="46" t="str">
        <f t="shared" si="2295"/>
        <v>n/a</v>
      </c>
      <c r="AD633" s="46" t="str">
        <f t="shared" si="2295"/>
        <v>n/a</v>
      </c>
      <c r="AE633" s="46">
        <f t="shared" si="2295"/>
        <v>0.13780260707635006</v>
      </c>
      <c r="AF633" s="46" t="str">
        <f t="shared" si="2295"/>
        <v>n/a</v>
      </c>
      <c r="AG633" s="46" t="str">
        <f t="shared" si="2295"/>
        <v>n/a</v>
      </c>
      <c r="AH633" s="3"/>
      <c r="AI633" s="3"/>
      <c r="AJ633" s="3"/>
      <c r="AK633" s="3"/>
      <c r="AL633" s="3"/>
      <c r="AM633" s="3"/>
      <c r="AN633" s="3"/>
      <c r="AO633" s="27"/>
      <c r="AP633" s="46" t="str">
        <f t="shared" ref="AP633" si="2298">IFERROR(AP626/AO626-1,"n/a")</f>
        <v>n/a</v>
      </c>
      <c r="AQ633" s="46">
        <f t="shared" ref="AQ633" si="2299">IFERROR(AQ626/AP626-1,"n/a")</f>
        <v>2.4238532110091744</v>
      </c>
      <c r="AR633" s="46">
        <f t="shared" ref="AR633" si="2300">IFERROR(AR626/AQ626-1,"n/a")</f>
        <v>0.9362272240085745</v>
      </c>
      <c r="AS633" s="46">
        <f t="shared" ref="AS633" si="2301">IFERROR(AS626/AR626-1,"n/a")</f>
        <v>0.34624965402712427</v>
      </c>
      <c r="AT633" s="46">
        <f t="shared" ref="AT633:AV636" si="2302">IFERROR(AT626/AS626-1,"n/a")</f>
        <v>0.15583881578947367</v>
      </c>
      <c r="AU633" s="46">
        <f t="shared" si="2302"/>
        <v>0.14621131270010679</v>
      </c>
      <c r="AV633" s="46">
        <f t="shared" si="2302"/>
        <v>0.13780260707635006</v>
      </c>
    </row>
    <row r="634" spans="2:48" x14ac:dyDescent="0.2">
      <c r="B634" s="20" t="s">
        <v>330</v>
      </c>
      <c r="H634" s="27"/>
      <c r="I634" s="27"/>
      <c r="J634" s="27"/>
      <c r="K634" s="27"/>
      <c r="L634" s="46" t="str">
        <f t="shared" si="2297"/>
        <v>n/a</v>
      </c>
      <c r="M634" s="46" t="str">
        <f t="shared" si="2295"/>
        <v>n/a</v>
      </c>
      <c r="N634" s="46" t="str">
        <f t="shared" si="2295"/>
        <v>n/a</v>
      </c>
      <c r="O634" s="46">
        <f t="shared" si="2295"/>
        <v>-0.15399422521655437</v>
      </c>
      <c r="P634" s="46" t="str">
        <f t="shared" si="2295"/>
        <v>n/a</v>
      </c>
      <c r="Q634" s="46" t="str">
        <f t="shared" si="2295"/>
        <v>n/a</v>
      </c>
      <c r="R634" s="46" t="str">
        <f t="shared" si="2295"/>
        <v>n/a</v>
      </c>
      <c r="S634" s="46">
        <f t="shared" si="2295"/>
        <v>-0.33674630261660976</v>
      </c>
      <c r="T634" s="46" t="str">
        <f t="shared" si="2295"/>
        <v>n/a</v>
      </c>
      <c r="U634" s="46" t="str">
        <f t="shared" si="2295"/>
        <v>n/a</v>
      </c>
      <c r="V634" s="46" t="str">
        <f t="shared" si="2295"/>
        <v>n/a</v>
      </c>
      <c r="W634" s="46">
        <f t="shared" si="2295"/>
        <v>3.2590051457975999E-2</v>
      </c>
      <c r="X634" s="46" t="str">
        <f t="shared" si="2295"/>
        <v>n/a</v>
      </c>
      <c r="Y634" s="46" t="str">
        <f t="shared" si="2295"/>
        <v>n/a</v>
      </c>
      <c r="Z634" s="46" t="str">
        <f t="shared" si="2295"/>
        <v>n/a</v>
      </c>
      <c r="AA634" s="46">
        <f t="shared" si="2295"/>
        <v>0.34385382059800662</v>
      </c>
      <c r="AB634" s="46" t="str">
        <f t="shared" si="2295"/>
        <v>n/a</v>
      </c>
      <c r="AC634" s="46" t="str">
        <f t="shared" si="2295"/>
        <v>n/a</v>
      </c>
      <c r="AD634" s="46" t="str">
        <f t="shared" si="2295"/>
        <v>n/a</v>
      </c>
      <c r="AE634" s="46">
        <f t="shared" si="2295"/>
        <v>0.65512978986402959</v>
      </c>
      <c r="AF634" s="46" t="str">
        <f t="shared" si="2295"/>
        <v>n/a</v>
      </c>
      <c r="AG634" s="46" t="str">
        <f t="shared" si="2295"/>
        <v>n/a</v>
      </c>
      <c r="AH634" s="3"/>
      <c r="AI634" s="3"/>
      <c r="AJ634" s="3"/>
      <c r="AK634" s="3"/>
      <c r="AL634" s="3"/>
      <c r="AM634" s="3"/>
      <c r="AN634" s="3"/>
      <c r="AO634" s="27"/>
      <c r="AP634" s="46" t="str">
        <f t="shared" ref="AP634" si="2303">IFERROR(AP627/AO627-1,"n/a")</f>
        <v>n/a</v>
      </c>
      <c r="AQ634" s="46">
        <f t="shared" ref="AQ634" si="2304">IFERROR(AQ627/AP627-1,"n/a")</f>
        <v>2.3954248366013071</v>
      </c>
      <c r="AR634" s="46">
        <f t="shared" ref="AR634" si="2305">IFERROR(AR627/AQ627-1,"n/a")</f>
        <v>-0.15399422521655437</v>
      </c>
      <c r="AS634" s="46">
        <f t="shared" ref="AS634" si="2306">IFERROR(AS627/AR627-1,"n/a")</f>
        <v>-0.33674630261660976</v>
      </c>
      <c r="AT634" s="46">
        <f t="shared" si="2302"/>
        <v>3.2590051457975999E-2</v>
      </c>
      <c r="AU634" s="46">
        <f t="shared" si="2302"/>
        <v>0.34385382059800662</v>
      </c>
      <c r="AV634" s="46">
        <f t="shared" si="2302"/>
        <v>0.65512978986402959</v>
      </c>
    </row>
    <row r="635" spans="2:48" ht="13.5" x14ac:dyDescent="0.35">
      <c r="B635" s="20" t="s">
        <v>331</v>
      </c>
      <c r="H635" s="27"/>
      <c r="I635" s="27"/>
      <c r="J635" s="27"/>
      <c r="K635" s="27"/>
      <c r="L635" s="47" t="str">
        <f t="shared" si="2297"/>
        <v>n/a</v>
      </c>
      <c r="M635" s="47" t="str">
        <f t="shared" si="2295"/>
        <v>n/a</v>
      </c>
      <c r="N635" s="47" t="str">
        <f t="shared" si="2295"/>
        <v>n/a</v>
      </c>
      <c r="O635" s="47">
        <f t="shared" si="2295"/>
        <v>0.88191881918819193</v>
      </c>
      <c r="P635" s="47" t="str">
        <f t="shared" si="2295"/>
        <v>n/a</v>
      </c>
      <c r="Q635" s="47" t="str">
        <f t="shared" si="2295"/>
        <v>n/a</v>
      </c>
      <c r="R635" s="47" t="str">
        <f t="shared" si="2295"/>
        <v>n/a</v>
      </c>
      <c r="S635" s="47">
        <f t="shared" si="2295"/>
        <v>0.18235294117647061</v>
      </c>
      <c r="T635" s="47" t="str">
        <f t="shared" si="2295"/>
        <v>n/a</v>
      </c>
      <c r="U635" s="47" t="str">
        <f t="shared" si="2295"/>
        <v>n/a</v>
      </c>
      <c r="V635" s="47" t="str">
        <f t="shared" si="2295"/>
        <v>n/a</v>
      </c>
      <c r="W635" s="47">
        <f t="shared" si="2295"/>
        <v>0.23880597014925375</v>
      </c>
      <c r="X635" s="47" t="str">
        <f t="shared" si="2295"/>
        <v>n/a</v>
      </c>
      <c r="Y635" s="47" t="str">
        <f t="shared" si="2295"/>
        <v>n/a</v>
      </c>
      <c r="Z635" s="47" t="str">
        <f t="shared" si="2295"/>
        <v>n/a</v>
      </c>
      <c r="AA635" s="47">
        <f t="shared" si="2295"/>
        <v>0.5381526104417671</v>
      </c>
      <c r="AB635" s="47" t="str">
        <f t="shared" si="2295"/>
        <v>n/a</v>
      </c>
      <c r="AC635" s="47" t="str">
        <f t="shared" si="2295"/>
        <v>n/a</v>
      </c>
      <c r="AD635" s="47" t="str">
        <f t="shared" si="2295"/>
        <v>n/a</v>
      </c>
      <c r="AE635" s="47">
        <f t="shared" si="2295"/>
        <v>0.36988685813751099</v>
      </c>
      <c r="AF635" s="47" t="str">
        <f t="shared" si="2295"/>
        <v>n/a</v>
      </c>
      <c r="AG635" s="47" t="str">
        <f t="shared" si="2295"/>
        <v>n/a</v>
      </c>
      <c r="AH635" s="3"/>
      <c r="AI635" s="3"/>
      <c r="AJ635" s="3"/>
      <c r="AK635" s="3"/>
      <c r="AL635" s="3"/>
      <c r="AM635" s="3"/>
      <c r="AN635" s="3"/>
      <c r="AO635" s="27"/>
      <c r="AP635" s="47" t="str">
        <f t="shared" ref="AP635" si="2307">IFERROR(AP628/AO628-1,"n/a")</f>
        <v>n/a</v>
      </c>
      <c r="AQ635" s="47">
        <f t="shared" ref="AQ635" si="2308">IFERROR(AQ628/AP628-1,"n/a")</f>
        <v>1.71</v>
      </c>
      <c r="AR635" s="47">
        <f t="shared" ref="AR635" si="2309">IFERROR(AR628/AQ628-1,"n/a")</f>
        <v>0.88191881918819193</v>
      </c>
      <c r="AS635" s="47">
        <f t="shared" ref="AS635" si="2310">IFERROR(AS628/AR628-1,"n/a")</f>
        <v>0.18235294117647061</v>
      </c>
      <c r="AT635" s="47">
        <f t="shared" si="2302"/>
        <v>0.23880597014925375</v>
      </c>
      <c r="AU635" s="47">
        <f t="shared" si="2302"/>
        <v>0.5381526104417671</v>
      </c>
      <c r="AV635" s="47">
        <f t="shared" si="2302"/>
        <v>0.36988685813751099</v>
      </c>
    </row>
    <row r="636" spans="2:48" x14ac:dyDescent="0.2">
      <c r="B636" s="30" t="s">
        <v>332</v>
      </c>
      <c r="H636" s="27"/>
      <c r="I636" s="27"/>
      <c r="J636" s="27"/>
      <c r="K636" s="27"/>
      <c r="L636" s="46" t="str">
        <f t="shared" si="2297"/>
        <v>n/a</v>
      </c>
      <c r="M636" s="46" t="str">
        <f t="shared" si="2295"/>
        <v>n/a</v>
      </c>
      <c r="N636" s="46" t="str">
        <f t="shared" si="2295"/>
        <v>n/a</v>
      </c>
      <c r="O636" s="46">
        <f t="shared" si="2295"/>
        <v>0.58240564756991575</v>
      </c>
      <c r="P636" s="46" t="str">
        <f t="shared" si="2295"/>
        <v>n/a</v>
      </c>
      <c r="Q636" s="46" t="str">
        <f t="shared" si="2295"/>
        <v>n/a</v>
      </c>
      <c r="R636" s="46" t="str">
        <f t="shared" si="2295"/>
        <v>n/a</v>
      </c>
      <c r="S636" s="46">
        <f t="shared" si="2295"/>
        <v>0.37028140013726829</v>
      </c>
      <c r="T636" s="46" t="str">
        <f t="shared" si="2295"/>
        <v>n/a</v>
      </c>
      <c r="U636" s="46" t="str">
        <f t="shared" si="2295"/>
        <v>n/a</v>
      </c>
      <c r="V636" s="46" t="str">
        <f t="shared" si="2295"/>
        <v>n/a</v>
      </c>
      <c r="W636" s="46">
        <f t="shared" si="2295"/>
        <v>0.222389181066867</v>
      </c>
      <c r="X636" s="46" t="str">
        <f t="shared" si="2295"/>
        <v>n/a</v>
      </c>
      <c r="Y636" s="46" t="str">
        <f t="shared" si="2295"/>
        <v>n/a</v>
      </c>
      <c r="Z636" s="46" t="str">
        <f t="shared" si="2295"/>
        <v>n/a</v>
      </c>
      <c r="AA636" s="46">
        <f t="shared" si="2295"/>
        <v>0.3308748207334562</v>
      </c>
      <c r="AB636" s="46" t="str">
        <f t="shared" si="2295"/>
        <v>n/a</v>
      </c>
      <c r="AC636" s="46" t="str">
        <f t="shared" si="2295"/>
        <v>n/a</v>
      </c>
      <c r="AD636" s="46" t="str">
        <f t="shared" si="2295"/>
        <v>n/a</v>
      </c>
      <c r="AE636" s="46">
        <f t="shared" si="2295"/>
        <v>0.33951662561576357</v>
      </c>
      <c r="AF636" s="46" t="str">
        <f t="shared" si="2295"/>
        <v>n/a</v>
      </c>
      <c r="AG636" s="46" t="str">
        <f t="shared" si="2295"/>
        <v>n/a</v>
      </c>
      <c r="AH636" s="3"/>
      <c r="AI636" s="3"/>
      <c r="AJ636" s="3"/>
      <c r="AK636" s="3"/>
      <c r="AL636" s="3"/>
      <c r="AM636" s="3"/>
      <c r="AN636" s="3"/>
      <c r="AO636" s="27"/>
      <c r="AP636" s="46">
        <f t="shared" ref="AP636" si="2311">IFERROR(AP629/AO629-1,"n/a")</f>
        <v>1.1826741996233521</v>
      </c>
      <c r="AQ636" s="46">
        <f t="shared" ref="AQ636" si="2312">IFERROR(AQ629/AP629-1,"n/a")</f>
        <v>2.1777394305435722</v>
      </c>
      <c r="AR636" s="46">
        <f t="shared" ref="AR636" si="2313">IFERROR(AR629/AQ629-1,"n/a")</f>
        <v>0.58240564756991575</v>
      </c>
      <c r="AS636" s="46">
        <f t="shared" ref="AS636" si="2314">IFERROR(AS629/AR629-1,"n/a")</f>
        <v>0.37028140013726829</v>
      </c>
      <c r="AT636" s="46">
        <f t="shared" si="2302"/>
        <v>0.222389181066867</v>
      </c>
      <c r="AU636" s="46">
        <f t="shared" si="2302"/>
        <v>0.3308748207334562</v>
      </c>
      <c r="AV636" s="46">
        <f t="shared" si="2302"/>
        <v>0.33951662561576357</v>
      </c>
    </row>
    <row r="637" spans="2:48" x14ac:dyDescent="0.2">
      <c r="B637" s="20"/>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3"/>
      <c r="AF637" s="3"/>
      <c r="AG637" s="3"/>
      <c r="AH637" s="3"/>
      <c r="AI637" s="3"/>
      <c r="AJ637" s="3"/>
      <c r="AK637" s="3"/>
      <c r="AL637" s="3"/>
      <c r="AM637" s="3"/>
      <c r="AN637" s="3"/>
      <c r="AO637" s="27"/>
      <c r="AP637" s="27"/>
      <c r="AQ637" s="27"/>
      <c r="AR637" s="27"/>
      <c r="AS637" s="27"/>
      <c r="AT637" s="27"/>
      <c r="AU637" s="27"/>
    </row>
    <row r="638" spans="2:48" x14ac:dyDescent="0.2">
      <c r="B638" s="6" t="s">
        <v>123</v>
      </c>
      <c r="C638" s="5"/>
    </row>
    <row r="640" spans="2:48" x14ac:dyDescent="0.2">
      <c r="B640" s="1" t="s">
        <v>171</v>
      </c>
    </row>
    <row r="641" spans="2:48" x14ac:dyDescent="0.2">
      <c r="B641" t="s">
        <v>21</v>
      </c>
      <c r="H641" s="17" t="str">
        <f>H716</f>
        <v>n/a</v>
      </c>
      <c r="I641" s="17" t="str">
        <f>IFERROR(I716-H716,"n/a")</f>
        <v>n/a</v>
      </c>
      <c r="J641" s="17" t="str">
        <f t="shared" ref="J641:K641" si="2315">IFERROR(J716-I716,"n/a")</f>
        <v>n/a</v>
      </c>
      <c r="K641" s="17" t="str">
        <f t="shared" si="2315"/>
        <v>n/a</v>
      </c>
      <c r="L641" s="17" t="str">
        <f>L716</f>
        <v>n/a</v>
      </c>
      <c r="M641" s="17" t="str">
        <f>IFERROR(M716-L716,"n/a")</f>
        <v>n/a</v>
      </c>
      <c r="N641" s="17" t="str">
        <f t="shared" ref="N641:O641" si="2316">IFERROR(N716-M716,"n/a")</f>
        <v>n/a</v>
      </c>
      <c r="O641" s="17" t="str">
        <f t="shared" si="2316"/>
        <v>n/a</v>
      </c>
      <c r="P641" s="17" t="str">
        <f>P716</f>
        <v>n/a</v>
      </c>
      <c r="Q641" s="17" t="str">
        <f>IFERROR(Q716-P716,"n/a")</f>
        <v>n/a</v>
      </c>
      <c r="R641" s="17" t="str">
        <f t="shared" ref="R641:S641" si="2317">IFERROR(R716-Q716,"n/a")</f>
        <v>n/a</v>
      </c>
      <c r="S641" s="17" t="str">
        <f t="shared" si="2317"/>
        <v>n/a</v>
      </c>
      <c r="T641" s="17" t="str">
        <f>T716</f>
        <v>n/a</v>
      </c>
      <c r="U641" s="17" t="str">
        <f>IFERROR(U716-T716,"n/a")</f>
        <v>n/a</v>
      </c>
      <c r="V641" s="17" t="str">
        <f t="shared" ref="V641:W641" si="2318">IFERROR(V716-U716,"n/a")</f>
        <v>n/a</v>
      </c>
      <c r="W641" s="17" t="str">
        <f t="shared" si="2318"/>
        <v>n/a</v>
      </c>
      <c r="X641" s="17" t="str">
        <f>X716</f>
        <v>n/a</v>
      </c>
      <c r="Y641" s="17" t="str">
        <f>IFERROR(Y716-X716,"n/a")</f>
        <v>n/a</v>
      </c>
      <c r="Z641" s="17" t="str">
        <f t="shared" ref="Z641:AA641" si="2319">IFERROR(Z716-Y716,"n/a")</f>
        <v>n/a</v>
      </c>
      <c r="AA641" s="17" t="str">
        <f t="shared" si="2319"/>
        <v>n/a</v>
      </c>
      <c r="AB641" s="17" t="str">
        <f>AB716</f>
        <v>n/a</v>
      </c>
      <c r="AC641" s="17" t="str">
        <f t="shared" ref="AC641:AG655" si="2320">IFERROR(AC716-AB716,"n/a")</f>
        <v>n/a</v>
      </c>
      <c r="AD641" s="17" t="str">
        <f t="shared" si="2320"/>
        <v>n/a</v>
      </c>
      <c r="AE641" s="17" t="str">
        <f t="shared" si="2320"/>
        <v>n/a</v>
      </c>
      <c r="AF641" s="17" t="str">
        <f>AF716</f>
        <v>n/a</v>
      </c>
      <c r="AG641" s="17" t="str">
        <f t="shared" si="2320"/>
        <v>n/a</v>
      </c>
      <c r="AO641" s="11">
        <v>-291.97699999999998</v>
      </c>
      <c r="AP641" s="11">
        <v>-525.11500000000001</v>
      </c>
      <c r="AQ641" s="11">
        <v>-10217.125</v>
      </c>
      <c r="AR641" s="11">
        <v>-6967.6030000000001</v>
      </c>
      <c r="AS641" s="11">
        <v>-7179.7420000000002</v>
      </c>
      <c r="AT641" s="11">
        <v>7768.67</v>
      </c>
      <c r="AU641" s="11">
        <v>31538.062000000002</v>
      </c>
      <c r="AV641" s="17">
        <f>AV716</f>
        <v>60026.544000000002</v>
      </c>
    </row>
    <row r="642" spans="2:48" x14ac:dyDescent="0.2">
      <c r="B642" t="s">
        <v>217</v>
      </c>
      <c r="H642" s="17" t="str">
        <f t="shared" ref="H642:H668" si="2321">H717</f>
        <v>n/a</v>
      </c>
      <c r="I642" s="17" t="str">
        <f t="shared" ref="I642:K642" si="2322">IFERROR(I717-H717,"n/a")</f>
        <v>n/a</v>
      </c>
      <c r="J642" s="17" t="str">
        <f t="shared" si="2322"/>
        <v>n/a</v>
      </c>
      <c r="K642" s="17" t="str">
        <f t="shared" si="2322"/>
        <v>n/a</v>
      </c>
      <c r="L642" s="17" t="str">
        <f t="shared" ref="L642:L668" si="2323">L717</f>
        <v>n/a</v>
      </c>
      <c r="M642" s="17" t="str">
        <f t="shared" ref="M642:O642" si="2324">IFERROR(M717-L717,"n/a")</f>
        <v>n/a</v>
      </c>
      <c r="N642" s="17" t="str">
        <f t="shared" si="2324"/>
        <v>n/a</v>
      </c>
      <c r="O642" s="17" t="str">
        <f t="shared" si="2324"/>
        <v>n/a</v>
      </c>
      <c r="P642" s="17" t="str">
        <f t="shared" ref="P642:P668" si="2325">P717</f>
        <v>n/a</v>
      </c>
      <c r="Q642" s="17" t="str">
        <f t="shared" ref="Q642:S642" si="2326">IFERROR(Q717-P717,"n/a")</f>
        <v>n/a</v>
      </c>
      <c r="R642" s="17" t="str">
        <f t="shared" si="2326"/>
        <v>n/a</v>
      </c>
      <c r="S642" s="17" t="str">
        <f t="shared" si="2326"/>
        <v>n/a</v>
      </c>
      <c r="T642" s="17" t="str">
        <f t="shared" ref="T642:T668" si="2327">T717</f>
        <v>n/a</v>
      </c>
      <c r="U642" s="17" t="str">
        <f t="shared" ref="U642:W642" si="2328">IFERROR(U717-T717,"n/a")</f>
        <v>n/a</v>
      </c>
      <c r="V642" s="17" t="str">
        <f t="shared" si="2328"/>
        <v>n/a</v>
      </c>
      <c r="W642" s="17" t="str">
        <f t="shared" si="2328"/>
        <v>n/a</v>
      </c>
      <c r="X642" s="17" t="str">
        <f t="shared" ref="X642:X668" si="2329">X717</f>
        <v>n/a</v>
      </c>
      <c r="Y642" s="17" t="str">
        <f t="shared" ref="Y642:AA642" si="2330">IFERROR(Y717-X717,"n/a")</f>
        <v>n/a</v>
      </c>
      <c r="Z642" s="17" t="str">
        <f t="shared" si="2330"/>
        <v>n/a</v>
      </c>
      <c r="AA642" s="17" t="str">
        <f t="shared" si="2330"/>
        <v>n/a</v>
      </c>
      <c r="AB642" s="17" t="str">
        <f t="shared" ref="AB642:AB668" si="2331">AB717</f>
        <v>n/a</v>
      </c>
      <c r="AC642" s="17" t="str">
        <f t="shared" si="2320"/>
        <v>n/a</v>
      </c>
      <c r="AD642" s="17" t="str">
        <f t="shared" si="2320"/>
        <v>n/a</v>
      </c>
      <c r="AE642" s="17" t="str">
        <f t="shared" si="2320"/>
        <v>n/a</v>
      </c>
      <c r="AF642" s="17" t="str">
        <f t="shared" ref="AF642:AF668" si="2332">AF717</f>
        <v>n/a</v>
      </c>
      <c r="AG642" s="17" t="str">
        <f t="shared" si="2320"/>
        <v>n/a</v>
      </c>
      <c r="AO642" s="11">
        <v>0.75600000000000001</v>
      </c>
      <c r="AP642" s="11">
        <v>2.2650000000000001</v>
      </c>
      <c r="AQ642" s="11">
        <v>497.00299999999999</v>
      </c>
      <c r="AR642" s="11">
        <v>637.83100000000002</v>
      </c>
      <c r="AS642" s="11">
        <v>651.52300000000002</v>
      </c>
      <c r="AT642" s="11">
        <v>1495.38</v>
      </c>
      <c r="AU642" s="11">
        <v>2224.1689999999999</v>
      </c>
      <c r="AV642" s="17">
        <f t="shared" ref="AV642:AV668" si="2333">AV717</f>
        <v>786.23500000000001</v>
      </c>
    </row>
    <row r="643" spans="2:48" x14ac:dyDescent="0.2">
      <c r="B643" t="s">
        <v>124</v>
      </c>
      <c r="H643" s="17" t="str">
        <f t="shared" si="2321"/>
        <v>n/a</v>
      </c>
      <c r="I643" s="17" t="str">
        <f t="shared" ref="I643:K643" si="2334">IFERROR(I718-H718,"n/a")</f>
        <v>n/a</v>
      </c>
      <c r="J643" s="17" t="str">
        <f t="shared" si="2334"/>
        <v>n/a</v>
      </c>
      <c r="K643" s="17" t="str">
        <f t="shared" si="2334"/>
        <v>n/a</v>
      </c>
      <c r="L643" s="17" t="str">
        <f t="shared" si="2323"/>
        <v>n/a</v>
      </c>
      <c r="M643" s="17" t="str">
        <f t="shared" ref="M643:O643" si="2335">IFERROR(M718-L718,"n/a")</f>
        <v>n/a</v>
      </c>
      <c r="N643" s="17" t="str">
        <f t="shared" si="2335"/>
        <v>n/a</v>
      </c>
      <c r="O643" s="17" t="str">
        <f t="shared" si="2335"/>
        <v>n/a</v>
      </c>
      <c r="P643" s="17" t="str">
        <f t="shared" si="2325"/>
        <v>n/a</v>
      </c>
      <c r="Q643" s="17" t="str">
        <f t="shared" ref="Q643:S643" si="2336">IFERROR(Q718-P718,"n/a")</f>
        <v>n/a</v>
      </c>
      <c r="R643" s="17" t="str">
        <f t="shared" si="2336"/>
        <v>n/a</v>
      </c>
      <c r="S643" s="17" t="str">
        <f t="shared" si="2336"/>
        <v>n/a</v>
      </c>
      <c r="T643" s="17" t="str">
        <f t="shared" si="2327"/>
        <v>n/a</v>
      </c>
      <c r="U643" s="17" t="str">
        <f t="shared" ref="U643:W643" si="2337">IFERROR(U718-T718,"n/a")</f>
        <v>n/a</v>
      </c>
      <c r="V643" s="17" t="str">
        <f t="shared" si="2337"/>
        <v>n/a</v>
      </c>
      <c r="W643" s="17" t="str">
        <f t="shared" si="2337"/>
        <v>n/a</v>
      </c>
      <c r="X643" s="17" t="str">
        <f t="shared" si="2329"/>
        <v>n/a</v>
      </c>
      <c r="Y643" s="17" t="str">
        <f t="shared" ref="Y643:AA643" si="2338">IFERROR(Y718-X718,"n/a")</f>
        <v>n/a</v>
      </c>
      <c r="Z643" s="17" t="str">
        <f t="shared" si="2338"/>
        <v>n/a</v>
      </c>
      <c r="AA643" s="17" t="str">
        <f t="shared" si="2338"/>
        <v>n/a</v>
      </c>
      <c r="AB643" s="17" t="str">
        <f t="shared" si="2331"/>
        <v>n/a</v>
      </c>
      <c r="AC643" s="17" t="str">
        <f t="shared" si="2320"/>
        <v>n/a</v>
      </c>
      <c r="AD643" s="17" t="str">
        <f t="shared" si="2320"/>
        <v>n/a</v>
      </c>
      <c r="AE643" s="17" t="str">
        <f t="shared" si="2320"/>
        <v>n/a</v>
      </c>
      <c r="AF643" s="17" t="str">
        <f t="shared" si="2332"/>
        <v>n/a</v>
      </c>
      <c r="AG643" s="17" t="str">
        <f t="shared" si="2320"/>
        <v>n/a</v>
      </c>
      <c r="AO643" s="11">
        <v>0</v>
      </c>
      <c r="AP643" s="11">
        <v>0</v>
      </c>
      <c r="AQ643" s="11">
        <v>0</v>
      </c>
      <c r="AR643" s="11">
        <v>73.206000000000003</v>
      </c>
      <c r="AS643" s="11">
        <v>148.94499999999999</v>
      </c>
      <c r="AT643" s="11">
        <v>348.863</v>
      </c>
      <c r="AU643" s="11">
        <v>510.91500000000002</v>
      </c>
      <c r="AV643" s="17">
        <f t="shared" si="2333"/>
        <v>1101.97</v>
      </c>
    </row>
    <row r="644" spans="2:48" x14ac:dyDescent="0.2">
      <c r="B644" t="s">
        <v>9</v>
      </c>
      <c r="H644" s="17" t="str">
        <f t="shared" si="2321"/>
        <v>n/a</v>
      </c>
      <c r="I644" s="17" t="str">
        <f t="shared" ref="I644:K644" si="2339">IFERROR(I719-H719,"n/a")</f>
        <v>n/a</v>
      </c>
      <c r="J644" s="17" t="str">
        <f t="shared" si="2339"/>
        <v>n/a</v>
      </c>
      <c r="K644" s="17" t="str">
        <f t="shared" si="2339"/>
        <v>n/a</v>
      </c>
      <c r="L644" s="17" t="str">
        <f t="shared" si="2323"/>
        <v>n/a</v>
      </c>
      <c r="M644" s="17" t="str">
        <f t="shared" ref="M644:O644" si="2340">IFERROR(M719-L719,"n/a")</f>
        <v>n/a</v>
      </c>
      <c r="N644" s="17" t="str">
        <f t="shared" si="2340"/>
        <v>n/a</v>
      </c>
      <c r="O644" s="17" t="str">
        <f t="shared" si="2340"/>
        <v>n/a</v>
      </c>
      <c r="P644" s="17" t="str">
        <f t="shared" si="2325"/>
        <v>n/a</v>
      </c>
      <c r="Q644" s="17" t="str">
        <f t="shared" ref="Q644:S644" si="2341">IFERROR(Q719-P719,"n/a")</f>
        <v>n/a</v>
      </c>
      <c r="R644" s="17" t="str">
        <f t="shared" si="2341"/>
        <v>n/a</v>
      </c>
      <c r="S644" s="17" t="str">
        <f t="shared" si="2341"/>
        <v>n/a</v>
      </c>
      <c r="T644" s="17" t="str">
        <f t="shared" si="2327"/>
        <v>n/a</v>
      </c>
      <c r="U644" s="17" t="str">
        <f t="shared" ref="U644:W644" si="2342">IFERROR(U719-T719,"n/a")</f>
        <v>n/a</v>
      </c>
      <c r="V644" s="17" t="str">
        <f t="shared" si="2342"/>
        <v>n/a</v>
      </c>
      <c r="W644" s="17" t="str">
        <f t="shared" si="2342"/>
        <v>n/a</v>
      </c>
      <c r="X644" s="17" t="str">
        <f t="shared" si="2329"/>
        <v>n/a</v>
      </c>
      <c r="Y644" s="17" t="str">
        <f t="shared" ref="Y644:AA644" si="2343">IFERROR(Y719-X719,"n/a")</f>
        <v>n/a</v>
      </c>
      <c r="Z644" s="17" t="str">
        <f t="shared" si="2343"/>
        <v>n/a</v>
      </c>
      <c r="AA644" s="17" t="str">
        <f t="shared" si="2343"/>
        <v>n/a</v>
      </c>
      <c r="AB644" s="17" t="str">
        <f t="shared" si="2331"/>
        <v>n/a</v>
      </c>
      <c r="AC644" s="17" t="str">
        <f t="shared" si="2320"/>
        <v>n/a</v>
      </c>
      <c r="AD644" s="17" t="str">
        <f t="shared" si="2320"/>
        <v>n/a</v>
      </c>
      <c r="AE644" s="17" t="str">
        <f t="shared" si="2320"/>
        <v>n/a</v>
      </c>
      <c r="AF644" s="17" t="str">
        <f t="shared" si="2332"/>
        <v>n/a</v>
      </c>
      <c r="AG644" s="17" t="str">
        <f t="shared" si="2320"/>
        <v>n/a</v>
      </c>
      <c r="AO644" s="11">
        <v>0</v>
      </c>
      <c r="AP644" s="11">
        <v>10</v>
      </c>
      <c r="AQ644" s="11">
        <v>0</v>
      </c>
      <c r="AR644" s="11">
        <v>0</v>
      </c>
      <c r="AS644" s="11">
        <v>0</v>
      </c>
      <c r="AT644" s="11">
        <v>0</v>
      </c>
      <c r="AU644" s="11">
        <v>0</v>
      </c>
      <c r="AV644" s="17">
        <f t="shared" si="2333"/>
        <v>0</v>
      </c>
    </row>
    <row r="645" spans="2:48" x14ac:dyDescent="0.2">
      <c r="B645" t="s">
        <v>16</v>
      </c>
      <c r="H645" s="17" t="str">
        <f t="shared" si="2321"/>
        <v>n/a</v>
      </c>
      <c r="I645" s="17" t="str">
        <f t="shared" ref="I645:K645" si="2344">IFERROR(I720-H720,"n/a")</f>
        <v>n/a</v>
      </c>
      <c r="J645" s="17" t="str">
        <f t="shared" si="2344"/>
        <v>n/a</v>
      </c>
      <c r="K645" s="17" t="str">
        <f t="shared" si="2344"/>
        <v>n/a</v>
      </c>
      <c r="L645" s="17" t="str">
        <f t="shared" si="2323"/>
        <v>n/a</v>
      </c>
      <c r="M645" s="17" t="str">
        <f t="shared" ref="M645:O645" si="2345">IFERROR(M720-L720,"n/a")</f>
        <v>n/a</v>
      </c>
      <c r="N645" s="17" t="str">
        <f t="shared" si="2345"/>
        <v>n/a</v>
      </c>
      <c r="O645" s="17" t="str">
        <f t="shared" si="2345"/>
        <v>n/a</v>
      </c>
      <c r="P645" s="17" t="str">
        <f t="shared" si="2325"/>
        <v>n/a</v>
      </c>
      <c r="Q645" s="17" t="str">
        <f t="shared" ref="Q645:S645" si="2346">IFERROR(Q720-P720,"n/a")</f>
        <v>n/a</v>
      </c>
      <c r="R645" s="17" t="str">
        <f t="shared" si="2346"/>
        <v>n/a</v>
      </c>
      <c r="S645" s="17" t="str">
        <f t="shared" si="2346"/>
        <v>n/a</v>
      </c>
      <c r="T645" s="17" t="str">
        <f t="shared" si="2327"/>
        <v>n/a</v>
      </c>
      <c r="U645" s="17" t="str">
        <f t="shared" ref="U645:W645" si="2347">IFERROR(U720-T720,"n/a")</f>
        <v>n/a</v>
      </c>
      <c r="V645" s="17" t="str">
        <f t="shared" si="2347"/>
        <v>n/a</v>
      </c>
      <c r="W645" s="17" t="str">
        <f t="shared" si="2347"/>
        <v>n/a</v>
      </c>
      <c r="X645" s="17" t="str">
        <f t="shared" si="2329"/>
        <v>n/a</v>
      </c>
      <c r="Y645" s="17" t="str">
        <f t="shared" ref="Y645:AA645" si="2348">IFERROR(Y720-X720,"n/a")</f>
        <v>n/a</v>
      </c>
      <c r="Z645" s="17" t="str">
        <f t="shared" si="2348"/>
        <v>n/a</v>
      </c>
      <c r="AA645" s="17" t="str">
        <f t="shared" si="2348"/>
        <v>n/a</v>
      </c>
      <c r="AB645" s="17" t="str">
        <f t="shared" si="2331"/>
        <v>n/a</v>
      </c>
      <c r="AC645" s="17" t="str">
        <f t="shared" si="2320"/>
        <v>n/a</v>
      </c>
      <c r="AD645" s="17" t="str">
        <f t="shared" si="2320"/>
        <v>n/a</v>
      </c>
      <c r="AE645" s="17" t="str">
        <f t="shared" si="2320"/>
        <v>n/a</v>
      </c>
      <c r="AF645" s="17" t="str">
        <f t="shared" si="2332"/>
        <v>n/a</v>
      </c>
      <c r="AG645" s="17" t="str">
        <f t="shared" si="2320"/>
        <v>n/a</v>
      </c>
      <c r="AO645" s="11">
        <v>8.6679999999999993</v>
      </c>
      <c r="AP645" s="11">
        <v>0</v>
      </c>
      <c r="AQ645" s="11">
        <v>0</v>
      </c>
      <c r="AR645" s="11">
        <v>0</v>
      </c>
      <c r="AS645" s="11">
        <v>0</v>
      </c>
      <c r="AT645" s="11">
        <v>0</v>
      </c>
      <c r="AU645" s="11">
        <v>0</v>
      </c>
      <c r="AV645" s="17">
        <f t="shared" si="2333"/>
        <v>0</v>
      </c>
    </row>
    <row r="646" spans="2:48" x14ac:dyDescent="0.2">
      <c r="B646" t="s">
        <v>14</v>
      </c>
      <c r="H646" s="17" t="str">
        <f t="shared" si="2321"/>
        <v>n/a</v>
      </c>
      <c r="I646" s="17" t="str">
        <f t="shared" ref="I646:K646" si="2349">IFERROR(I721-H721,"n/a")</f>
        <v>n/a</v>
      </c>
      <c r="J646" s="17" t="str">
        <f t="shared" si="2349"/>
        <v>n/a</v>
      </c>
      <c r="K646" s="17" t="str">
        <f t="shared" si="2349"/>
        <v>n/a</v>
      </c>
      <c r="L646" s="17" t="str">
        <f t="shared" si="2323"/>
        <v>n/a</v>
      </c>
      <c r="M646" s="17" t="str">
        <f t="shared" ref="M646:O646" si="2350">IFERROR(M721-L721,"n/a")</f>
        <v>n/a</v>
      </c>
      <c r="N646" s="17" t="str">
        <f t="shared" si="2350"/>
        <v>n/a</v>
      </c>
      <c r="O646" s="17" t="str">
        <f t="shared" si="2350"/>
        <v>n/a</v>
      </c>
      <c r="P646" s="17" t="str">
        <f t="shared" si="2325"/>
        <v>n/a</v>
      </c>
      <c r="Q646" s="17" t="str">
        <f t="shared" ref="Q646:S646" si="2351">IFERROR(Q721-P721,"n/a")</f>
        <v>n/a</v>
      </c>
      <c r="R646" s="17" t="str">
        <f t="shared" si="2351"/>
        <v>n/a</v>
      </c>
      <c r="S646" s="17" t="str">
        <f t="shared" si="2351"/>
        <v>n/a</v>
      </c>
      <c r="T646" s="17" t="str">
        <f t="shared" si="2327"/>
        <v>n/a</v>
      </c>
      <c r="U646" s="17" t="str">
        <f t="shared" ref="U646:W646" si="2352">IFERROR(U721-T721,"n/a")</f>
        <v>n/a</v>
      </c>
      <c r="V646" s="17" t="str">
        <f t="shared" si="2352"/>
        <v>n/a</v>
      </c>
      <c r="W646" s="17" t="str">
        <f t="shared" si="2352"/>
        <v>n/a</v>
      </c>
      <c r="X646" s="17" t="str">
        <f t="shared" si="2329"/>
        <v>n/a</v>
      </c>
      <c r="Y646" s="17" t="str">
        <f t="shared" ref="Y646:AA646" si="2353">IFERROR(Y721-X721,"n/a")</f>
        <v>n/a</v>
      </c>
      <c r="Z646" s="17" t="str">
        <f t="shared" si="2353"/>
        <v>n/a</v>
      </c>
      <c r="AA646" s="17" t="str">
        <f t="shared" si="2353"/>
        <v>n/a</v>
      </c>
      <c r="AB646" s="17" t="str">
        <f t="shared" si="2331"/>
        <v>n/a</v>
      </c>
      <c r="AC646" s="17" t="str">
        <f t="shared" si="2320"/>
        <v>n/a</v>
      </c>
      <c r="AD646" s="17" t="str">
        <f t="shared" si="2320"/>
        <v>n/a</v>
      </c>
      <c r="AE646" s="17" t="str">
        <f t="shared" si="2320"/>
        <v>n/a</v>
      </c>
      <c r="AF646" s="17" t="str">
        <f t="shared" si="2332"/>
        <v>n/a</v>
      </c>
      <c r="AG646" s="17" t="str">
        <f t="shared" si="2320"/>
        <v>n/a</v>
      </c>
      <c r="AO646" s="11">
        <v>0</v>
      </c>
      <c r="AP646" s="11">
        <v>0</v>
      </c>
      <c r="AQ646" s="11">
        <v>0</v>
      </c>
      <c r="AR646" s="11">
        <v>145.858</v>
      </c>
      <c r="AS646" s="11">
        <v>757.33600000000001</v>
      </c>
      <c r="AT646" s="11">
        <v>1231.002</v>
      </c>
      <c r="AU646" s="11">
        <v>51.655000000000001</v>
      </c>
      <c r="AV646" s="17">
        <f t="shared" si="2333"/>
        <v>43.987000000000002</v>
      </c>
    </row>
    <row r="647" spans="2:48" x14ac:dyDescent="0.2">
      <c r="B647" t="s">
        <v>125</v>
      </c>
      <c r="H647" s="17" t="str">
        <f t="shared" si="2321"/>
        <v>n/a</v>
      </c>
      <c r="I647" s="17" t="str">
        <f t="shared" ref="I647:K647" si="2354">IFERROR(I722-H722,"n/a")</f>
        <v>n/a</v>
      </c>
      <c r="J647" s="17" t="str">
        <f t="shared" si="2354"/>
        <v>n/a</v>
      </c>
      <c r="K647" s="17" t="str">
        <f t="shared" si="2354"/>
        <v>n/a</v>
      </c>
      <c r="L647" s="17" t="str">
        <f t="shared" si="2323"/>
        <v>n/a</v>
      </c>
      <c r="M647" s="17" t="str">
        <f t="shared" ref="M647:O647" si="2355">IFERROR(M722-L722,"n/a")</f>
        <v>n/a</v>
      </c>
      <c r="N647" s="17" t="str">
        <f t="shared" si="2355"/>
        <v>n/a</v>
      </c>
      <c r="O647" s="17" t="str">
        <f t="shared" si="2355"/>
        <v>n/a</v>
      </c>
      <c r="P647" s="17" t="str">
        <f t="shared" si="2325"/>
        <v>n/a</v>
      </c>
      <c r="Q647" s="17" t="str">
        <f t="shared" ref="Q647:S647" si="2356">IFERROR(Q722-P722,"n/a")</f>
        <v>n/a</v>
      </c>
      <c r="R647" s="17" t="str">
        <f t="shared" si="2356"/>
        <v>n/a</v>
      </c>
      <c r="S647" s="17" t="str">
        <f t="shared" si="2356"/>
        <v>n/a</v>
      </c>
      <c r="T647" s="17" t="str">
        <f t="shared" si="2327"/>
        <v>n/a</v>
      </c>
      <c r="U647" s="17" t="str">
        <f t="shared" ref="U647:W647" si="2357">IFERROR(U722-T722,"n/a")</f>
        <v>n/a</v>
      </c>
      <c r="V647" s="17" t="str">
        <f t="shared" si="2357"/>
        <v>n/a</v>
      </c>
      <c r="W647" s="17" t="str">
        <f t="shared" si="2357"/>
        <v>n/a</v>
      </c>
      <c r="X647" s="17" t="str">
        <f t="shared" si="2329"/>
        <v>n/a</v>
      </c>
      <c r="Y647" s="17" t="str">
        <f t="shared" ref="Y647:AA647" si="2358">IFERROR(Y722-X722,"n/a")</f>
        <v>n/a</v>
      </c>
      <c r="Z647" s="17" t="str">
        <f t="shared" si="2358"/>
        <v>n/a</v>
      </c>
      <c r="AA647" s="17" t="str">
        <f t="shared" si="2358"/>
        <v>n/a</v>
      </c>
      <c r="AB647" s="17" t="str">
        <f t="shared" si="2331"/>
        <v>n/a</v>
      </c>
      <c r="AC647" s="17" t="str">
        <f t="shared" si="2320"/>
        <v>n/a</v>
      </c>
      <c r="AD647" s="17" t="str">
        <f t="shared" si="2320"/>
        <v>n/a</v>
      </c>
      <c r="AE647" s="17" t="str">
        <f t="shared" si="2320"/>
        <v>n/a</v>
      </c>
      <c r="AF647" s="17" t="str">
        <f t="shared" si="2332"/>
        <v>n/a</v>
      </c>
      <c r="AG647" s="17" t="str">
        <f t="shared" si="2320"/>
        <v>n/a</v>
      </c>
      <c r="AO647" s="11">
        <v>0</v>
      </c>
      <c r="AP647" s="11">
        <v>0</v>
      </c>
      <c r="AQ647" s="11">
        <v>0</v>
      </c>
      <c r="AR647" s="11">
        <v>11.782</v>
      </c>
      <c r="AS647" s="11">
        <v>43.433999999999997</v>
      </c>
      <c r="AT647" s="11">
        <v>49.3</v>
      </c>
      <c r="AU647" s="11">
        <v>118.384</v>
      </c>
      <c r="AV647" s="17">
        <f t="shared" si="2333"/>
        <v>265.15899999999999</v>
      </c>
    </row>
    <row r="648" spans="2:48" x14ac:dyDescent="0.2">
      <c r="B648" t="s">
        <v>13</v>
      </c>
      <c r="H648" s="17" t="str">
        <f t="shared" si="2321"/>
        <v>n/a</v>
      </c>
      <c r="I648" s="17" t="str">
        <f t="shared" ref="I648:K648" si="2359">IFERROR(I723-H723,"n/a")</f>
        <v>n/a</v>
      </c>
      <c r="J648" s="17" t="str">
        <f t="shared" si="2359"/>
        <v>n/a</v>
      </c>
      <c r="K648" s="17" t="str">
        <f t="shared" si="2359"/>
        <v>n/a</v>
      </c>
      <c r="L648" s="17" t="str">
        <f t="shared" si="2323"/>
        <v>n/a</v>
      </c>
      <c r="M648" s="17" t="str">
        <f t="shared" ref="M648:O648" si="2360">IFERROR(M723-L723,"n/a")</f>
        <v>n/a</v>
      </c>
      <c r="N648" s="17" t="str">
        <f t="shared" si="2360"/>
        <v>n/a</v>
      </c>
      <c r="O648" s="17" t="str">
        <f t="shared" si="2360"/>
        <v>n/a</v>
      </c>
      <c r="P648" s="17" t="str">
        <f t="shared" si="2325"/>
        <v>n/a</v>
      </c>
      <c r="Q648" s="17" t="str">
        <f t="shared" ref="Q648:S648" si="2361">IFERROR(Q723-P723,"n/a")</f>
        <v>n/a</v>
      </c>
      <c r="R648" s="17" t="str">
        <f t="shared" si="2361"/>
        <v>n/a</v>
      </c>
      <c r="S648" s="17" t="str">
        <f t="shared" si="2361"/>
        <v>n/a</v>
      </c>
      <c r="T648" s="17" t="str">
        <f t="shared" si="2327"/>
        <v>n/a</v>
      </c>
      <c r="U648" s="17" t="str">
        <f t="shared" ref="U648:W648" si="2362">IFERROR(U723-T723,"n/a")</f>
        <v>n/a</v>
      </c>
      <c r="V648" s="17" t="str">
        <f t="shared" si="2362"/>
        <v>n/a</v>
      </c>
      <c r="W648" s="17" t="str">
        <f t="shared" si="2362"/>
        <v>n/a</v>
      </c>
      <c r="X648" s="17" t="str">
        <f t="shared" si="2329"/>
        <v>n/a</v>
      </c>
      <c r="Y648" s="17" t="str">
        <f t="shared" ref="Y648:AA648" si="2363">IFERROR(Y723-X723,"n/a")</f>
        <v>n/a</v>
      </c>
      <c r="Z648" s="17" t="str">
        <f t="shared" si="2363"/>
        <v>n/a</v>
      </c>
      <c r="AA648" s="17" t="str">
        <f t="shared" si="2363"/>
        <v>n/a</v>
      </c>
      <c r="AB648" s="17" t="str">
        <f t="shared" si="2331"/>
        <v>n/a</v>
      </c>
      <c r="AC648" s="17" t="str">
        <f t="shared" si="2320"/>
        <v>n/a</v>
      </c>
      <c r="AD648" s="17" t="str">
        <f t="shared" si="2320"/>
        <v>n/a</v>
      </c>
      <c r="AE648" s="17" t="str">
        <f t="shared" si="2320"/>
        <v>n/a</v>
      </c>
      <c r="AF648" s="17" t="str">
        <f t="shared" si="2332"/>
        <v>n/a</v>
      </c>
      <c r="AG648" s="17" t="str">
        <f t="shared" si="2320"/>
        <v>n/a</v>
      </c>
      <c r="AO648" s="11">
        <v>0</v>
      </c>
      <c r="AP648" s="11">
        <v>-2.573</v>
      </c>
      <c r="AQ648" s="11">
        <v>-78.266999999999996</v>
      </c>
      <c r="AR648" s="11">
        <v>-209.58</v>
      </c>
      <c r="AS648" s="11">
        <v>-469.48599999999999</v>
      </c>
      <c r="AT648" s="11">
        <v>-146.97200000000001</v>
      </c>
      <c r="AU648" s="11">
        <v>-606.447</v>
      </c>
      <c r="AV648" s="17">
        <f t="shared" si="2333"/>
        <v>-1354.7850000000001</v>
      </c>
    </row>
    <row r="649" spans="2:48" x14ac:dyDescent="0.2">
      <c r="B649" t="s">
        <v>126</v>
      </c>
      <c r="H649" s="17" t="str">
        <f t="shared" si="2321"/>
        <v>n/a</v>
      </c>
      <c r="I649" s="17" t="str">
        <f t="shared" ref="I649:K649" si="2364">IFERROR(I724-H724,"n/a")</f>
        <v>n/a</v>
      </c>
      <c r="J649" s="17" t="str">
        <f t="shared" si="2364"/>
        <v>n/a</v>
      </c>
      <c r="K649" s="17" t="str">
        <f t="shared" si="2364"/>
        <v>n/a</v>
      </c>
      <c r="L649" s="17" t="str">
        <f t="shared" si="2323"/>
        <v>n/a</v>
      </c>
      <c r="M649" s="17" t="str">
        <f t="shared" ref="M649:O649" si="2365">IFERROR(M724-L724,"n/a")</f>
        <v>n/a</v>
      </c>
      <c r="N649" s="17" t="str">
        <f t="shared" si="2365"/>
        <v>n/a</v>
      </c>
      <c r="O649" s="17" t="str">
        <f t="shared" si="2365"/>
        <v>n/a</v>
      </c>
      <c r="P649" s="17" t="str">
        <f t="shared" si="2325"/>
        <v>n/a</v>
      </c>
      <c r="Q649" s="17" t="str">
        <f t="shared" ref="Q649:S649" si="2366">IFERROR(Q724-P724,"n/a")</f>
        <v>n/a</v>
      </c>
      <c r="R649" s="17" t="str">
        <f t="shared" si="2366"/>
        <v>n/a</v>
      </c>
      <c r="S649" s="17" t="str">
        <f t="shared" si="2366"/>
        <v>n/a</v>
      </c>
      <c r="T649" s="17" t="str">
        <f t="shared" si="2327"/>
        <v>n/a</v>
      </c>
      <c r="U649" s="17" t="str">
        <f t="shared" ref="U649:W649" si="2367">IFERROR(U724-T724,"n/a")</f>
        <v>n/a</v>
      </c>
      <c r="V649" s="17" t="str">
        <f t="shared" si="2367"/>
        <v>n/a</v>
      </c>
      <c r="W649" s="17" t="str">
        <f t="shared" si="2367"/>
        <v>n/a</v>
      </c>
      <c r="X649" s="17" t="str">
        <f t="shared" si="2329"/>
        <v>n/a</v>
      </c>
      <c r="Y649" s="17" t="str">
        <f t="shared" ref="Y649:AA649" si="2368">IFERROR(Y724-X724,"n/a")</f>
        <v>n/a</v>
      </c>
      <c r="Z649" s="17" t="str">
        <f t="shared" si="2368"/>
        <v>n/a</v>
      </c>
      <c r="AA649" s="17" t="str">
        <f t="shared" si="2368"/>
        <v>n/a</v>
      </c>
      <c r="AB649" s="17" t="str">
        <f t="shared" si="2331"/>
        <v>n/a</v>
      </c>
      <c r="AC649" s="17" t="str">
        <f t="shared" si="2320"/>
        <v>n/a</v>
      </c>
      <c r="AD649" s="17" t="str">
        <f t="shared" si="2320"/>
        <v>n/a</v>
      </c>
      <c r="AE649" s="17" t="str">
        <f t="shared" si="2320"/>
        <v>n/a</v>
      </c>
      <c r="AF649" s="17" t="str">
        <f t="shared" si="2332"/>
        <v>n/a</v>
      </c>
      <c r="AG649" s="17" t="str">
        <f t="shared" si="2320"/>
        <v>n/a</v>
      </c>
      <c r="AO649" s="11">
        <v>0</v>
      </c>
      <c r="AP649" s="11">
        <v>6.4000000000000001E-2</v>
      </c>
      <c r="AQ649" s="11">
        <v>1.2999999999999999E-2</v>
      </c>
      <c r="AR649" s="11">
        <v>0.17499999999999999</v>
      </c>
      <c r="AS649" s="11">
        <v>2.4E-2</v>
      </c>
      <c r="AT649" s="11">
        <v>-0.25800000000000001</v>
      </c>
      <c r="AU649" s="11">
        <v>10.696999999999999</v>
      </c>
      <c r="AV649" s="17">
        <f t="shared" si="2333"/>
        <v>1.7549999999999999</v>
      </c>
    </row>
    <row r="650" spans="2:48" x14ac:dyDescent="0.2">
      <c r="B650" t="s">
        <v>127</v>
      </c>
      <c r="H650" s="17" t="str">
        <f t="shared" si="2321"/>
        <v>n/a</v>
      </c>
      <c r="I650" s="17" t="str">
        <f t="shared" ref="I650:K650" si="2369">IFERROR(I725-H725,"n/a")</f>
        <v>n/a</v>
      </c>
      <c r="J650" s="17" t="str">
        <f t="shared" si="2369"/>
        <v>n/a</v>
      </c>
      <c r="K650" s="17" t="str">
        <f t="shared" si="2369"/>
        <v>n/a</v>
      </c>
      <c r="L650" s="17" t="str">
        <f t="shared" si="2323"/>
        <v>n/a</v>
      </c>
      <c r="M650" s="17" t="str">
        <f t="shared" ref="M650:O650" si="2370">IFERROR(M725-L725,"n/a")</f>
        <v>n/a</v>
      </c>
      <c r="N650" s="17" t="str">
        <f t="shared" si="2370"/>
        <v>n/a</v>
      </c>
      <c r="O650" s="17" t="str">
        <f t="shared" si="2370"/>
        <v>n/a</v>
      </c>
      <c r="P650" s="17" t="str">
        <f t="shared" si="2325"/>
        <v>n/a</v>
      </c>
      <c r="Q650" s="17" t="str">
        <f t="shared" ref="Q650:S650" si="2371">IFERROR(Q725-P725,"n/a")</f>
        <v>n/a</v>
      </c>
      <c r="R650" s="17" t="str">
        <f t="shared" si="2371"/>
        <v>n/a</v>
      </c>
      <c r="S650" s="17" t="str">
        <f t="shared" si="2371"/>
        <v>n/a</v>
      </c>
      <c r="T650" s="17" t="str">
        <f t="shared" si="2327"/>
        <v>n/a</v>
      </c>
      <c r="U650" s="17" t="str">
        <f t="shared" ref="U650:W650" si="2372">IFERROR(U725-T725,"n/a")</f>
        <v>n/a</v>
      </c>
      <c r="V650" s="17" t="str">
        <f t="shared" si="2372"/>
        <v>n/a</v>
      </c>
      <c r="W650" s="17" t="str">
        <f t="shared" si="2372"/>
        <v>n/a</v>
      </c>
      <c r="X650" s="17" t="str">
        <f t="shared" si="2329"/>
        <v>n/a</v>
      </c>
      <c r="Y650" s="17" t="str">
        <f t="shared" ref="Y650:AA650" si="2373">IFERROR(Y725-X725,"n/a")</f>
        <v>n/a</v>
      </c>
      <c r="Z650" s="17" t="str">
        <f t="shared" si="2373"/>
        <v>n/a</v>
      </c>
      <c r="AA650" s="17" t="str">
        <f t="shared" si="2373"/>
        <v>n/a</v>
      </c>
      <c r="AB650" s="17" t="str">
        <f t="shared" si="2331"/>
        <v>n/a</v>
      </c>
      <c r="AC650" s="17" t="str">
        <f t="shared" si="2320"/>
        <v>n/a</v>
      </c>
      <c r="AD650" s="17" t="str">
        <f t="shared" si="2320"/>
        <v>n/a</v>
      </c>
      <c r="AE650" s="17" t="str">
        <f t="shared" si="2320"/>
        <v>n/a</v>
      </c>
      <c r="AF650" s="17" t="str">
        <f t="shared" si="2332"/>
        <v>n/a</v>
      </c>
      <c r="AG650" s="17" t="str">
        <f t="shared" si="2320"/>
        <v>n/a</v>
      </c>
      <c r="AO650" s="11">
        <v>0</v>
      </c>
      <c r="AP650" s="11">
        <v>0</v>
      </c>
      <c r="AQ650" s="11">
        <v>0</v>
      </c>
      <c r="AR650" s="11">
        <v>0</v>
      </c>
      <c r="AS650" s="11">
        <v>0</v>
      </c>
      <c r="AT650" s="11">
        <v>-0.21299999999999999</v>
      </c>
      <c r="AU650" s="11">
        <v>-1028.586</v>
      </c>
      <c r="AV650" s="17">
        <f t="shared" si="2333"/>
        <v>801.1</v>
      </c>
    </row>
    <row r="651" spans="2:48" x14ac:dyDescent="0.2">
      <c r="B651" t="s">
        <v>128</v>
      </c>
      <c r="H651" s="17" t="str">
        <f t="shared" si="2321"/>
        <v>n/a</v>
      </c>
      <c r="I651" s="17" t="str">
        <f t="shared" ref="I651:K651" si="2374">IFERROR(I726-H726,"n/a")</f>
        <v>n/a</v>
      </c>
      <c r="J651" s="17" t="str">
        <f t="shared" si="2374"/>
        <v>n/a</v>
      </c>
      <c r="K651" s="17" t="str">
        <f t="shared" si="2374"/>
        <v>n/a</v>
      </c>
      <c r="L651" s="17" t="str">
        <f t="shared" si="2323"/>
        <v>n/a</v>
      </c>
      <c r="M651" s="17" t="str">
        <f t="shared" ref="M651:O651" si="2375">IFERROR(M726-L726,"n/a")</f>
        <v>n/a</v>
      </c>
      <c r="N651" s="17" t="str">
        <f t="shared" si="2375"/>
        <v>n/a</v>
      </c>
      <c r="O651" s="17" t="str">
        <f t="shared" si="2375"/>
        <v>n/a</v>
      </c>
      <c r="P651" s="17" t="str">
        <f t="shared" si="2325"/>
        <v>n/a</v>
      </c>
      <c r="Q651" s="17" t="str">
        <f t="shared" ref="Q651:S651" si="2376">IFERROR(Q726-P726,"n/a")</f>
        <v>n/a</v>
      </c>
      <c r="R651" s="17" t="str">
        <f t="shared" si="2376"/>
        <v>n/a</v>
      </c>
      <c r="S651" s="17" t="str">
        <f t="shared" si="2376"/>
        <v>n/a</v>
      </c>
      <c r="T651" s="17" t="str">
        <f t="shared" si="2327"/>
        <v>n/a</v>
      </c>
      <c r="U651" s="17" t="str">
        <f t="shared" ref="U651:W651" si="2377">IFERROR(U726-T726,"n/a")</f>
        <v>n/a</v>
      </c>
      <c r="V651" s="17" t="str">
        <f t="shared" si="2377"/>
        <v>n/a</v>
      </c>
      <c r="W651" s="17" t="str">
        <f t="shared" si="2377"/>
        <v>n/a</v>
      </c>
      <c r="X651" s="17" t="str">
        <f t="shared" si="2329"/>
        <v>n/a</v>
      </c>
      <c r="Y651" s="17" t="str">
        <f t="shared" ref="Y651:AA651" si="2378">IFERROR(Y726-X726,"n/a")</f>
        <v>n/a</v>
      </c>
      <c r="Z651" s="17" t="str">
        <f t="shared" si="2378"/>
        <v>n/a</v>
      </c>
      <c r="AA651" s="17" t="str">
        <f t="shared" si="2378"/>
        <v>n/a</v>
      </c>
      <c r="AB651" s="17" t="str">
        <f t="shared" si="2331"/>
        <v>n/a</v>
      </c>
      <c r="AC651" s="17" t="str">
        <f t="shared" si="2320"/>
        <v>n/a</v>
      </c>
      <c r="AD651" s="17" t="str">
        <f t="shared" si="2320"/>
        <v>n/a</v>
      </c>
      <c r="AE651" s="17" t="str">
        <f t="shared" si="2320"/>
        <v>n/a</v>
      </c>
      <c r="AF651" s="17" t="str">
        <f t="shared" si="2332"/>
        <v>n/a</v>
      </c>
      <c r="AG651" s="17" t="str">
        <f t="shared" si="2320"/>
        <v>n/a</v>
      </c>
      <c r="AO651" s="11">
        <v>0</v>
      </c>
      <c r="AP651" s="11">
        <v>0</v>
      </c>
      <c r="AQ651" s="11">
        <v>0</v>
      </c>
      <c r="AR651" s="11">
        <v>-5.38</v>
      </c>
      <c r="AS651" s="11">
        <v>-225.197</v>
      </c>
      <c r="AT651" s="11">
        <v>-71.75</v>
      </c>
      <c r="AU651" s="11">
        <v>149.71</v>
      </c>
      <c r="AV651" s="17">
        <f t="shared" si="2333"/>
        <v>-35.720999999999997</v>
      </c>
    </row>
    <row r="652" spans="2:48" x14ac:dyDescent="0.2">
      <c r="B652" t="s">
        <v>129</v>
      </c>
      <c r="H652" s="17" t="str">
        <f t="shared" si="2321"/>
        <v>n/a</v>
      </c>
      <c r="I652" s="17" t="str">
        <f t="shared" ref="I652:K652" si="2379">IFERROR(I727-H727,"n/a")</f>
        <v>n/a</v>
      </c>
      <c r="J652" s="17" t="str">
        <f t="shared" si="2379"/>
        <v>n/a</v>
      </c>
      <c r="K652" s="17" t="str">
        <f t="shared" si="2379"/>
        <v>n/a</v>
      </c>
      <c r="L652" s="17" t="str">
        <f t="shared" si="2323"/>
        <v>n/a</v>
      </c>
      <c r="M652" s="17" t="str">
        <f t="shared" ref="M652:O652" si="2380">IFERROR(M727-L727,"n/a")</f>
        <v>n/a</v>
      </c>
      <c r="N652" s="17" t="str">
        <f t="shared" si="2380"/>
        <v>n/a</v>
      </c>
      <c r="O652" s="17" t="str">
        <f t="shared" si="2380"/>
        <v>n/a</v>
      </c>
      <c r="P652" s="17" t="str">
        <f t="shared" si="2325"/>
        <v>n/a</v>
      </c>
      <c r="Q652" s="17" t="str">
        <f t="shared" ref="Q652:S652" si="2381">IFERROR(Q727-P727,"n/a")</f>
        <v>n/a</v>
      </c>
      <c r="R652" s="17" t="str">
        <f t="shared" si="2381"/>
        <v>n/a</v>
      </c>
      <c r="S652" s="17" t="str">
        <f t="shared" si="2381"/>
        <v>n/a</v>
      </c>
      <c r="T652" s="17" t="str">
        <f t="shared" si="2327"/>
        <v>n/a</v>
      </c>
      <c r="U652" s="17" t="str">
        <f t="shared" ref="U652:W652" si="2382">IFERROR(U727-T727,"n/a")</f>
        <v>n/a</v>
      </c>
      <c r="V652" s="17" t="str">
        <f t="shared" si="2382"/>
        <v>n/a</v>
      </c>
      <c r="W652" s="17" t="str">
        <f t="shared" si="2382"/>
        <v>n/a</v>
      </c>
      <c r="X652" s="17" t="str">
        <f t="shared" si="2329"/>
        <v>n/a</v>
      </c>
      <c r="Y652" s="17" t="str">
        <f t="shared" ref="Y652:AA652" si="2383">IFERROR(Y727-X727,"n/a")</f>
        <v>n/a</v>
      </c>
      <c r="Z652" s="17" t="str">
        <f t="shared" si="2383"/>
        <v>n/a</v>
      </c>
      <c r="AA652" s="17" t="str">
        <f t="shared" si="2383"/>
        <v>n/a</v>
      </c>
      <c r="AB652" s="17" t="str">
        <f t="shared" si="2331"/>
        <v>n/a</v>
      </c>
      <c r="AC652" s="17" t="str">
        <f t="shared" si="2320"/>
        <v>n/a</v>
      </c>
      <c r="AD652" s="17" t="str">
        <f t="shared" si="2320"/>
        <v>n/a</v>
      </c>
      <c r="AE652" s="17" t="str">
        <f t="shared" si="2320"/>
        <v>n/a</v>
      </c>
      <c r="AF652" s="17" t="str">
        <f t="shared" si="2332"/>
        <v>n/a</v>
      </c>
      <c r="AG652" s="17" t="str">
        <f t="shared" si="2320"/>
        <v>n/a</v>
      </c>
      <c r="AO652" s="11">
        <v>0</v>
      </c>
      <c r="AP652" s="11">
        <v>0</v>
      </c>
      <c r="AQ652" s="11">
        <v>0</v>
      </c>
      <c r="AR652" s="11">
        <v>-28.675999999999998</v>
      </c>
      <c r="AS652" s="11">
        <v>-83.653999999999996</v>
      </c>
      <c r="AT652" s="11">
        <v>-246.828</v>
      </c>
      <c r="AU652" s="11">
        <v>155.285</v>
      </c>
      <c r="AV652" s="17">
        <f t="shared" si="2333"/>
        <v>4.7069999999999999</v>
      </c>
    </row>
    <row r="653" spans="2:48" x14ac:dyDescent="0.2">
      <c r="B653" t="s">
        <v>130</v>
      </c>
      <c r="H653" s="17" t="str">
        <f t="shared" si="2321"/>
        <v>n/a</v>
      </c>
      <c r="I653" s="17" t="str">
        <f t="shared" ref="I653:K653" si="2384">IFERROR(I728-H728,"n/a")</f>
        <v>n/a</v>
      </c>
      <c r="J653" s="17" t="str">
        <f t="shared" si="2384"/>
        <v>n/a</v>
      </c>
      <c r="K653" s="17" t="str">
        <f t="shared" si="2384"/>
        <v>n/a</v>
      </c>
      <c r="L653" s="17" t="str">
        <f t="shared" si="2323"/>
        <v>n/a</v>
      </c>
      <c r="M653" s="17" t="str">
        <f t="shared" ref="M653:O653" si="2385">IFERROR(M728-L728,"n/a")</f>
        <v>n/a</v>
      </c>
      <c r="N653" s="17" t="str">
        <f t="shared" si="2385"/>
        <v>n/a</v>
      </c>
      <c r="O653" s="17" t="str">
        <f t="shared" si="2385"/>
        <v>n/a</v>
      </c>
      <c r="P653" s="17" t="str">
        <f t="shared" si="2325"/>
        <v>n/a</v>
      </c>
      <c r="Q653" s="17" t="str">
        <f t="shared" ref="Q653:S653" si="2386">IFERROR(Q728-P728,"n/a")</f>
        <v>n/a</v>
      </c>
      <c r="R653" s="17" t="str">
        <f t="shared" si="2386"/>
        <v>n/a</v>
      </c>
      <c r="S653" s="17" t="str">
        <f t="shared" si="2386"/>
        <v>n/a</v>
      </c>
      <c r="T653" s="17" t="str">
        <f t="shared" si="2327"/>
        <v>n/a</v>
      </c>
      <c r="U653" s="17" t="str">
        <f t="shared" ref="U653:W653" si="2387">IFERROR(U728-T728,"n/a")</f>
        <v>n/a</v>
      </c>
      <c r="V653" s="17" t="str">
        <f t="shared" si="2387"/>
        <v>n/a</v>
      </c>
      <c r="W653" s="17" t="str">
        <f t="shared" si="2387"/>
        <v>n/a</v>
      </c>
      <c r="X653" s="17" t="str">
        <f t="shared" si="2329"/>
        <v>n/a</v>
      </c>
      <c r="Y653" s="17" t="str">
        <f t="shared" ref="Y653:AA653" si="2388">IFERROR(Y728-X728,"n/a")</f>
        <v>n/a</v>
      </c>
      <c r="Z653" s="17" t="str">
        <f t="shared" si="2388"/>
        <v>n/a</v>
      </c>
      <c r="AA653" s="17" t="str">
        <f t="shared" si="2388"/>
        <v>n/a</v>
      </c>
      <c r="AB653" s="17" t="str">
        <f t="shared" si="2331"/>
        <v>n/a</v>
      </c>
      <c r="AC653" s="17" t="str">
        <f t="shared" si="2320"/>
        <v>n/a</v>
      </c>
      <c r="AD653" s="17" t="str">
        <f t="shared" si="2320"/>
        <v>n/a</v>
      </c>
      <c r="AE653" s="17" t="str">
        <f t="shared" si="2320"/>
        <v>n/a</v>
      </c>
      <c r="AF653" s="17" t="str">
        <f t="shared" si="2332"/>
        <v>n/a</v>
      </c>
      <c r="AG653" s="17" t="str">
        <f t="shared" si="2320"/>
        <v>n/a</v>
      </c>
      <c r="AO653" s="11">
        <v>0</v>
      </c>
      <c r="AP653" s="11">
        <v>0</v>
      </c>
      <c r="AQ653" s="11">
        <v>0</v>
      </c>
      <c r="AR653" s="11">
        <v>0</v>
      </c>
      <c r="AS653" s="11">
        <v>-104.068</v>
      </c>
      <c r="AT653" s="11">
        <v>22.17</v>
      </c>
      <c r="AU653" s="11">
        <v>242.23599999999999</v>
      </c>
      <c r="AV653" s="17">
        <f t="shared" si="2333"/>
        <v>-1013.475</v>
      </c>
    </row>
    <row r="654" spans="2:48" x14ac:dyDescent="0.2">
      <c r="B654" t="s">
        <v>131</v>
      </c>
      <c r="H654" s="17" t="str">
        <f t="shared" si="2321"/>
        <v>n/a</v>
      </c>
      <c r="I654" s="17" t="str">
        <f t="shared" ref="I654:K654" si="2389">IFERROR(I729-H729,"n/a")</f>
        <v>n/a</v>
      </c>
      <c r="J654" s="17" t="str">
        <f t="shared" si="2389"/>
        <v>n/a</v>
      </c>
      <c r="K654" s="17" t="str">
        <f t="shared" si="2389"/>
        <v>n/a</v>
      </c>
      <c r="L654" s="17" t="str">
        <f t="shared" si="2323"/>
        <v>n/a</v>
      </c>
      <c r="M654" s="17" t="str">
        <f t="shared" ref="M654:O654" si="2390">IFERROR(M729-L729,"n/a")</f>
        <v>n/a</v>
      </c>
      <c r="N654" s="17" t="str">
        <f t="shared" si="2390"/>
        <v>n/a</v>
      </c>
      <c r="O654" s="17" t="str">
        <f t="shared" si="2390"/>
        <v>n/a</v>
      </c>
      <c r="P654" s="17" t="str">
        <f t="shared" si="2325"/>
        <v>n/a</v>
      </c>
      <c r="Q654" s="17" t="str">
        <f t="shared" ref="Q654:S654" si="2391">IFERROR(Q729-P729,"n/a")</f>
        <v>n/a</v>
      </c>
      <c r="R654" s="17" t="str">
        <f t="shared" si="2391"/>
        <v>n/a</v>
      </c>
      <c r="S654" s="17" t="str">
        <f t="shared" si="2391"/>
        <v>n/a</v>
      </c>
      <c r="T654" s="17" t="str">
        <f t="shared" si="2327"/>
        <v>n/a</v>
      </c>
      <c r="U654" s="17" t="str">
        <f t="shared" ref="U654:W654" si="2392">IFERROR(U729-T729,"n/a")</f>
        <v>n/a</v>
      </c>
      <c r="V654" s="17" t="str">
        <f t="shared" si="2392"/>
        <v>n/a</v>
      </c>
      <c r="W654" s="17" t="str">
        <f t="shared" si="2392"/>
        <v>n/a</v>
      </c>
      <c r="X654" s="17" t="str">
        <f t="shared" si="2329"/>
        <v>n/a</v>
      </c>
      <c r="Y654" s="17" t="str">
        <f t="shared" ref="Y654:AA654" si="2393">IFERROR(Y729-X729,"n/a")</f>
        <v>n/a</v>
      </c>
      <c r="Z654" s="17" t="str">
        <f t="shared" si="2393"/>
        <v>n/a</v>
      </c>
      <c r="AA654" s="17" t="str">
        <f t="shared" si="2393"/>
        <v>n/a</v>
      </c>
      <c r="AB654" s="17" t="str">
        <f t="shared" si="2331"/>
        <v>n/a</v>
      </c>
      <c r="AC654" s="17" t="str">
        <f t="shared" si="2320"/>
        <v>n/a</v>
      </c>
      <c r="AD654" s="17" t="str">
        <f t="shared" si="2320"/>
        <v>n/a</v>
      </c>
      <c r="AE654" s="17" t="str">
        <f t="shared" si="2320"/>
        <v>n/a</v>
      </c>
      <c r="AF654" s="17" t="str">
        <f t="shared" si="2332"/>
        <v>n/a</v>
      </c>
      <c r="AG654" s="17" t="str">
        <f t="shared" si="2320"/>
        <v>n/a</v>
      </c>
      <c r="AO654" s="11">
        <v>0</v>
      </c>
      <c r="AP654" s="11">
        <v>0</v>
      </c>
      <c r="AQ654" s="11">
        <v>0</v>
      </c>
      <c r="AR654" s="11">
        <v>0</v>
      </c>
      <c r="AS654" s="11">
        <v>-5.1879999999999997</v>
      </c>
      <c r="AT654" s="11">
        <v>-2.7879999999999998</v>
      </c>
      <c r="AU654" s="11">
        <v>0</v>
      </c>
      <c r="AV654" s="17">
        <f t="shared" si="2333"/>
        <v>0</v>
      </c>
    </row>
    <row r="655" spans="2:48" x14ac:dyDescent="0.2">
      <c r="B655" t="s">
        <v>77</v>
      </c>
      <c r="H655" s="17" t="str">
        <f t="shared" si="2321"/>
        <v>n/a</v>
      </c>
      <c r="I655" s="17" t="str">
        <f t="shared" ref="I655:K657" si="2394">IFERROR(I730-H730,"n/a")</f>
        <v>n/a</v>
      </c>
      <c r="J655" s="17" t="str">
        <f t="shared" si="2394"/>
        <v>n/a</v>
      </c>
      <c r="K655" s="17" t="str">
        <f t="shared" si="2394"/>
        <v>n/a</v>
      </c>
      <c r="L655" s="17" t="str">
        <f t="shared" si="2323"/>
        <v>n/a</v>
      </c>
      <c r="M655" s="17" t="str">
        <f t="shared" ref="M655:O655" si="2395">IFERROR(M730-L730,"n/a")</f>
        <v>n/a</v>
      </c>
      <c r="N655" s="17" t="str">
        <f t="shared" si="2395"/>
        <v>n/a</v>
      </c>
      <c r="O655" s="17" t="str">
        <f t="shared" si="2395"/>
        <v>n/a</v>
      </c>
      <c r="P655" s="17" t="str">
        <f t="shared" si="2325"/>
        <v>n/a</v>
      </c>
      <c r="Q655" s="17" t="str">
        <f t="shared" ref="Q655:S655" si="2396">IFERROR(Q730-P730,"n/a")</f>
        <v>n/a</v>
      </c>
      <c r="R655" s="17" t="str">
        <f t="shared" si="2396"/>
        <v>n/a</v>
      </c>
      <c r="S655" s="17" t="str">
        <f t="shared" si="2396"/>
        <v>n/a</v>
      </c>
      <c r="T655" s="17" t="str">
        <f t="shared" si="2327"/>
        <v>n/a</v>
      </c>
      <c r="U655" s="17" t="str">
        <f t="shared" ref="U655:W655" si="2397">IFERROR(U730-T730,"n/a")</f>
        <v>n/a</v>
      </c>
      <c r="V655" s="17" t="str">
        <f t="shared" si="2397"/>
        <v>n/a</v>
      </c>
      <c r="W655" s="17" t="str">
        <f t="shared" si="2397"/>
        <v>n/a</v>
      </c>
      <c r="X655" s="17" t="str">
        <f t="shared" si="2329"/>
        <v>n/a</v>
      </c>
      <c r="Y655" s="17" t="str">
        <f t="shared" ref="Y655:AA655" si="2398">IFERROR(Y730-X730,"n/a")</f>
        <v>n/a</v>
      </c>
      <c r="Z655" s="17" t="str">
        <f t="shared" si="2398"/>
        <v>n/a</v>
      </c>
      <c r="AA655" s="17" t="str">
        <f t="shared" si="2398"/>
        <v>n/a</v>
      </c>
      <c r="AB655" s="17" t="str">
        <f t="shared" si="2331"/>
        <v>n/a</v>
      </c>
      <c r="AC655" s="17" t="str">
        <f t="shared" si="2320"/>
        <v>n/a</v>
      </c>
      <c r="AD655" s="17" t="str">
        <f t="shared" si="2320"/>
        <v>n/a</v>
      </c>
      <c r="AE655" s="17" t="str">
        <f t="shared" si="2320"/>
        <v>n/a</v>
      </c>
      <c r="AF655" s="17" t="str">
        <f t="shared" si="2332"/>
        <v>n/a</v>
      </c>
      <c r="AG655" s="17" t="str">
        <f t="shared" si="2320"/>
        <v>n/a</v>
      </c>
      <c r="AO655" s="11">
        <v>4.0640000000000001</v>
      </c>
      <c r="AP655" s="11">
        <v>13.38</v>
      </c>
      <c r="AQ655" s="11">
        <v>6841.5730000000003</v>
      </c>
      <c r="AR655" s="11">
        <v>2557.7060000000001</v>
      </c>
      <c r="AS655" s="11">
        <v>3613.0430000000001</v>
      </c>
      <c r="AT655" s="11">
        <v>4774.7299999999996</v>
      </c>
      <c r="AU655" s="11">
        <v>7718.3649999999998</v>
      </c>
      <c r="AV655" s="17">
        <f t="shared" si="2333"/>
        <v>7078.7939999999999</v>
      </c>
    </row>
    <row r="656" spans="2:48" x14ac:dyDescent="0.2">
      <c r="B656" t="s">
        <v>172</v>
      </c>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O656" s="14"/>
      <c r="AP656" s="14"/>
      <c r="AQ656" s="14"/>
      <c r="AR656" s="14"/>
      <c r="AS656" s="14"/>
      <c r="AT656" s="14"/>
      <c r="AU656" s="14"/>
      <c r="AV656" s="14"/>
    </row>
    <row r="657" spans="2:48" x14ac:dyDescent="0.2">
      <c r="B657" s="4" t="s">
        <v>132</v>
      </c>
      <c r="H657" s="17" t="str">
        <f t="shared" si="2321"/>
        <v>n/a</v>
      </c>
      <c r="I657" s="17" t="str">
        <f t="shared" si="2394"/>
        <v>n/a</v>
      </c>
      <c r="J657" s="17" t="str">
        <f t="shared" si="2394"/>
        <v>n/a</v>
      </c>
      <c r="K657" s="17" t="str">
        <f t="shared" si="2394"/>
        <v>n/a</v>
      </c>
      <c r="L657" s="17" t="str">
        <f t="shared" si="2323"/>
        <v>n/a</v>
      </c>
      <c r="M657" s="17" t="str">
        <f t="shared" ref="M657:O657" si="2399">IFERROR(M732-L732,"n/a")</f>
        <v>n/a</v>
      </c>
      <c r="N657" s="17" t="str">
        <f t="shared" si="2399"/>
        <v>n/a</v>
      </c>
      <c r="O657" s="17" t="str">
        <f t="shared" si="2399"/>
        <v>n/a</v>
      </c>
      <c r="P657" s="17" t="str">
        <f t="shared" si="2325"/>
        <v>n/a</v>
      </c>
      <c r="Q657" s="17" t="str">
        <f t="shared" ref="Q657:S657" si="2400">IFERROR(Q732-P732,"n/a")</f>
        <v>n/a</v>
      </c>
      <c r="R657" s="17" t="str">
        <f t="shared" si="2400"/>
        <v>n/a</v>
      </c>
      <c r="S657" s="17" t="str">
        <f t="shared" si="2400"/>
        <v>n/a</v>
      </c>
      <c r="T657" s="17" t="str">
        <f t="shared" si="2327"/>
        <v>n/a</v>
      </c>
      <c r="U657" s="17" t="str">
        <f t="shared" ref="U657:W657" si="2401">IFERROR(U732-T732,"n/a")</f>
        <v>n/a</v>
      </c>
      <c r="V657" s="17" t="str">
        <f t="shared" si="2401"/>
        <v>n/a</v>
      </c>
      <c r="W657" s="17" t="str">
        <f t="shared" si="2401"/>
        <v>n/a</v>
      </c>
      <c r="X657" s="17" t="str">
        <f t="shared" si="2329"/>
        <v>n/a</v>
      </c>
      <c r="Y657" s="17" t="str">
        <f t="shared" ref="Y657:AA657" si="2402">IFERROR(Y732-X732,"n/a")</f>
        <v>n/a</v>
      </c>
      <c r="Z657" s="17" t="str">
        <f t="shared" si="2402"/>
        <v>n/a</v>
      </c>
      <c r="AA657" s="17" t="str">
        <f t="shared" si="2402"/>
        <v>n/a</v>
      </c>
      <c r="AB657" s="17" t="str">
        <f t="shared" si="2331"/>
        <v>n/a</v>
      </c>
      <c r="AC657" s="17" t="str">
        <f t="shared" ref="AC657:AG668" si="2403">IFERROR(AC732-AB732,"n/a")</f>
        <v>n/a</v>
      </c>
      <c r="AD657" s="17" t="str">
        <f t="shared" si="2403"/>
        <v>n/a</v>
      </c>
      <c r="AE657" s="17" t="str">
        <f t="shared" si="2403"/>
        <v>n/a</v>
      </c>
      <c r="AF657" s="17" t="str">
        <f t="shared" si="2332"/>
        <v>n/a</v>
      </c>
      <c r="AG657" s="17" t="str">
        <f t="shared" si="2403"/>
        <v>n/a</v>
      </c>
      <c r="AO657" s="11">
        <v>0</v>
      </c>
      <c r="AP657" s="11">
        <v>-9370.8490000000002</v>
      </c>
      <c r="AQ657" s="11">
        <v>0</v>
      </c>
      <c r="AR657" s="11">
        <v>0</v>
      </c>
      <c r="AS657" s="11">
        <v>0</v>
      </c>
      <c r="AT657" s="11">
        <v>0</v>
      </c>
      <c r="AU657" s="11">
        <v>0</v>
      </c>
      <c r="AV657" s="17">
        <f t="shared" si="2333"/>
        <v>0</v>
      </c>
    </row>
    <row r="658" spans="2:48" x14ac:dyDescent="0.2">
      <c r="B658" s="4" t="s">
        <v>133</v>
      </c>
      <c r="H658" s="17" t="str">
        <f t="shared" si="2321"/>
        <v>n/a</v>
      </c>
      <c r="I658" s="17" t="str">
        <f t="shared" ref="I658:K658" si="2404">IFERROR(I733-H733,"n/a")</f>
        <v>n/a</v>
      </c>
      <c r="J658" s="17" t="str">
        <f t="shared" si="2404"/>
        <v>n/a</v>
      </c>
      <c r="K658" s="17" t="str">
        <f t="shared" si="2404"/>
        <v>n/a</v>
      </c>
      <c r="L658" s="17" t="str">
        <f t="shared" si="2323"/>
        <v>n/a</v>
      </c>
      <c r="M658" s="17" t="str">
        <f t="shared" ref="M658:O658" si="2405">IFERROR(M733-L733,"n/a")</f>
        <v>n/a</v>
      </c>
      <c r="N658" s="17" t="str">
        <f t="shared" si="2405"/>
        <v>n/a</v>
      </c>
      <c r="O658" s="17" t="str">
        <f t="shared" si="2405"/>
        <v>n/a</v>
      </c>
      <c r="P658" s="17" t="str">
        <f t="shared" si="2325"/>
        <v>n/a</v>
      </c>
      <c r="Q658" s="17" t="str">
        <f t="shared" ref="Q658:S658" si="2406">IFERROR(Q733-P733,"n/a")</f>
        <v>n/a</v>
      </c>
      <c r="R658" s="17" t="str">
        <f t="shared" si="2406"/>
        <v>n/a</v>
      </c>
      <c r="S658" s="17" t="str">
        <f t="shared" si="2406"/>
        <v>n/a</v>
      </c>
      <c r="T658" s="17" t="str">
        <f t="shared" si="2327"/>
        <v>n/a</v>
      </c>
      <c r="U658" s="17" t="str">
        <f t="shared" ref="U658:W658" si="2407">IFERROR(U733-T733,"n/a")</f>
        <v>n/a</v>
      </c>
      <c r="V658" s="17" t="str">
        <f t="shared" si="2407"/>
        <v>n/a</v>
      </c>
      <c r="W658" s="17" t="str">
        <f t="shared" si="2407"/>
        <v>n/a</v>
      </c>
      <c r="X658" s="17" t="str">
        <f t="shared" si="2329"/>
        <v>n/a</v>
      </c>
      <c r="Y658" s="17" t="str">
        <f t="shared" ref="Y658:AA658" si="2408">IFERROR(Y733-X733,"n/a")</f>
        <v>n/a</v>
      </c>
      <c r="Z658" s="17" t="str">
        <f t="shared" si="2408"/>
        <v>n/a</v>
      </c>
      <c r="AA658" s="17" t="str">
        <f t="shared" si="2408"/>
        <v>n/a</v>
      </c>
      <c r="AB658" s="17" t="str">
        <f t="shared" si="2331"/>
        <v>n/a</v>
      </c>
      <c r="AC658" s="17" t="str">
        <f t="shared" si="2403"/>
        <v>n/a</v>
      </c>
      <c r="AD658" s="17" t="str">
        <f t="shared" si="2403"/>
        <v>n/a</v>
      </c>
      <c r="AE658" s="17" t="str">
        <f t="shared" si="2403"/>
        <v>n/a</v>
      </c>
      <c r="AF658" s="17" t="str">
        <f t="shared" si="2332"/>
        <v>n/a</v>
      </c>
      <c r="AG658" s="17" t="str">
        <f t="shared" si="2403"/>
        <v>n/a</v>
      </c>
      <c r="AO658" s="11">
        <v>-8.3160000000000007</v>
      </c>
      <c r="AP658" s="11">
        <v>-77.891000000000005</v>
      </c>
      <c r="AQ658" s="11">
        <v>-159.41300000000001</v>
      </c>
      <c r="AR658" s="11">
        <v>-803.38800000000003</v>
      </c>
      <c r="AS658" s="11">
        <v>321.42599999999999</v>
      </c>
      <c r="AT658" s="11">
        <v>55.811</v>
      </c>
      <c r="AU658" s="11">
        <v>86.040999999999997</v>
      </c>
      <c r="AV658" s="17">
        <f t="shared" si="2333"/>
        <v>-3326.4209999999998</v>
      </c>
    </row>
    <row r="659" spans="2:48" x14ac:dyDescent="0.2">
      <c r="B659" s="4" t="s">
        <v>134</v>
      </c>
      <c r="H659" s="17" t="str">
        <f t="shared" si="2321"/>
        <v>n/a</v>
      </c>
      <c r="I659" s="17" t="str">
        <f t="shared" ref="I659:K659" si="2409">IFERROR(I734-H734,"n/a")</f>
        <v>n/a</v>
      </c>
      <c r="J659" s="17" t="str">
        <f t="shared" si="2409"/>
        <v>n/a</v>
      </c>
      <c r="K659" s="17" t="str">
        <f t="shared" si="2409"/>
        <v>n/a</v>
      </c>
      <c r="L659" s="17" t="str">
        <f t="shared" si="2323"/>
        <v>n/a</v>
      </c>
      <c r="M659" s="17" t="str">
        <f t="shared" ref="M659:O659" si="2410">IFERROR(M734-L734,"n/a")</f>
        <v>n/a</v>
      </c>
      <c r="N659" s="17" t="str">
        <f t="shared" si="2410"/>
        <v>n/a</v>
      </c>
      <c r="O659" s="17" t="str">
        <f t="shared" si="2410"/>
        <v>n/a</v>
      </c>
      <c r="P659" s="17" t="str">
        <f t="shared" si="2325"/>
        <v>n/a</v>
      </c>
      <c r="Q659" s="17" t="str">
        <f t="shared" ref="Q659:S659" si="2411">IFERROR(Q734-P734,"n/a")</f>
        <v>n/a</v>
      </c>
      <c r="R659" s="17" t="str">
        <f t="shared" si="2411"/>
        <v>n/a</v>
      </c>
      <c r="S659" s="17" t="str">
        <f t="shared" si="2411"/>
        <v>n/a</v>
      </c>
      <c r="T659" s="17" t="str">
        <f t="shared" si="2327"/>
        <v>n/a</v>
      </c>
      <c r="U659" s="17" t="str">
        <f t="shared" ref="U659:W659" si="2412">IFERROR(U734-T734,"n/a")</f>
        <v>n/a</v>
      </c>
      <c r="V659" s="17" t="str">
        <f t="shared" si="2412"/>
        <v>n/a</v>
      </c>
      <c r="W659" s="17" t="str">
        <f t="shared" si="2412"/>
        <v>n/a</v>
      </c>
      <c r="X659" s="17" t="str">
        <f t="shared" si="2329"/>
        <v>n/a</v>
      </c>
      <c r="Y659" s="17" t="str">
        <f t="shared" ref="Y659:AA659" si="2413">IFERROR(Y734-X734,"n/a")</f>
        <v>n/a</v>
      </c>
      <c r="Z659" s="17" t="str">
        <f t="shared" si="2413"/>
        <v>n/a</v>
      </c>
      <c r="AA659" s="17" t="str">
        <f t="shared" si="2413"/>
        <v>n/a</v>
      </c>
      <c r="AB659" s="17" t="str">
        <f t="shared" si="2331"/>
        <v>n/a</v>
      </c>
      <c r="AC659" s="17" t="str">
        <f t="shared" si="2403"/>
        <v>n/a</v>
      </c>
      <c r="AD659" s="17" t="str">
        <f t="shared" si="2403"/>
        <v>n/a</v>
      </c>
      <c r="AE659" s="17" t="str">
        <f t="shared" si="2403"/>
        <v>n/a</v>
      </c>
      <c r="AF659" s="17" t="str">
        <f t="shared" si="2332"/>
        <v>n/a</v>
      </c>
      <c r="AG659" s="17" t="str">
        <f t="shared" si="2403"/>
        <v>n/a</v>
      </c>
      <c r="AO659" s="11">
        <v>-2.7480000000000002</v>
      </c>
      <c r="AP659" s="11">
        <v>-350.26499999999999</v>
      </c>
      <c r="AQ659" s="11">
        <v>-576.12099999999998</v>
      </c>
      <c r="AR659" s="11">
        <v>-886.86300000000006</v>
      </c>
      <c r="AS659" s="11">
        <v>-1636.5409999999999</v>
      </c>
      <c r="AT659" s="11">
        <v>-10.086</v>
      </c>
      <c r="AU659" s="11">
        <v>-2068.6750000000002</v>
      </c>
      <c r="AV659" s="17">
        <f t="shared" si="2333"/>
        <v>-1096.24</v>
      </c>
    </row>
    <row r="660" spans="2:48" x14ac:dyDescent="0.2">
      <c r="B660" s="4" t="s">
        <v>135</v>
      </c>
      <c r="H660" s="17" t="str">
        <f t="shared" si="2321"/>
        <v>n/a</v>
      </c>
      <c r="I660" s="17" t="str">
        <f t="shared" ref="I660:K660" si="2414">IFERROR(I735-H735,"n/a")</f>
        <v>n/a</v>
      </c>
      <c r="J660" s="17" t="str">
        <f t="shared" si="2414"/>
        <v>n/a</v>
      </c>
      <c r="K660" s="17" t="str">
        <f t="shared" si="2414"/>
        <v>n/a</v>
      </c>
      <c r="L660" s="17" t="str">
        <f t="shared" si="2323"/>
        <v>n/a</v>
      </c>
      <c r="M660" s="17" t="str">
        <f t="shared" ref="M660:O660" si="2415">IFERROR(M735-L735,"n/a")</f>
        <v>n/a</v>
      </c>
      <c r="N660" s="17" t="str">
        <f t="shared" si="2415"/>
        <v>n/a</v>
      </c>
      <c r="O660" s="17" t="str">
        <f t="shared" si="2415"/>
        <v>n/a</v>
      </c>
      <c r="P660" s="17" t="str">
        <f t="shared" si="2325"/>
        <v>n/a</v>
      </c>
      <c r="Q660" s="17" t="str">
        <f t="shared" ref="Q660:S660" si="2416">IFERROR(Q735-P735,"n/a")</f>
        <v>n/a</v>
      </c>
      <c r="R660" s="17" t="str">
        <f t="shared" si="2416"/>
        <v>n/a</v>
      </c>
      <c r="S660" s="17" t="str">
        <f t="shared" si="2416"/>
        <v>n/a</v>
      </c>
      <c r="T660" s="17" t="str">
        <f t="shared" si="2327"/>
        <v>n/a</v>
      </c>
      <c r="U660" s="17" t="str">
        <f t="shared" ref="U660:W660" si="2417">IFERROR(U735-T735,"n/a")</f>
        <v>n/a</v>
      </c>
      <c r="V660" s="17" t="str">
        <f t="shared" si="2417"/>
        <v>n/a</v>
      </c>
      <c r="W660" s="17" t="str">
        <f t="shared" si="2417"/>
        <v>n/a</v>
      </c>
      <c r="X660" s="17" t="str">
        <f t="shared" si="2329"/>
        <v>n/a</v>
      </c>
      <c r="Y660" s="17" t="str">
        <f t="shared" ref="Y660:AA660" si="2418">IFERROR(Y735-X735,"n/a")</f>
        <v>n/a</v>
      </c>
      <c r="Z660" s="17" t="str">
        <f t="shared" si="2418"/>
        <v>n/a</v>
      </c>
      <c r="AA660" s="17" t="str">
        <f t="shared" si="2418"/>
        <v>n/a</v>
      </c>
      <c r="AB660" s="17" t="str">
        <f t="shared" si="2331"/>
        <v>n/a</v>
      </c>
      <c r="AC660" s="17" t="str">
        <f t="shared" si="2403"/>
        <v>n/a</v>
      </c>
      <c r="AD660" s="17" t="str">
        <f t="shared" si="2403"/>
        <v>n/a</v>
      </c>
      <c r="AE660" s="17" t="str">
        <f t="shared" si="2403"/>
        <v>n/a</v>
      </c>
      <c r="AF660" s="17" t="str">
        <f t="shared" si="2332"/>
        <v>n/a</v>
      </c>
      <c r="AG660" s="17" t="str">
        <f t="shared" si="2403"/>
        <v>n/a</v>
      </c>
      <c r="AO660" s="11">
        <v>98.715000000000003</v>
      </c>
      <c r="AP660" s="11">
        <v>-87.614000000000004</v>
      </c>
      <c r="AQ660" s="11">
        <v>-788.577</v>
      </c>
      <c r="AR660" s="11">
        <v>12.449</v>
      </c>
      <c r="AS660" s="11">
        <v>-4048.5360000000001</v>
      </c>
      <c r="AT660" s="11">
        <v>1744.645</v>
      </c>
      <c r="AU660" s="11">
        <v>758.28200000000004</v>
      </c>
      <c r="AV660" s="17">
        <f t="shared" si="2333"/>
        <v>-2121.308</v>
      </c>
    </row>
    <row r="661" spans="2:48" x14ac:dyDescent="0.2">
      <c r="B661" s="4" t="s">
        <v>136</v>
      </c>
      <c r="H661" s="17" t="str">
        <f t="shared" si="2321"/>
        <v>n/a</v>
      </c>
      <c r="I661" s="17" t="str">
        <f t="shared" ref="I661:K661" si="2419">IFERROR(I736-H736,"n/a")</f>
        <v>n/a</v>
      </c>
      <c r="J661" s="17" t="str">
        <f t="shared" si="2419"/>
        <v>n/a</v>
      </c>
      <c r="K661" s="17" t="str">
        <f t="shared" si="2419"/>
        <v>n/a</v>
      </c>
      <c r="L661" s="17" t="str">
        <f t="shared" si="2323"/>
        <v>n/a</v>
      </c>
      <c r="M661" s="17" t="str">
        <f t="shared" ref="M661:O661" si="2420">IFERROR(M736-L736,"n/a")</f>
        <v>n/a</v>
      </c>
      <c r="N661" s="17" t="str">
        <f t="shared" si="2420"/>
        <v>n/a</v>
      </c>
      <c r="O661" s="17" t="str">
        <f t="shared" si="2420"/>
        <v>n/a</v>
      </c>
      <c r="P661" s="17" t="str">
        <f t="shared" si="2325"/>
        <v>n/a</v>
      </c>
      <c r="Q661" s="17" t="str">
        <f t="shared" ref="Q661:S661" si="2421">IFERROR(Q736-P736,"n/a")</f>
        <v>n/a</v>
      </c>
      <c r="R661" s="17" t="str">
        <f t="shared" si="2421"/>
        <v>n/a</v>
      </c>
      <c r="S661" s="17" t="str">
        <f t="shared" si="2421"/>
        <v>n/a</v>
      </c>
      <c r="T661" s="17" t="str">
        <f t="shared" si="2327"/>
        <v>n/a</v>
      </c>
      <c r="U661" s="17" t="str">
        <f t="shared" ref="U661:W661" si="2422">IFERROR(U736-T736,"n/a")</f>
        <v>n/a</v>
      </c>
      <c r="V661" s="17" t="str">
        <f t="shared" si="2422"/>
        <v>n/a</v>
      </c>
      <c r="W661" s="17" t="str">
        <f t="shared" si="2422"/>
        <v>n/a</v>
      </c>
      <c r="X661" s="17" t="str">
        <f t="shared" si="2329"/>
        <v>n/a</v>
      </c>
      <c r="Y661" s="17" t="str">
        <f t="shared" ref="Y661:AA661" si="2423">IFERROR(Y736-X736,"n/a")</f>
        <v>n/a</v>
      </c>
      <c r="Z661" s="17" t="str">
        <f t="shared" si="2423"/>
        <v>n/a</v>
      </c>
      <c r="AA661" s="17" t="str">
        <f t="shared" si="2423"/>
        <v>n/a</v>
      </c>
      <c r="AB661" s="17" t="str">
        <f t="shared" si="2331"/>
        <v>n/a</v>
      </c>
      <c r="AC661" s="17" t="str">
        <f t="shared" si="2403"/>
        <v>n/a</v>
      </c>
      <c r="AD661" s="17" t="str">
        <f t="shared" si="2403"/>
        <v>n/a</v>
      </c>
      <c r="AE661" s="17" t="str">
        <f t="shared" si="2403"/>
        <v>n/a</v>
      </c>
      <c r="AF661" s="17" t="str">
        <f t="shared" si="2332"/>
        <v>n/a</v>
      </c>
      <c r="AG661" s="17" t="str">
        <f t="shared" si="2403"/>
        <v>n/a</v>
      </c>
      <c r="AO661" s="11">
        <v>-42.319000000000003</v>
      </c>
      <c r="AP661" s="11">
        <v>51.081000000000003</v>
      </c>
      <c r="AQ661" s="11">
        <v>402.05599999999998</v>
      </c>
      <c r="AR661" s="11">
        <v>1024.779</v>
      </c>
      <c r="AS661" s="11">
        <v>1882.971</v>
      </c>
      <c r="AT661" s="11">
        <v>-1422.856</v>
      </c>
      <c r="AU661" s="11">
        <v>-286.61599999999999</v>
      </c>
      <c r="AV661" s="17">
        <f t="shared" si="2333"/>
        <v>-437.61500000000001</v>
      </c>
    </row>
    <row r="662" spans="2:48" x14ac:dyDescent="0.2">
      <c r="B662" s="4" t="s">
        <v>137</v>
      </c>
      <c r="H662" s="17" t="str">
        <f t="shared" si="2321"/>
        <v>n/a</v>
      </c>
      <c r="I662" s="17" t="str">
        <f t="shared" ref="I662:K662" si="2424">IFERROR(I737-H737,"n/a")</f>
        <v>n/a</v>
      </c>
      <c r="J662" s="17" t="str">
        <f t="shared" si="2424"/>
        <v>n/a</v>
      </c>
      <c r="K662" s="17" t="str">
        <f t="shared" si="2424"/>
        <v>n/a</v>
      </c>
      <c r="L662" s="17" t="str">
        <f t="shared" si="2323"/>
        <v>n/a</v>
      </c>
      <c r="M662" s="17" t="str">
        <f t="shared" ref="M662:O662" si="2425">IFERROR(M737-L737,"n/a")</f>
        <v>n/a</v>
      </c>
      <c r="N662" s="17" t="str">
        <f t="shared" si="2425"/>
        <v>n/a</v>
      </c>
      <c r="O662" s="17" t="str">
        <f t="shared" si="2425"/>
        <v>n/a</v>
      </c>
      <c r="P662" s="17" t="str">
        <f t="shared" si="2325"/>
        <v>n/a</v>
      </c>
      <c r="Q662" s="17" t="str">
        <f t="shared" ref="Q662:S662" si="2426">IFERROR(Q737-P737,"n/a")</f>
        <v>n/a</v>
      </c>
      <c r="R662" s="17" t="str">
        <f t="shared" si="2426"/>
        <v>n/a</v>
      </c>
      <c r="S662" s="17" t="str">
        <f t="shared" si="2426"/>
        <v>n/a</v>
      </c>
      <c r="T662" s="17" t="str">
        <f t="shared" si="2327"/>
        <v>n/a</v>
      </c>
      <c r="U662" s="17" t="str">
        <f t="shared" ref="U662:W662" si="2427">IFERROR(U737-T737,"n/a")</f>
        <v>n/a</v>
      </c>
      <c r="V662" s="17" t="str">
        <f t="shared" si="2427"/>
        <v>n/a</v>
      </c>
      <c r="W662" s="17" t="str">
        <f t="shared" si="2427"/>
        <v>n/a</v>
      </c>
      <c r="X662" s="17" t="str">
        <f t="shared" si="2329"/>
        <v>n/a</v>
      </c>
      <c r="Y662" s="17" t="str">
        <f t="shared" ref="Y662:AA662" si="2428">IFERROR(Y737-X737,"n/a")</f>
        <v>n/a</v>
      </c>
      <c r="Z662" s="17" t="str">
        <f t="shared" si="2428"/>
        <v>n/a</v>
      </c>
      <c r="AA662" s="17" t="str">
        <f t="shared" si="2428"/>
        <v>n/a</v>
      </c>
      <c r="AB662" s="17" t="str">
        <f t="shared" si="2331"/>
        <v>n/a</v>
      </c>
      <c r="AC662" s="17" t="str">
        <f t="shared" si="2403"/>
        <v>n/a</v>
      </c>
      <c r="AD662" s="17" t="str">
        <f t="shared" si="2403"/>
        <v>n/a</v>
      </c>
      <c r="AE662" s="17" t="str">
        <f t="shared" si="2403"/>
        <v>n/a</v>
      </c>
      <c r="AF662" s="17" t="str">
        <f t="shared" si="2332"/>
        <v>n/a</v>
      </c>
      <c r="AG662" s="17" t="str">
        <f t="shared" si="2403"/>
        <v>n/a</v>
      </c>
      <c r="AO662" s="11">
        <v>-102.73099999999999</v>
      </c>
      <c r="AP662" s="11">
        <v>54.298999999999999</v>
      </c>
      <c r="AQ662" s="11">
        <v>135.029</v>
      </c>
      <c r="AR662" s="11">
        <v>414.488</v>
      </c>
      <c r="AS662" s="11">
        <v>1817.22</v>
      </c>
      <c r="AT662" s="11">
        <v>-1256.4259999999999</v>
      </c>
      <c r="AU662" s="11">
        <v>222.89099999999999</v>
      </c>
      <c r="AV662" s="17">
        <f t="shared" si="2333"/>
        <v>754.95500000000004</v>
      </c>
    </row>
    <row r="663" spans="2:48" x14ac:dyDescent="0.2">
      <c r="B663" s="4" t="s">
        <v>138</v>
      </c>
      <c r="H663" s="17" t="str">
        <f t="shared" si="2321"/>
        <v>n/a</v>
      </c>
      <c r="I663" s="17" t="str">
        <f t="shared" ref="I663:K663" si="2429">IFERROR(I738-H738,"n/a")</f>
        <v>n/a</v>
      </c>
      <c r="J663" s="17" t="str">
        <f t="shared" si="2429"/>
        <v>n/a</v>
      </c>
      <c r="K663" s="17" t="str">
        <f t="shared" si="2429"/>
        <v>n/a</v>
      </c>
      <c r="L663" s="17" t="str">
        <f t="shared" si="2323"/>
        <v>n/a</v>
      </c>
      <c r="M663" s="17" t="str">
        <f t="shared" ref="M663:O663" si="2430">IFERROR(M738-L738,"n/a")</f>
        <v>n/a</v>
      </c>
      <c r="N663" s="17" t="str">
        <f t="shared" si="2430"/>
        <v>n/a</v>
      </c>
      <c r="O663" s="17" t="str">
        <f t="shared" si="2430"/>
        <v>n/a</v>
      </c>
      <c r="P663" s="17" t="str">
        <f t="shared" si="2325"/>
        <v>n/a</v>
      </c>
      <c r="Q663" s="17" t="str">
        <f t="shared" ref="Q663:S663" si="2431">IFERROR(Q738-P738,"n/a")</f>
        <v>n/a</v>
      </c>
      <c r="R663" s="17" t="str">
        <f t="shared" si="2431"/>
        <v>n/a</v>
      </c>
      <c r="S663" s="17" t="str">
        <f t="shared" si="2431"/>
        <v>n/a</v>
      </c>
      <c r="T663" s="17" t="str">
        <f t="shared" si="2327"/>
        <v>n/a</v>
      </c>
      <c r="U663" s="17" t="str">
        <f t="shared" ref="U663:W663" si="2432">IFERROR(U738-T738,"n/a")</f>
        <v>n/a</v>
      </c>
      <c r="V663" s="17" t="str">
        <f t="shared" si="2432"/>
        <v>n/a</v>
      </c>
      <c r="W663" s="17" t="str">
        <f t="shared" si="2432"/>
        <v>n/a</v>
      </c>
      <c r="X663" s="17" t="str">
        <f t="shared" si="2329"/>
        <v>n/a</v>
      </c>
      <c r="Y663" s="17" t="str">
        <f t="shared" ref="Y663:AA663" si="2433">IFERROR(Y738-X738,"n/a")</f>
        <v>n/a</v>
      </c>
      <c r="Z663" s="17" t="str">
        <f t="shared" si="2433"/>
        <v>n/a</v>
      </c>
      <c r="AA663" s="17" t="str">
        <f t="shared" si="2433"/>
        <v>n/a</v>
      </c>
      <c r="AB663" s="17" t="str">
        <f t="shared" si="2331"/>
        <v>n/a</v>
      </c>
      <c r="AC663" s="17" t="str">
        <f t="shared" si="2403"/>
        <v>n/a</v>
      </c>
      <c r="AD663" s="17" t="str">
        <f t="shared" si="2403"/>
        <v>n/a</v>
      </c>
      <c r="AE663" s="17" t="str">
        <f t="shared" si="2403"/>
        <v>n/a</v>
      </c>
      <c r="AF663" s="17" t="str">
        <f t="shared" si="2332"/>
        <v>n/a</v>
      </c>
      <c r="AG663" s="17" t="str">
        <f t="shared" si="2403"/>
        <v>n/a</v>
      </c>
      <c r="AO663" s="11">
        <v>1091.6030000000001</v>
      </c>
      <c r="AP663" s="11">
        <v>8721.7209999999995</v>
      </c>
      <c r="AQ663" s="11">
        <v>7437.415</v>
      </c>
      <c r="AR663" s="11">
        <v>12650.833000000001</v>
      </c>
      <c r="AS663" s="11">
        <v>23934.151000000002</v>
      </c>
      <c r="AT663" s="11">
        <v>8686.4930000000004</v>
      </c>
      <c r="AU663" s="11">
        <v>749.37300000000005</v>
      </c>
      <c r="AV663" s="17">
        <f t="shared" si="2333"/>
        <v>11623.138000000001</v>
      </c>
    </row>
    <row r="664" spans="2:48" x14ac:dyDescent="0.2">
      <c r="B664" s="4" t="s">
        <v>139</v>
      </c>
      <c r="H664" s="17" t="str">
        <f t="shared" si="2321"/>
        <v>n/a</v>
      </c>
      <c r="I664" s="17" t="str">
        <f t="shared" ref="I664:K664" si="2434">IFERROR(I739-H739,"n/a")</f>
        <v>n/a</v>
      </c>
      <c r="J664" s="17" t="str">
        <f t="shared" si="2434"/>
        <v>n/a</v>
      </c>
      <c r="K664" s="17" t="str">
        <f t="shared" si="2434"/>
        <v>n/a</v>
      </c>
      <c r="L664" s="17" t="str">
        <f t="shared" si="2323"/>
        <v>n/a</v>
      </c>
      <c r="M664" s="17" t="str">
        <f t="shared" ref="M664:O664" si="2435">IFERROR(M739-L739,"n/a")</f>
        <v>n/a</v>
      </c>
      <c r="N664" s="17" t="str">
        <f t="shared" si="2435"/>
        <v>n/a</v>
      </c>
      <c r="O664" s="17" t="str">
        <f t="shared" si="2435"/>
        <v>n/a</v>
      </c>
      <c r="P664" s="17" t="str">
        <f t="shared" si="2325"/>
        <v>n/a</v>
      </c>
      <c r="Q664" s="17" t="str">
        <f t="shared" ref="Q664:S664" si="2436">IFERROR(Q739-P739,"n/a")</f>
        <v>n/a</v>
      </c>
      <c r="R664" s="17" t="str">
        <f t="shared" si="2436"/>
        <v>n/a</v>
      </c>
      <c r="S664" s="17" t="str">
        <f t="shared" si="2436"/>
        <v>n/a</v>
      </c>
      <c r="T664" s="17" t="str">
        <f t="shared" si="2327"/>
        <v>n/a</v>
      </c>
      <c r="U664" s="17" t="str">
        <f t="shared" ref="U664:W664" si="2437">IFERROR(U739-T739,"n/a")</f>
        <v>n/a</v>
      </c>
      <c r="V664" s="17" t="str">
        <f t="shared" si="2437"/>
        <v>n/a</v>
      </c>
      <c r="W664" s="17" t="str">
        <f t="shared" si="2437"/>
        <v>n/a</v>
      </c>
      <c r="X664" s="17" t="str">
        <f t="shared" si="2329"/>
        <v>n/a</v>
      </c>
      <c r="Y664" s="17" t="str">
        <f t="shared" ref="Y664:AA664" si="2438">IFERROR(Y739-X739,"n/a")</f>
        <v>n/a</v>
      </c>
      <c r="Z664" s="17" t="str">
        <f t="shared" si="2438"/>
        <v>n/a</v>
      </c>
      <c r="AA664" s="17" t="str">
        <f t="shared" si="2438"/>
        <v>n/a</v>
      </c>
      <c r="AB664" s="17" t="str">
        <f t="shared" si="2331"/>
        <v>n/a</v>
      </c>
      <c r="AC664" s="17" t="str">
        <f t="shared" si="2403"/>
        <v>n/a</v>
      </c>
      <c r="AD664" s="17" t="str">
        <f t="shared" si="2403"/>
        <v>n/a</v>
      </c>
      <c r="AE664" s="17" t="str">
        <f t="shared" si="2403"/>
        <v>n/a</v>
      </c>
      <c r="AF664" s="17" t="str">
        <f t="shared" si="2332"/>
        <v>n/a</v>
      </c>
      <c r="AG664" s="17" t="str">
        <f t="shared" si="2403"/>
        <v>n/a</v>
      </c>
      <c r="AO664" s="11">
        <v>-95.41</v>
      </c>
      <c r="AP664" s="11">
        <v>318.363</v>
      </c>
      <c r="AQ664" s="11">
        <v>1864.153</v>
      </c>
      <c r="AR664" s="11">
        <v>2648.8690000000001</v>
      </c>
      <c r="AS664" s="11">
        <v>5849.1480000000001</v>
      </c>
      <c r="AT664" s="11">
        <v>3492.038</v>
      </c>
      <c r="AU664" s="11">
        <v>7003.9979999999996</v>
      </c>
      <c r="AV664" s="17">
        <f t="shared" si="2333"/>
        <v>34258.159</v>
      </c>
    </row>
    <row r="665" spans="2:48" x14ac:dyDescent="0.2">
      <c r="B665" s="4" t="s">
        <v>140</v>
      </c>
      <c r="H665" s="17" t="str">
        <f t="shared" si="2321"/>
        <v>n/a</v>
      </c>
      <c r="I665" s="17" t="str">
        <f t="shared" ref="I665:K665" si="2439">IFERROR(I740-H740,"n/a")</f>
        <v>n/a</v>
      </c>
      <c r="J665" s="17" t="str">
        <f t="shared" si="2439"/>
        <v>n/a</v>
      </c>
      <c r="K665" s="17" t="str">
        <f t="shared" si="2439"/>
        <v>n/a</v>
      </c>
      <c r="L665" s="17" t="str">
        <f t="shared" si="2323"/>
        <v>n/a</v>
      </c>
      <c r="M665" s="17" t="str">
        <f t="shared" ref="M665:O665" si="2440">IFERROR(M740-L740,"n/a")</f>
        <v>n/a</v>
      </c>
      <c r="N665" s="17" t="str">
        <f t="shared" si="2440"/>
        <v>n/a</v>
      </c>
      <c r="O665" s="17" t="str">
        <f t="shared" si="2440"/>
        <v>n/a</v>
      </c>
      <c r="P665" s="17" t="str">
        <f t="shared" si="2325"/>
        <v>n/a</v>
      </c>
      <c r="Q665" s="17" t="str">
        <f t="shared" ref="Q665:S665" si="2441">IFERROR(Q740-P740,"n/a")</f>
        <v>n/a</v>
      </c>
      <c r="R665" s="17" t="str">
        <f t="shared" si="2441"/>
        <v>n/a</v>
      </c>
      <c r="S665" s="17" t="str">
        <f t="shared" si="2441"/>
        <v>n/a</v>
      </c>
      <c r="T665" s="17" t="str">
        <f t="shared" si="2327"/>
        <v>n/a</v>
      </c>
      <c r="U665" s="17" t="str">
        <f t="shared" ref="U665:W665" si="2442">IFERROR(U740-T740,"n/a")</f>
        <v>n/a</v>
      </c>
      <c r="V665" s="17" t="str">
        <f t="shared" si="2442"/>
        <v>n/a</v>
      </c>
      <c r="W665" s="17" t="str">
        <f t="shared" si="2442"/>
        <v>n/a</v>
      </c>
      <c r="X665" s="17" t="str">
        <f t="shared" si="2329"/>
        <v>n/a</v>
      </c>
      <c r="Y665" s="17" t="str">
        <f t="shared" ref="Y665:AA665" si="2443">IFERROR(Y740-X740,"n/a")</f>
        <v>n/a</v>
      </c>
      <c r="Z665" s="17" t="str">
        <f t="shared" si="2443"/>
        <v>n/a</v>
      </c>
      <c r="AA665" s="17" t="str">
        <f t="shared" si="2443"/>
        <v>n/a</v>
      </c>
      <c r="AB665" s="17" t="str">
        <f t="shared" si="2331"/>
        <v>n/a</v>
      </c>
      <c r="AC665" s="17" t="str">
        <f t="shared" si="2403"/>
        <v>n/a</v>
      </c>
      <c r="AD665" s="17" t="str">
        <f t="shared" si="2403"/>
        <v>n/a</v>
      </c>
      <c r="AE665" s="17" t="str">
        <f t="shared" si="2403"/>
        <v>n/a</v>
      </c>
      <c r="AF665" s="17" t="str">
        <f t="shared" si="2332"/>
        <v>n/a</v>
      </c>
      <c r="AG665" s="17" t="str">
        <f t="shared" si="2403"/>
        <v>n/a</v>
      </c>
      <c r="AO665" s="11">
        <v>219.47200000000001</v>
      </c>
      <c r="AP665" s="11">
        <v>1558.6130000000001</v>
      </c>
      <c r="AQ665" s="11">
        <v>2410.1880000000001</v>
      </c>
      <c r="AR665" s="11">
        <v>3652.6390000000001</v>
      </c>
      <c r="AS665" s="11">
        <v>3085.4070000000002</v>
      </c>
      <c r="AT665" s="11">
        <v>2651.2330000000002</v>
      </c>
      <c r="AU665" s="11">
        <v>1480.6769999999999</v>
      </c>
      <c r="AV665" s="17">
        <f t="shared" si="2333"/>
        <v>1820.5170000000001</v>
      </c>
    </row>
    <row r="666" spans="2:48" x14ac:dyDescent="0.2">
      <c r="B666" s="4" t="s">
        <v>141</v>
      </c>
      <c r="H666" s="17" t="str">
        <f t="shared" si="2321"/>
        <v>n/a</v>
      </c>
      <c r="I666" s="17" t="str">
        <f t="shared" ref="I666:K666" si="2444">IFERROR(I741-H741,"n/a")</f>
        <v>n/a</v>
      </c>
      <c r="J666" s="17" t="str">
        <f t="shared" si="2444"/>
        <v>n/a</v>
      </c>
      <c r="K666" s="17" t="str">
        <f t="shared" si="2444"/>
        <v>n/a</v>
      </c>
      <c r="L666" s="17" t="str">
        <f t="shared" si="2323"/>
        <v>n/a</v>
      </c>
      <c r="M666" s="17" t="str">
        <f t="shared" ref="M666:O666" si="2445">IFERROR(M741-L741,"n/a")</f>
        <v>n/a</v>
      </c>
      <c r="N666" s="17" t="str">
        <f t="shared" si="2445"/>
        <v>n/a</v>
      </c>
      <c r="O666" s="17" t="str">
        <f t="shared" si="2445"/>
        <v>n/a</v>
      </c>
      <c r="P666" s="17" t="str">
        <f t="shared" si="2325"/>
        <v>n/a</v>
      </c>
      <c r="Q666" s="17" t="str">
        <f t="shared" ref="Q666:S666" si="2446">IFERROR(Q741-P741,"n/a")</f>
        <v>n/a</v>
      </c>
      <c r="R666" s="17" t="str">
        <f t="shared" si="2446"/>
        <v>n/a</v>
      </c>
      <c r="S666" s="17" t="str">
        <f t="shared" si="2446"/>
        <v>n/a</v>
      </c>
      <c r="T666" s="17" t="str">
        <f t="shared" si="2327"/>
        <v>n/a</v>
      </c>
      <c r="U666" s="17" t="str">
        <f t="shared" ref="U666:W666" si="2447">IFERROR(U741-T741,"n/a")</f>
        <v>n/a</v>
      </c>
      <c r="V666" s="17" t="str">
        <f t="shared" si="2447"/>
        <v>n/a</v>
      </c>
      <c r="W666" s="17" t="str">
        <f t="shared" si="2447"/>
        <v>n/a</v>
      </c>
      <c r="X666" s="17" t="str">
        <f t="shared" si="2329"/>
        <v>n/a</v>
      </c>
      <c r="Y666" s="17" t="str">
        <f t="shared" ref="Y666:AA666" si="2448">IFERROR(Y741-X741,"n/a")</f>
        <v>n/a</v>
      </c>
      <c r="Z666" s="17" t="str">
        <f t="shared" si="2448"/>
        <v>n/a</v>
      </c>
      <c r="AA666" s="17" t="str">
        <f t="shared" si="2448"/>
        <v>n/a</v>
      </c>
      <c r="AB666" s="17" t="str">
        <f t="shared" si="2331"/>
        <v>n/a</v>
      </c>
      <c r="AC666" s="17" t="str">
        <f t="shared" si="2403"/>
        <v>n/a</v>
      </c>
      <c r="AD666" s="17" t="str">
        <f t="shared" si="2403"/>
        <v>n/a</v>
      </c>
      <c r="AE666" s="17" t="str">
        <f t="shared" si="2403"/>
        <v>n/a</v>
      </c>
      <c r="AF666" s="17" t="str">
        <f t="shared" si="2332"/>
        <v>n/a</v>
      </c>
      <c r="AG666" s="17" t="str">
        <f t="shared" si="2403"/>
        <v>n/a</v>
      </c>
      <c r="AO666" s="11">
        <v>0</v>
      </c>
      <c r="AP666" s="11">
        <v>0</v>
      </c>
      <c r="AQ666" s="11">
        <v>0</v>
      </c>
      <c r="AR666" s="11">
        <v>-590.39400000000001</v>
      </c>
      <c r="AS666" s="11">
        <v>0</v>
      </c>
      <c r="AT666" s="11">
        <v>0</v>
      </c>
      <c r="AU666" s="11">
        <v>0</v>
      </c>
      <c r="AV666" s="17">
        <f t="shared" si="2333"/>
        <v>0</v>
      </c>
    </row>
    <row r="667" spans="2:48" x14ac:dyDescent="0.2">
      <c r="B667" s="4" t="s">
        <v>142</v>
      </c>
      <c r="H667" s="17" t="str">
        <f t="shared" si="2321"/>
        <v>n/a</v>
      </c>
      <c r="I667" s="17" t="str">
        <f t="shared" ref="I667:K667" si="2449">IFERROR(I742-H742,"n/a")</f>
        <v>n/a</v>
      </c>
      <c r="J667" s="17" t="str">
        <f t="shared" si="2449"/>
        <v>n/a</v>
      </c>
      <c r="K667" s="17" t="str">
        <f t="shared" si="2449"/>
        <v>n/a</v>
      </c>
      <c r="L667" s="17" t="str">
        <f t="shared" si="2323"/>
        <v>n/a</v>
      </c>
      <c r="M667" s="17" t="str">
        <f t="shared" ref="M667:O667" si="2450">IFERROR(M742-L742,"n/a")</f>
        <v>n/a</v>
      </c>
      <c r="N667" s="17" t="str">
        <f t="shared" si="2450"/>
        <v>n/a</v>
      </c>
      <c r="O667" s="17" t="str">
        <f t="shared" si="2450"/>
        <v>n/a</v>
      </c>
      <c r="P667" s="17" t="str">
        <f t="shared" si="2325"/>
        <v>n/a</v>
      </c>
      <c r="Q667" s="17" t="str">
        <f t="shared" ref="Q667:S667" si="2451">IFERROR(Q742-P742,"n/a")</f>
        <v>n/a</v>
      </c>
      <c r="R667" s="17" t="str">
        <f t="shared" si="2451"/>
        <v>n/a</v>
      </c>
      <c r="S667" s="17" t="str">
        <f t="shared" si="2451"/>
        <v>n/a</v>
      </c>
      <c r="T667" s="17" t="str">
        <f t="shared" si="2327"/>
        <v>n/a</v>
      </c>
      <c r="U667" s="17" t="str">
        <f t="shared" ref="U667:W667" si="2452">IFERROR(U742-T742,"n/a")</f>
        <v>n/a</v>
      </c>
      <c r="V667" s="17" t="str">
        <f t="shared" si="2452"/>
        <v>n/a</v>
      </c>
      <c r="W667" s="17" t="str">
        <f t="shared" si="2452"/>
        <v>n/a</v>
      </c>
      <c r="X667" s="17" t="str">
        <f t="shared" si="2329"/>
        <v>n/a</v>
      </c>
      <c r="Y667" s="17" t="str">
        <f t="shared" ref="Y667:AA667" si="2453">IFERROR(Y742-X742,"n/a")</f>
        <v>n/a</v>
      </c>
      <c r="Z667" s="17" t="str">
        <f t="shared" si="2453"/>
        <v>n/a</v>
      </c>
      <c r="AA667" s="17" t="str">
        <f t="shared" si="2453"/>
        <v>n/a</v>
      </c>
      <c r="AB667" s="17" t="str">
        <f t="shared" si="2331"/>
        <v>n/a</v>
      </c>
      <c r="AC667" s="17" t="str">
        <f t="shared" si="2403"/>
        <v>n/a</v>
      </c>
      <c r="AD667" s="17" t="str">
        <f t="shared" si="2403"/>
        <v>n/a</v>
      </c>
      <c r="AE667" s="17" t="str">
        <f t="shared" si="2403"/>
        <v>n/a</v>
      </c>
      <c r="AF667" s="17" t="str">
        <f t="shared" si="2332"/>
        <v>n/a</v>
      </c>
      <c r="AG667" s="17" t="str">
        <f t="shared" si="2403"/>
        <v>n/a</v>
      </c>
      <c r="AO667" s="11">
        <v>0</v>
      </c>
      <c r="AP667" s="11">
        <v>0</v>
      </c>
      <c r="AQ667" s="11">
        <v>0</v>
      </c>
      <c r="AR667" s="11">
        <v>544.327</v>
      </c>
      <c r="AS667" s="11">
        <v>-137.93600000000001</v>
      </c>
      <c r="AT667" s="11">
        <v>-354.12299999999999</v>
      </c>
      <c r="AU667" s="11">
        <v>-487.06799999999998</v>
      </c>
      <c r="AV667" s="17">
        <f t="shared" si="2333"/>
        <v>-977.78800000000001</v>
      </c>
    </row>
    <row r="668" spans="2:48" x14ac:dyDescent="0.2">
      <c r="B668" s="4" t="s">
        <v>185</v>
      </c>
      <c r="H668" s="17">
        <f t="shared" si="2321"/>
        <v>0</v>
      </c>
      <c r="I668" s="17">
        <f t="shared" ref="I668" si="2454">IFERROR(I743-H743,"n/a")</f>
        <v>0</v>
      </c>
      <c r="J668" s="17">
        <f t="shared" ref="J668" si="2455">IFERROR(J743-I743,"n/a")</f>
        <v>0</v>
      </c>
      <c r="K668" s="17">
        <f t="shared" ref="K668" si="2456">IFERROR(K743-J743,"n/a")</f>
        <v>0</v>
      </c>
      <c r="L668" s="17" t="str">
        <f t="shared" si="2323"/>
        <v>n/a</v>
      </c>
      <c r="M668" s="17" t="str">
        <f t="shared" ref="M668" si="2457">IFERROR(M743-L743,"n/a")</f>
        <v>n/a</v>
      </c>
      <c r="N668" s="17" t="str">
        <f t="shared" ref="N668" si="2458">IFERROR(N743-M743,"n/a")</f>
        <v>n/a</v>
      </c>
      <c r="O668" s="17" t="str">
        <f t="shared" ref="O668" si="2459">IFERROR(O743-N743,"n/a")</f>
        <v>n/a</v>
      </c>
      <c r="P668" s="17" t="str">
        <f t="shared" si="2325"/>
        <v>n/a</v>
      </c>
      <c r="Q668" s="17" t="str">
        <f t="shared" ref="Q668" si="2460">IFERROR(Q743-P743,"n/a")</f>
        <v>n/a</v>
      </c>
      <c r="R668" s="17" t="str">
        <f t="shared" ref="R668" si="2461">IFERROR(R743-Q743,"n/a")</f>
        <v>n/a</v>
      </c>
      <c r="S668" s="17" t="str">
        <f t="shared" ref="S668" si="2462">IFERROR(S743-R743,"n/a")</f>
        <v>n/a</v>
      </c>
      <c r="T668" s="17" t="str">
        <f t="shared" si="2327"/>
        <v>n/a</v>
      </c>
      <c r="U668" s="17" t="str">
        <f t="shared" ref="U668" si="2463">IFERROR(U743-T743,"n/a")</f>
        <v>n/a</v>
      </c>
      <c r="V668" s="17" t="str">
        <f t="shared" ref="V668" si="2464">IFERROR(V743-U743,"n/a")</f>
        <v>n/a</v>
      </c>
      <c r="W668" s="17" t="str">
        <f t="shared" ref="W668" si="2465">IFERROR(W743-V743,"n/a")</f>
        <v>n/a</v>
      </c>
      <c r="X668" s="17" t="str">
        <f t="shared" si="2329"/>
        <v>n/a</v>
      </c>
      <c r="Y668" s="17" t="str">
        <f t="shared" ref="Y668" si="2466">IFERROR(Y743-X743,"n/a")</f>
        <v>n/a</v>
      </c>
      <c r="Z668" s="17" t="str">
        <f t="shared" ref="Z668" si="2467">IFERROR(Z743-Y743,"n/a")</f>
        <v>n/a</v>
      </c>
      <c r="AA668" s="17" t="str">
        <f t="shared" ref="AA668" si="2468">IFERROR(AA743-Z743,"n/a")</f>
        <v>n/a</v>
      </c>
      <c r="AB668" s="17" t="str">
        <f t="shared" si="2331"/>
        <v>n/a</v>
      </c>
      <c r="AC668" s="17" t="str">
        <f t="shared" ref="AC668" si="2469">IFERROR(AC743-AB743,"n/a")</f>
        <v>n/a</v>
      </c>
      <c r="AD668" s="17" t="str">
        <f t="shared" ref="AD668" si="2470">IFERROR(AD743-AC743,"n/a")</f>
        <v>n/a</v>
      </c>
      <c r="AE668" s="17" t="str">
        <f t="shared" ref="AE668" si="2471">IFERROR(AE743-AD743,"n/a")</f>
        <v>n/a</v>
      </c>
      <c r="AF668" s="17" t="str">
        <f t="shared" si="2332"/>
        <v>n/a</v>
      </c>
      <c r="AG668" s="17" t="str">
        <f t="shared" si="2403"/>
        <v>n/a</v>
      </c>
      <c r="AO668" s="11">
        <v>0</v>
      </c>
      <c r="AP668" s="11">
        <v>0</v>
      </c>
      <c r="AQ668" s="11">
        <v>0</v>
      </c>
      <c r="AR668" s="11">
        <v>0</v>
      </c>
      <c r="AS668" s="11">
        <v>0</v>
      </c>
      <c r="AT668" s="11">
        <v>0</v>
      </c>
      <c r="AU668" s="11">
        <v>0</v>
      </c>
      <c r="AV668" s="17">
        <f t="shared" si="2333"/>
        <v>-13856.982</v>
      </c>
    </row>
    <row r="669" spans="2:48" x14ac:dyDescent="0.2">
      <c r="B669" s="4" t="s">
        <v>143</v>
      </c>
      <c r="H669" s="17" t="str">
        <f>H744</f>
        <v>n/a</v>
      </c>
      <c r="I669" s="17" t="str">
        <f t="shared" ref="I669:K669" si="2472">IFERROR(I744-H744,"n/a")</f>
        <v>n/a</v>
      </c>
      <c r="J669" s="17" t="str">
        <f t="shared" si="2472"/>
        <v>n/a</v>
      </c>
      <c r="K669" s="17" t="str">
        <f t="shared" si="2472"/>
        <v>n/a</v>
      </c>
      <c r="L669" s="17" t="str">
        <f>L744</f>
        <v>n/a</v>
      </c>
      <c r="M669" s="17" t="str">
        <f t="shared" ref="M669:O669" si="2473">IFERROR(M744-L744,"n/a")</f>
        <v>n/a</v>
      </c>
      <c r="N669" s="17" t="str">
        <f t="shared" si="2473"/>
        <v>n/a</v>
      </c>
      <c r="O669" s="17" t="str">
        <f t="shared" si="2473"/>
        <v>n/a</v>
      </c>
      <c r="P669" s="17" t="str">
        <f>P744</f>
        <v>n/a</v>
      </c>
      <c r="Q669" s="17" t="str">
        <f t="shared" ref="Q669:S669" si="2474">IFERROR(Q744-P744,"n/a")</f>
        <v>n/a</v>
      </c>
      <c r="R669" s="17" t="str">
        <f t="shared" si="2474"/>
        <v>n/a</v>
      </c>
      <c r="S669" s="17" t="str">
        <f t="shared" si="2474"/>
        <v>n/a</v>
      </c>
      <c r="T669" s="17" t="str">
        <f>T744</f>
        <v>n/a</v>
      </c>
      <c r="U669" s="17" t="str">
        <f t="shared" ref="U669:W669" si="2475">IFERROR(U744-T744,"n/a")</f>
        <v>n/a</v>
      </c>
      <c r="V669" s="17" t="str">
        <f t="shared" si="2475"/>
        <v>n/a</v>
      </c>
      <c r="W669" s="17" t="str">
        <f t="shared" si="2475"/>
        <v>n/a</v>
      </c>
      <c r="X669" s="17" t="str">
        <f>X744</f>
        <v>n/a</v>
      </c>
      <c r="Y669" s="17" t="str">
        <f t="shared" ref="Y669:AA669" si="2476">IFERROR(Y744-X744,"n/a")</f>
        <v>n/a</v>
      </c>
      <c r="Z669" s="17" t="str">
        <f t="shared" si="2476"/>
        <v>n/a</v>
      </c>
      <c r="AA669" s="17" t="str">
        <f t="shared" si="2476"/>
        <v>n/a</v>
      </c>
      <c r="AB669" s="17" t="str">
        <f>AB744</f>
        <v>n/a</v>
      </c>
      <c r="AC669" s="17" t="str">
        <f t="shared" ref="AC669:AG671" si="2477">IFERROR(AC744-AB744,"n/a")</f>
        <v>n/a</v>
      </c>
      <c r="AD669" s="17" t="str">
        <f t="shared" si="2477"/>
        <v>n/a</v>
      </c>
      <c r="AE669" s="17" t="str">
        <f t="shared" si="2477"/>
        <v>n/a</v>
      </c>
      <c r="AF669" s="17" t="str">
        <f>AF744</f>
        <v>n/a</v>
      </c>
      <c r="AG669" s="17" t="str">
        <f t="shared" si="2477"/>
        <v>n/a</v>
      </c>
      <c r="AO669" s="11">
        <v>0</v>
      </c>
      <c r="AP669" s="11">
        <v>0</v>
      </c>
      <c r="AQ669" s="11">
        <v>0</v>
      </c>
      <c r="AR669" s="11">
        <v>-69.471000000000004</v>
      </c>
      <c r="AS669" s="11">
        <v>-13.182</v>
      </c>
      <c r="AT669" s="11">
        <v>-23.102</v>
      </c>
      <c r="AU669" s="11">
        <v>-34.491999999999997</v>
      </c>
      <c r="AV669" s="17">
        <f>AV744</f>
        <v>-184.154</v>
      </c>
    </row>
    <row r="670" spans="2:48" ht="13.5" x14ac:dyDescent="0.35">
      <c r="B670" s="4" t="s">
        <v>144</v>
      </c>
      <c r="H670" s="36" t="str">
        <f>H745</f>
        <v>n/a</v>
      </c>
      <c r="I670" s="36" t="str">
        <f t="shared" ref="I670:K670" si="2478">IFERROR(I745-H745,"n/a")</f>
        <v>n/a</v>
      </c>
      <c r="J670" s="36" t="str">
        <f t="shared" si="2478"/>
        <v>n/a</v>
      </c>
      <c r="K670" s="36" t="str">
        <f t="shared" si="2478"/>
        <v>n/a</v>
      </c>
      <c r="L670" s="36" t="str">
        <f>L745</f>
        <v>n/a</v>
      </c>
      <c r="M670" s="36" t="str">
        <f t="shared" ref="M670:O670" si="2479">IFERROR(M745-L745,"n/a")</f>
        <v>n/a</v>
      </c>
      <c r="N670" s="36" t="str">
        <f t="shared" si="2479"/>
        <v>n/a</v>
      </c>
      <c r="O670" s="36" t="str">
        <f t="shared" si="2479"/>
        <v>n/a</v>
      </c>
      <c r="P670" s="36" t="str">
        <f>P745</f>
        <v>n/a</v>
      </c>
      <c r="Q670" s="36" t="str">
        <f t="shared" ref="Q670:S670" si="2480">IFERROR(Q745-P745,"n/a")</f>
        <v>n/a</v>
      </c>
      <c r="R670" s="36" t="str">
        <f t="shared" si="2480"/>
        <v>n/a</v>
      </c>
      <c r="S670" s="36" t="str">
        <f t="shared" si="2480"/>
        <v>n/a</v>
      </c>
      <c r="T670" s="36" t="str">
        <f>T745</f>
        <v>n/a</v>
      </c>
      <c r="U670" s="36" t="str">
        <f t="shared" ref="U670:W670" si="2481">IFERROR(U745-T745,"n/a")</f>
        <v>n/a</v>
      </c>
      <c r="V670" s="36" t="str">
        <f t="shared" si="2481"/>
        <v>n/a</v>
      </c>
      <c r="W670" s="36" t="str">
        <f t="shared" si="2481"/>
        <v>n/a</v>
      </c>
      <c r="X670" s="36" t="str">
        <f>X745</f>
        <v>n/a</v>
      </c>
      <c r="Y670" s="36" t="str">
        <f t="shared" ref="Y670:AA670" si="2482">IFERROR(Y745-X745,"n/a")</f>
        <v>n/a</v>
      </c>
      <c r="Z670" s="36" t="str">
        <f t="shared" si="2482"/>
        <v>n/a</v>
      </c>
      <c r="AA670" s="36" t="str">
        <f t="shared" si="2482"/>
        <v>n/a</v>
      </c>
      <c r="AB670" s="36" t="str">
        <f>AB745</f>
        <v>n/a</v>
      </c>
      <c r="AC670" s="36" t="str">
        <f t="shared" si="2477"/>
        <v>n/a</v>
      </c>
      <c r="AD670" s="36" t="str">
        <f t="shared" si="2477"/>
        <v>n/a</v>
      </c>
      <c r="AE670" s="36" t="str">
        <f t="shared" si="2477"/>
        <v>n/a</v>
      </c>
      <c r="AF670" s="36" t="str">
        <f>AF745</f>
        <v>n/a</v>
      </c>
      <c r="AG670" s="36" t="str">
        <f t="shared" si="2477"/>
        <v>n/a</v>
      </c>
      <c r="AO670" s="13">
        <v>0</v>
      </c>
      <c r="AP670" s="13">
        <v>0</v>
      </c>
      <c r="AQ670" s="13">
        <v>0</v>
      </c>
      <c r="AR670" s="13">
        <v>7.3890000000000002</v>
      </c>
      <c r="AS670" s="13">
        <v>-4.4710000000000001</v>
      </c>
      <c r="AT670" s="13">
        <v>-1.9219999999999999</v>
      </c>
      <c r="AU670" s="13">
        <v>-0.996</v>
      </c>
      <c r="AV670" s="36">
        <f>AV745</f>
        <v>0</v>
      </c>
    </row>
    <row r="671" spans="2:48" s="1" customFormat="1" x14ac:dyDescent="0.2">
      <c r="B671" s="43" t="s">
        <v>173</v>
      </c>
      <c r="H671" s="49">
        <f>H746</f>
        <v>628.92399999999964</v>
      </c>
      <c r="I671" s="49">
        <f t="shared" ref="I671:K671" si="2483">IFERROR(I746-H746,"n/a")</f>
        <v>360.90400000000034</v>
      </c>
      <c r="J671" s="49">
        <f t="shared" si="2483"/>
        <v>249.74199999999996</v>
      </c>
      <c r="K671" s="49">
        <f t="shared" si="2483"/>
        <v>6528.357</v>
      </c>
      <c r="L671" s="49">
        <f>L746</f>
        <v>-1543.251</v>
      </c>
      <c r="M671" s="49">
        <f t="shared" ref="M671:O671" si="2484">IFERROR(M746-L746,"n/a")</f>
        <v>4147.982</v>
      </c>
      <c r="N671" s="49">
        <f t="shared" si="2484"/>
        <v>2618.2319999999995</v>
      </c>
      <c r="O671" s="49">
        <f t="shared" si="2484"/>
        <v>9598.012999999999</v>
      </c>
      <c r="P671" s="49">
        <f>P746</f>
        <v>-567.07000000000005</v>
      </c>
      <c r="Q671" s="49">
        <f t="shared" ref="Q671:S671" si="2485">IFERROR(Q746-P746,"n/a")</f>
        <v>5495.3359999999993</v>
      </c>
      <c r="R671" s="49">
        <f t="shared" si="2485"/>
        <v>8321.7920000000013</v>
      </c>
      <c r="S671" s="49">
        <f t="shared" si="2485"/>
        <v>14946.569</v>
      </c>
      <c r="T671" s="49">
        <f>T746</f>
        <v>-3724.547</v>
      </c>
      <c r="U671" s="49">
        <f t="shared" ref="U671:W671" si="2486">IFERROR(U746-T746,"n/a")</f>
        <v>7371.2150000000001</v>
      </c>
      <c r="V671" s="49">
        <f t="shared" si="2486"/>
        <v>8736.5680000000011</v>
      </c>
      <c r="W671" s="49">
        <f t="shared" si="2486"/>
        <v>16399.774999999998</v>
      </c>
      <c r="X671" s="49">
        <f>X746</f>
        <v>-9068.0959999999995</v>
      </c>
      <c r="Y671" s="49">
        <f t="shared" ref="Y671:AA671" si="2487">IFERROR(Y746-X746,"n/a")</f>
        <v>19373.870999999999</v>
      </c>
      <c r="Z671" s="49">
        <f t="shared" si="2487"/>
        <v>11651.823000000002</v>
      </c>
      <c r="AA671" s="49">
        <f t="shared" si="2487"/>
        <v>26550.261999999999</v>
      </c>
      <c r="AB671" s="49">
        <f>AB746</f>
        <v>1338.0219999999999</v>
      </c>
      <c r="AC671" s="49">
        <f t="shared" si="2477"/>
        <v>23395.981</v>
      </c>
      <c r="AD671" s="49">
        <f t="shared" si="2477"/>
        <v>32537.857</v>
      </c>
      <c r="AE671" s="49">
        <f t="shared" si="2477"/>
        <v>36890.671000000002</v>
      </c>
      <c r="AF671" s="49">
        <f>AF746</f>
        <v>21067.179</v>
      </c>
      <c r="AG671" s="49">
        <f t="shared" si="2477"/>
        <v>22725.460999999999</v>
      </c>
      <c r="AO671" s="49">
        <f t="shared" ref="AO671" si="2488">IFERROR(AO641+SUM(AO642:AO655)+SUM(AO657:AO670),"n/a")</f>
        <v>879.77700000000027</v>
      </c>
      <c r="AP671" s="49">
        <f t="shared" ref="AP671" si="2489">IFERROR(AP641+SUM(AP642:AP655)+SUM(AP657:AP670),"n/a")</f>
        <v>315.47900000000192</v>
      </c>
      <c r="AQ671" s="49">
        <f t="shared" ref="AQ671" si="2490">IFERROR(AQ641+SUM(AQ642:AQ655)+SUM(AQ657:AQ670),"n/a")</f>
        <v>7767.9269999999997</v>
      </c>
      <c r="AR671" s="49">
        <f t="shared" ref="AR671" si="2491">IFERROR(AR641+SUM(AR642:AR655)+SUM(AR657:AR670),"n/a")</f>
        <v>14820.975999999999</v>
      </c>
      <c r="AS671" s="49">
        <f t="shared" ref="AS671" si="2492">IFERROR(AS641+SUM(AS642:AS655)+SUM(AS657:AS670),"n/a")</f>
        <v>28196.627</v>
      </c>
      <c r="AT671" s="49">
        <f t="shared" ref="AT671" si="2493">IFERROR(AT641+SUM(AT642:AT655)+SUM(AT657:AT670),"n/a")</f>
        <v>28783.010999999999</v>
      </c>
      <c r="AU671" s="49">
        <f t="shared" ref="AU671" si="2494">IFERROR(AU641+SUM(AU642:AU655)+SUM(AU657:AU670),"n/a")</f>
        <v>48507.86</v>
      </c>
      <c r="AV671" s="49">
        <f>AV746</f>
        <v>94162.531000000003</v>
      </c>
    </row>
    <row r="672" spans="2:48" x14ac:dyDescent="0.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O672" s="11"/>
      <c r="AP672" s="11"/>
      <c r="AQ672" s="11"/>
      <c r="AR672" s="11"/>
      <c r="AS672" s="11"/>
      <c r="AT672" s="11"/>
      <c r="AU672" s="11"/>
      <c r="AV672" s="11"/>
    </row>
    <row r="673" spans="2:48" x14ac:dyDescent="0.2">
      <c r="B673" s="1" t="s">
        <v>174</v>
      </c>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O673" s="11"/>
      <c r="AP673" s="11"/>
      <c r="AQ673" s="11"/>
      <c r="AR673" s="11"/>
      <c r="AS673" s="11"/>
      <c r="AT673" s="11"/>
      <c r="AU673" s="11"/>
      <c r="AV673" s="11"/>
    </row>
    <row r="674" spans="2:48" x14ac:dyDescent="0.2">
      <c r="B674" t="s">
        <v>145</v>
      </c>
      <c r="H674" s="17" t="str">
        <f t="shared" ref="H674:H679" si="2495">H749</f>
        <v>n/a</v>
      </c>
      <c r="I674" s="17" t="str">
        <f t="shared" ref="I674:K674" si="2496">IFERROR(I749-H749,"n/a")</f>
        <v>n/a</v>
      </c>
      <c r="J674" s="17" t="str">
        <f t="shared" si="2496"/>
        <v>n/a</v>
      </c>
      <c r="K674" s="17" t="str">
        <f t="shared" si="2496"/>
        <v>n/a</v>
      </c>
      <c r="L674" s="17" t="str">
        <f t="shared" ref="L674:L680" si="2497">L749</f>
        <v>n/a</v>
      </c>
      <c r="M674" s="17" t="str">
        <f t="shared" ref="M674:O674" si="2498">IFERROR(M749-L749,"n/a")</f>
        <v>n/a</v>
      </c>
      <c r="N674" s="17" t="str">
        <f t="shared" si="2498"/>
        <v>n/a</v>
      </c>
      <c r="O674" s="17" t="str">
        <f t="shared" si="2498"/>
        <v>n/a</v>
      </c>
      <c r="P674" s="17" t="str">
        <f t="shared" ref="P674:P680" si="2499">P749</f>
        <v>n/a</v>
      </c>
      <c r="Q674" s="17" t="str">
        <f t="shared" ref="Q674:S674" si="2500">IFERROR(Q749-P749,"n/a")</f>
        <v>n/a</v>
      </c>
      <c r="R674" s="17" t="str">
        <f t="shared" si="2500"/>
        <v>n/a</v>
      </c>
      <c r="S674" s="17" t="str">
        <f t="shared" si="2500"/>
        <v>n/a</v>
      </c>
      <c r="T674" s="17" t="str">
        <f t="shared" ref="T674:T680" si="2501">T749</f>
        <v>n/a</v>
      </c>
      <c r="U674" s="17" t="str">
        <f t="shared" ref="U674:W674" si="2502">IFERROR(U749-T749,"n/a")</f>
        <v>n/a</v>
      </c>
      <c r="V674" s="17" t="str">
        <f t="shared" si="2502"/>
        <v>n/a</v>
      </c>
      <c r="W674" s="17" t="str">
        <f t="shared" si="2502"/>
        <v>n/a</v>
      </c>
      <c r="X674" s="17" t="str">
        <f t="shared" ref="X674:X680" si="2503">X749</f>
        <v>n/a</v>
      </c>
      <c r="Y674" s="17" t="str">
        <f t="shared" ref="Y674:AA674" si="2504">IFERROR(Y749-X749,"n/a")</f>
        <v>n/a</v>
      </c>
      <c r="Z674" s="17" t="str">
        <f t="shared" si="2504"/>
        <v>n/a</v>
      </c>
      <c r="AA674" s="17" t="str">
        <f t="shared" si="2504"/>
        <v>n/a</v>
      </c>
      <c r="AB674" s="17" t="str">
        <f t="shared" ref="AB674:AB680" si="2505">AB749</f>
        <v>n/a</v>
      </c>
      <c r="AC674" s="17" t="str">
        <f t="shared" ref="AC674:AG680" si="2506">IFERROR(AC749-AB749,"n/a")</f>
        <v>n/a</v>
      </c>
      <c r="AD674" s="17" t="str">
        <f t="shared" si="2506"/>
        <v>n/a</v>
      </c>
      <c r="AE674" s="17" t="str">
        <f t="shared" si="2506"/>
        <v>n/a</v>
      </c>
      <c r="AF674" s="17" t="str">
        <f t="shared" ref="AF674:AF688" si="2507">AF749</f>
        <v>n/a</v>
      </c>
      <c r="AG674" s="17" t="str">
        <f t="shared" si="2506"/>
        <v>n/a</v>
      </c>
      <c r="AO674" s="11">
        <v>-320</v>
      </c>
      <c r="AP674" s="11">
        <v>-1393</v>
      </c>
      <c r="AQ674" s="11">
        <v>-7516.37</v>
      </c>
      <c r="AR674" s="11">
        <v>-52451.614999999998</v>
      </c>
      <c r="AS674" s="11">
        <v>-86438.067999999999</v>
      </c>
      <c r="AT674" s="11">
        <v>-116639.55</v>
      </c>
      <c r="AU674" s="11">
        <v>-160414.45300000001</v>
      </c>
      <c r="AV674" s="17">
        <f t="shared" ref="AV674:AV680" si="2508">AV749</f>
        <v>-147131.67300000001</v>
      </c>
    </row>
    <row r="675" spans="2:48" x14ac:dyDescent="0.2">
      <c r="B675" t="s">
        <v>146</v>
      </c>
      <c r="H675" s="17" t="str">
        <f t="shared" si="2495"/>
        <v>n/a</v>
      </c>
      <c r="I675" s="17" t="str">
        <f t="shared" ref="I675:K675" si="2509">IFERROR(I750-H750,"n/a")</f>
        <v>n/a</v>
      </c>
      <c r="J675" s="17" t="str">
        <f t="shared" si="2509"/>
        <v>n/a</v>
      </c>
      <c r="K675" s="17" t="str">
        <f t="shared" si="2509"/>
        <v>n/a</v>
      </c>
      <c r="L675" s="17" t="str">
        <f t="shared" si="2497"/>
        <v>n/a</v>
      </c>
      <c r="M675" s="17" t="str">
        <f t="shared" ref="M675:O675" si="2510">IFERROR(M750-L750,"n/a")</f>
        <v>n/a</v>
      </c>
      <c r="N675" s="17" t="str">
        <f t="shared" si="2510"/>
        <v>n/a</v>
      </c>
      <c r="O675" s="17" t="str">
        <f t="shared" si="2510"/>
        <v>n/a</v>
      </c>
      <c r="P675" s="17" t="str">
        <f t="shared" si="2499"/>
        <v>n/a</v>
      </c>
      <c r="Q675" s="17" t="str">
        <f t="shared" ref="Q675:S675" si="2511">IFERROR(Q750-P750,"n/a")</f>
        <v>n/a</v>
      </c>
      <c r="R675" s="17" t="str">
        <f t="shared" si="2511"/>
        <v>n/a</v>
      </c>
      <c r="S675" s="17" t="str">
        <f t="shared" si="2511"/>
        <v>n/a</v>
      </c>
      <c r="T675" s="17" t="str">
        <f t="shared" si="2501"/>
        <v>n/a</v>
      </c>
      <c r="U675" s="17" t="str">
        <f t="shared" ref="U675:W675" si="2512">IFERROR(U750-T750,"n/a")</f>
        <v>n/a</v>
      </c>
      <c r="V675" s="17" t="str">
        <f t="shared" si="2512"/>
        <v>n/a</v>
      </c>
      <c r="W675" s="17" t="str">
        <f t="shared" si="2512"/>
        <v>n/a</v>
      </c>
      <c r="X675" s="17" t="str">
        <f t="shared" si="2503"/>
        <v>n/a</v>
      </c>
      <c r="Y675" s="17" t="str">
        <f t="shared" ref="Y675:AA675" si="2513">IFERROR(Y750-X750,"n/a")</f>
        <v>n/a</v>
      </c>
      <c r="Z675" s="17" t="str">
        <f t="shared" si="2513"/>
        <v>n/a</v>
      </c>
      <c r="AA675" s="17" t="str">
        <f t="shared" si="2513"/>
        <v>n/a</v>
      </c>
      <c r="AB675" s="17" t="str">
        <f t="shared" si="2505"/>
        <v>n/a</v>
      </c>
      <c r="AC675" s="17" t="str">
        <f t="shared" si="2506"/>
        <v>n/a</v>
      </c>
      <c r="AD675" s="17" t="str">
        <f t="shared" si="2506"/>
        <v>n/a</v>
      </c>
      <c r="AE675" s="17" t="str">
        <f t="shared" si="2506"/>
        <v>n/a</v>
      </c>
      <c r="AF675" s="17" t="str">
        <f t="shared" si="2507"/>
        <v>n/a</v>
      </c>
      <c r="AG675" s="17" t="str">
        <f t="shared" si="2506"/>
        <v>n/a</v>
      </c>
      <c r="AO675" s="11">
        <v>30</v>
      </c>
      <c r="AP675" s="11">
        <v>1633</v>
      </c>
      <c r="AQ675" s="11">
        <v>50</v>
      </c>
      <c r="AR675" s="11">
        <v>24797.63</v>
      </c>
      <c r="AS675" s="11">
        <v>55083.39</v>
      </c>
      <c r="AT675" s="11">
        <v>97547.038</v>
      </c>
      <c r="AU675" s="11">
        <v>141928.351</v>
      </c>
      <c r="AV675" s="17">
        <f t="shared" si="2508"/>
        <v>130317.231</v>
      </c>
    </row>
    <row r="676" spans="2:48" x14ac:dyDescent="0.2">
      <c r="B676" t="s">
        <v>147</v>
      </c>
      <c r="H676" s="17" t="str">
        <f t="shared" si="2495"/>
        <v>n/a</v>
      </c>
      <c r="I676" s="17" t="str">
        <f t="shared" ref="I676:K676" si="2514">IFERROR(I751-H751,"n/a")</f>
        <v>n/a</v>
      </c>
      <c r="J676" s="17" t="str">
        <f t="shared" si="2514"/>
        <v>n/a</v>
      </c>
      <c r="K676" s="17" t="str">
        <f t="shared" si="2514"/>
        <v>n/a</v>
      </c>
      <c r="L676" s="17" t="str">
        <f t="shared" si="2497"/>
        <v>n/a</v>
      </c>
      <c r="M676" s="17" t="str">
        <f t="shared" ref="M676:O676" si="2515">IFERROR(M751-L751,"n/a")</f>
        <v>n/a</v>
      </c>
      <c r="N676" s="17" t="str">
        <f t="shared" si="2515"/>
        <v>n/a</v>
      </c>
      <c r="O676" s="17" t="str">
        <f t="shared" si="2515"/>
        <v>n/a</v>
      </c>
      <c r="P676" s="17" t="str">
        <f t="shared" si="2499"/>
        <v>n/a</v>
      </c>
      <c r="Q676" s="17" t="str">
        <f t="shared" ref="Q676:S676" si="2516">IFERROR(Q751-P751,"n/a")</f>
        <v>n/a</v>
      </c>
      <c r="R676" s="17" t="str">
        <f t="shared" si="2516"/>
        <v>n/a</v>
      </c>
      <c r="S676" s="17" t="str">
        <f t="shared" si="2516"/>
        <v>n/a</v>
      </c>
      <c r="T676" s="17" t="str">
        <f t="shared" si="2501"/>
        <v>n/a</v>
      </c>
      <c r="U676" s="17" t="str">
        <f t="shared" ref="U676:W676" si="2517">IFERROR(U751-T751,"n/a")</f>
        <v>n/a</v>
      </c>
      <c r="V676" s="17" t="str">
        <f t="shared" si="2517"/>
        <v>n/a</v>
      </c>
      <c r="W676" s="17" t="str">
        <f t="shared" si="2517"/>
        <v>n/a</v>
      </c>
      <c r="X676" s="17" t="str">
        <f t="shared" si="2503"/>
        <v>n/a</v>
      </c>
      <c r="Y676" s="17" t="str">
        <f t="shared" ref="Y676:AA676" si="2518">IFERROR(Y751-X751,"n/a")</f>
        <v>n/a</v>
      </c>
      <c r="Z676" s="17" t="str">
        <f t="shared" si="2518"/>
        <v>n/a</v>
      </c>
      <c r="AA676" s="17" t="str">
        <f t="shared" si="2518"/>
        <v>n/a</v>
      </c>
      <c r="AB676" s="17" t="str">
        <f t="shared" si="2505"/>
        <v>n/a</v>
      </c>
      <c r="AC676" s="17" t="str">
        <f t="shared" si="2506"/>
        <v>n/a</v>
      </c>
      <c r="AD676" s="17" t="str">
        <f t="shared" si="2506"/>
        <v>n/a</v>
      </c>
      <c r="AE676" s="17" t="str">
        <f t="shared" si="2506"/>
        <v>n/a</v>
      </c>
      <c r="AF676" s="17" t="str">
        <f t="shared" si="2507"/>
        <v>n/a</v>
      </c>
      <c r="AG676" s="17" t="str">
        <f t="shared" si="2506"/>
        <v>n/a</v>
      </c>
      <c r="AO676" s="11">
        <v>0</v>
      </c>
      <c r="AP676" s="11">
        <v>0</v>
      </c>
      <c r="AQ676" s="11">
        <v>0</v>
      </c>
      <c r="AR676" s="11">
        <v>0</v>
      </c>
      <c r="AS676" s="11">
        <v>-6722.2280000000001</v>
      </c>
      <c r="AT676" s="11">
        <v>-13628.052</v>
      </c>
      <c r="AU676" s="11">
        <v>-6795.8379999999997</v>
      </c>
      <c r="AV676" s="17">
        <f t="shared" si="2508"/>
        <v>-25051.222000000002</v>
      </c>
    </row>
    <row r="677" spans="2:48" x14ac:dyDescent="0.2">
      <c r="B677" t="s">
        <v>148</v>
      </c>
      <c r="H677" s="17" t="str">
        <f t="shared" si="2495"/>
        <v>n/a</v>
      </c>
      <c r="I677" s="17" t="str">
        <f t="shared" ref="I677:K677" si="2519">IFERROR(I752-H752,"n/a")</f>
        <v>n/a</v>
      </c>
      <c r="J677" s="17" t="str">
        <f t="shared" si="2519"/>
        <v>n/a</v>
      </c>
      <c r="K677" s="17" t="str">
        <f t="shared" si="2519"/>
        <v>n/a</v>
      </c>
      <c r="L677" s="17" t="str">
        <f t="shared" si="2497"/>
        <v>n/a</v>
      </c>
      <c r="M677" s="17" t="str">
        <f t="shared" ref="M677:O677" si="2520">IFERROR(M752-L752,"n/a")</f>
        <v>n/a</v>
      </c>
      <c r="N677" s="17" t="str">
        <f t="shared" si="2520"/>
        <v>n/a</v>
      </c>
      <c r="O677" s="17" t="str">
        <f t="shared" si="2520"/>
        <v>n/a</v>
      </c>
      <c r="P677" s="17" t="str">
        <f t="shared" si="2499"/>
        <v>n/a</v>
      </c>
      <c r="Q677" s="17" t="str">
        <f t="shared" ref="Q677:S677" si="2521">IFERROR(Q752-P752,"n/a")</f>
        <v>n/a</v>
      </c>
      <c r="R677" s="17" t="str">
        <f t="shared" si="2521"/>
        <v>n/a</v>
      </c>
      <c r="S677" s="17" t="str">
        <f t="shared" si="2521"/>
        <v>n/a</v>
      </c>
      <c r="T677" s="17" t="str">
        <f t="shared" si="2501"/>
        <v>n/a</v>
      </c>
      <c r="U677" s="17" t="str">
        <f t="shared" ref="U677:W677" si="2522">IFERROR(U752-T752,"n/a")</f>
        <v>n/a</v>
      </c>
      <c r="V677" s="17" t="str">
        <f t="shared" si="2522"/>
        <v>n/a</v>
      </c>
      <c r="W677" s="17" t="str">
        <f t="shared" si="2522"/>
        <v>n/a</v>
      </c>
      <c r="X677" s="17" t="str">
        <f t="shared" si="2503"/>
        <v>n/a</v>
      </c>
      <c r="Y677" s="17" t="str">
        <f t="shared" ref="Y677:AA677" si="2523">IFERROR(Y752-X752,"n/a")</f>
        <v>n/a</v>
      </c>
      <c r="Z677" s="17" t="str">
        <f t="shared" si="2523"/>
        <v>n/a</v>
      </c>
      <c r="AA677" s="17" t="str">
        <f t="shared" si="2523"/>
        <v>n/a</v>
      </c>
      <c r="AB677" s="17" t="str">
        <f t="shared" si="2505"/>
        <v>n/a</v>
      </c>
      <c r="AC677" s="17" t="str">
        <f t="shared" si="2506"/>
        <v>n/a</v>
      </c>
      <c r="AD677" s="17" t="str">
        <f t="shared" si="2506"/>
        <v>n/a</v>
      </c>
      <c r="AE677" s="17" t="str">
        <f t="shared" si="2506"/>
        <v>n/a</v>
      </c>
      <c r="AF677" s="17" t="str">
        <f t="shared" si="2507"/>
        <v>n/a</v>
      </c>
      <c r="AG677" s="17" t="str">
        <f t="shared" si="2506"/>
        <v>n/a</v>
      </c>
      <c r="AO677" s="11">
        <v>-15</v>
      </c>
      <c r="AP677" s="11">
        <v>0</v>
      </c>
      <c r="AQ677" s="11">
        <v>-184.637</v>
      </c>
      <c r="AR677" s="11">
        <v>-214.1</v>
      </c>
      <c r="AS677" s="11">
        <v>0</v>
      </c>
      <c r="AT677" s="11">
        <v>0</v>
      </c>
      <c r="AU677" s="11">
        <v>0</v>
      </c>
      <c r="AV677" s="17">
        <f t="shared" si="2508"/>
        <v>0</v>
      </c>
    </row>
    <row r="678" spans="2:48" x14ac:dyDescent="0.2">
      <c r="B678" t="s">
        <v>149</v>
      </c>
      <c r="H678" s="17" t="str">
        <f t="shared" si="2495"/>
        <v>n/a</v>
      </c>
      <c r="I678" s="17" t="str">
        <f t="shared" ref="I678:K678" si="2524">IFERROR(I753-H753,"n/a")</f>
        <v>n/a</v>
      </c>
      <c r="J678" s="17" t="str">
        <f t="shared" si="2524"/>
        <v>n/a</v>
      </c>
      <c r="K678" s="17" t="str">
        <f t="shared" si="2524"/>
        <v>n/a</v>
      </c>
      <c r="L678" s="17" t="str">
        <f t="shared" si="2497"/>
        <v>n/a</v>
      </c>
      <c r="M678" s="17" t="str">
        <f t="shared" ref="M678:O678" si="2525">IFERROR(M753-L753,"n/a")</f>
        <v>n/a</v>
      </c>
      <c r="N678" s="17" t="str">
        <f t="shared" si="2525"/>
        <v>n/a</v>
      </c>
      <c r="O678" s="17" t="str">
        <f t="shared" si="2525"/>
        <v>n/a</v>
      </c>
      <c r="P678" s="17" t="str">
        <f t="shared" si="2499"/>
        <v>n/a</v>
      </c>
      <c r="Q678" s="17" t="str">
        <f t="shared" ref="Q678:S678" si="2526">IFERROR(Q753-P753,"n/a")</f>
        <v>n/a</v>
      </c>
      <c r="R678" s="17" t="str">
        <f t="shared" si="2526"/>
        <v>n/a</v>
      </c>
      <c r="S678" s="17" t="str">
        <f t="shared" si="2526"/>
        <v>n/a</v>
      </c>
      <c r="T678" s="17" t="str">
        <f t="shared" si="2501"/>
        <v>n/a</v>
      </c>
      <c r="U678" s="17" t="str">
        <f t="shared" ref="U678:W678" si="2527">IFERROR(U753-T753,"n/a")</f>
        <v>n/a</v>
      </c>
      <c r="V678" s="17" t="str">
        <f t="shared" si="2527"/>
        <v>n/a</v>
      </c>
      <c r="W678" s="17" t="str">
        <f t="shared" si="2527"/>
        <v>n/a</v>
      </c>
      <c r="X678" s="17" t="str">
        <f t="shared" si="2503"/>
        <v>n/a</v>
      </c>
      <c r="Y678" s="17" t="str">
        <f t="shared" ref="Y678:AA678" si="2528">IFERROR(Y753-X753,"n/a")</f>
        <v>n/a</v>
      </c>
      <c r="Z678" s="17" t="str">
        <f t="shared" si="2528"/>
        <v>n/a</v>
      </c>
      <c r="AA678" s="17" t="str">
        <f t="shared" si="2528"/>
        <v>n/a</v>
      </c>
      <c r="AB678" s="17" t="str">
        <f t="shared" si="2505"/>
        <v>n/a</v>
      </c>
      <c r="AC678" s="17" t="str">
        <f t="shared" si="2506"/>
        <v>n/a</v>
      </c>
      <c r="AD678" s="17" t="str">
        <f t="shared" si="2506"/>
        <v>n/a</v>
      </c>
      <c r="AE678" s="17" t="str">
        <f t="shared" si="2506"/>
        <v>n/a</v>
      </c>
      <c r="AF678" s="17" t="str">
        <f t="shared" si="2507"/>
        <v>n/a</v>
      </c>
      <c r="AG678" s="17" t="str">
        <f t="shared" si="2506"/>
        <v>n/a</v>
      </c>
      <c r="AO678" s="11">
        <v>0</v>
      </c>
      <c r="AP678" s="11">
        <v>0</v>
      </c>
      <c r="AQ678" s="11">
        <v>5</v>
      </c>
      <c r="AR678" s="11">
        <v>0</v>
      </c>
      <c r="AS678" s="11">
        <v>0</v>
      </c>
      <c r="AT678" s="11">
        <v>0</v>
      </c>
      <c r="AU678" s="11">
        <v>7137.8140000000003</v>
      </c>
      <c r="AV678" s="17">
        <f t="shared" si="2508"/>
        <v>0</v>
      </c>
    </row>
    <row r="679" spans="2:48" x14ac:dyDescent="0.2">
      <c r="B679" t="s">
        <v>150</v>
      </c>
      <c r="H679" s="17" t="str">
        <f t="shared" si="2495"/>
        <v>n/a</v>
      </c>
      <c r="I679" s="17" t="str">
        <f t="shared" ref="I679:K679" si="2529">IFERROR(I754-H754,"n/a")</f>
        <v>n/a</v>
      </c>
      <c r="J679" s="17" t="str">
        <f t="shared" si="2529"/>
        <v>n/a</v>
      </c>
      <c r="K679" s="17" t="str">
        <f t="shared" si="2529"/>
        <v>n/a</v>
      </c>
      <c r="L679" s="17" t="str">
        <f t="shared" si="2497"/>
        <v>n/a</v>
      </c>
      <c r="M679" s="17" t="str">
        <f t="shared" ref="M679:O679" si="2530">IFERROR(M754-L754,"n/a")</f>
        <v>n/a</v>
      </c>
      <c r="N679" s="17" t="str">
        <f t="shared" si="2530"/>
        <v>n/a</v>
      </c>
      <c r="O679" s="17" t="str">
        <f t="shared" si="2530"/>
        <v>n/a</v>
      </c>
      <c r="P679" s="17" t="str">
        <f t="shared" si="2499"/>
        <v>n/a</v>
      </c>
      <c r="Q679" s="17" t="str">
        <f t="shared" ref="Q679:S679" si="2531">IFERROR(Q754-P754,"n/a")</f>
        <v>n/a</v>
      </c>
      <c r="R679" s="17" t="str">
        <f t="shared" si="2531"/>
        <v>n/a</v>
      </c>
      <c r="S679" s="17" t="str">
        <f t="shared" si="2531"/>
        <v>n/a</v>
      </c>
      <c r="T679" s="17" t="str">
        <f t="shared" si="2501"/>
        <v>n/a</v>
      </c>
      <c r="U679" s="17" t="str">
        <f t="shared" ref="U679:W679" si="2532">IFERROR(U754-T754,"n/a")</f>
        <v>n/a</v>
      </c>
      <c r="V679" s="17" t="str">
        <f t="shared" si="2532"/>
        <v>n/a</v>
      </c>
      <c r="W679" s="17" t="str">
        <f t="shared" si="2532"/>
        <v>n/a</v>
      </c>
      <c r="X679" s="17" t="str">
        <f t="shared" si="2503"/>
        <v>n/a</v>
      </c>
      <c r="Y679" s="17" t="str">
        <f t="shared" ref="Y679:AA679" si="2533">IFERROR(Y754-X754,"n/a")</f>
        <v>n/a</v>
      </c>
      <c r="Z679" s="17" t="str">
        <f t="shared" si="2533"/>
        <v>n/a</v>
      </c>
      <c r="AA679" s="17" t="str">
        <f t="shared" si="2533"/>
        <v>n/a</v>
      </c>
      <c r="AB679" s="17" t="str">
        <f t="shared" si="2505"/>
        <v>n/a</v>
      </c>
      <c r="AC679" s="17" t="str">
        <f t="shared" si="2506"/>
        <v>n/a</v>
      </c>
      <c r="AD679" s="17" t="str">
        <f t="shared" si="2506"/>
        <v>n/a</v>
      </c>
      <c r="AE679" s="17" t="str">
        <f t="shared" si="2506"/>
        <v>n/a</v>
      </c>
      <c r="AF679" s="17" t="str">
        <f t="shared" si="2507"/>
        <v>n/a</v>
      </c>
      <c r="AG679" s="17" t="str">
        <f t="shared" si="2506"/>
        <v>n/a</v>
      </c>
      <c r="AO679" s="11">
        <v>0</v>
      </c>
      <c r="AP679" s="11">
        <v>0</v>
      </c>
      <c r="AQ679" s="11">
        <v>0</v>
      </c>
      <c r="AR679" s="11">
        <v>0</v>
      </c>
      <c r="AS679" s="11">
        <v>0</v>
      </c>
      <c r="AT679" s="11">
        <v>0</v>
      </c>
      <c r="AU679" s="11">
        <v>-3581.8679999999999</v>
      </c>
      <c r="AV679" s="17">
        <f t="shared" si="2508"/>
        <v>-17318.332999999999</v>
      </c>
    </row>
    <row r="680" spans="2:48" x14ac:dyDescent="0.2">
      <c r="B680" t="s">
        <v>447</v>
      </c>
      <c r="H680" s="17"/>
      <c r="I680" s="17"/>
      <c r="J680" s="17"/>
      <c r="K680" s="17"/>
      <c r="L680" s="17" t="str">
        <f t="shared" si="2497"/>
        <v>n/a</v>
      </c>
      <c r="M680" s="17" t="str">
        <f t="shared" ref="M680" si="2534">IFERROR(M755-L755,"n/a")</f>
        <v>n/a</v>
      </c>
      <c r="N680" s="17" t="str">
        <f t="shared" ref="N680" si="2535">IFERROR(N755-M755,"n/a")</f>
        <v>n/a</v>
      </c>
      <c r="O680" s="17" t="str">
        <f t="shared" ref="O680" si="2536">IFERROR(O755-N755,"n/a")</f>
        <v>n/a</v>
      </c>
      <c r="P680" s="17" t="str">
        <f t="shared" si="2499"/>
        <v>n/a</v>
      </c>
      <c r="Q680" s="17" t="str">
        <f t="shared" ref="Q680" si="2537">IFERROR(Q755-P755,"n/a")</f>
        <v>n/a</v>
      </c>
      <c r="R680" s="17" t="str">
        <f t="shared" ref="R680" si="2538">IFERROR(R755-Q755,"n/a")</f>
        <v>n/a</v>
      </c>
      <c r="S680" s="17" t="str">
        <f t="shared" ref="S680" si="2539">IFERROR(S755-R755,"n/a")</f>
        <v>n/a</v>
      </c>
      <c r="T680" s="17" t="str">
        <f t="shared" si="2501"/>
        <v>n/a</v>
      </c>
      <c r="U680" s="17" t="str">
        <f t="shared" ref="U680" si="2540">IFERROR(U755-T755,"n/a")</f>
        <v>n/a</v>
      </c>
      <c r="V680" s="17" t="str">
        <f t="shared" ref="V680" si="2541">IFERROR(V755-U755,"n/a")</f>
        <v>n/a</v>
      </c>
      <c r="W680" s="17" t="str">
        <f t="shared" ref="W680" si="2542">IFERROR(W755-V755,"n/a")</f>
        <v>n/a</v>
      </c>
      <c r="X680" s="17" t="str">
        <f t="shared" si="2503"/>
        <v>n/a</v>
      </c>
      <c r="Y680" s="17" t="str">
        <f t="shared" ref="Y680" si="2543">IFERROR(Y755-X755,"n/a")</f>
        <v>n/a</v>
      </c>
      <c r="Z680" s="17" t="str">
        <f t="shared" ref="Z680" si="2544">IFERROR(Z755-Y755,"n/a")</f>
        <v>n/a</v>
      </c>
      <c r="AA680" s="17" t="str">
        <f t="shared" ref="AA680" si="2545">IFERROR(AA755-Z755,"n/a")</f>
        <v>n/a</v>
      </c>
      <c r="AB680" s="17" t="str">
        <f t="shared" si="2505"/>
        <v>n/a</v>
      </c>
      <c r="AC680" s="17" t="str">
        <f t="shared" ref="AC680" si="2546">IFERROR(AC755-AB755,"n/a")</f>
        <v>n/a</v>
      </c>
      <c r="AD680" s="17" t="str">
        <f t="shared" ref="AD680" si="2547">IFERROR(AD755-AC755,"n/a")</f>
        <v>n/a</v>
      </c>
      <c r="AE680" s="17" t="str">
        <f t="shared" ref="AE680" si="2548">IFERROR(AE755-AD755,"n/a")</f>
        <v>n/a</v>
      </c>
      <c r="AF680" s="17" t="str">
        <f t="shared" si="2507"/>
        <v>n/a</v>
      </c>
      <c r="AG680" s="17" t="str">
        <f t="shared" si="2506"/>
        <v>n/a</v>
      </c>
      <c r="AO680" s="11">
        <v>0</v>
      </c>
      <c r="AP680" s="11">
        <v>0</v>
      </c>
      <c r="AQ680" s="11">
        <v>0</v>
      </c>
      <c r="AR680" s="11">
        <v>0</v>
      </c>
      <c r="AS680" s="11">
        <v>0</v>
      </c>
      <c r="AT680" s="11">
        <v>0</v>
      </c>
      <c r="AU680" s="11">
        <v>0</v>
      </c>
      <c r="AV680" s="17">
        <f t="shared" si="2508"/>
        <v>4206.3590000000004</v>
      </c>
    </row>
    <row r="681" spans="2:48" x14ac:dyDescent="0.2">
      <c r="B681" t="s">
        <v>151</v>
      </c>
      <c r="H681" s="17" t="str">
        <f t="shared" ref="H681:H688" si="2549">H756</f>
        <v>n/a</v>
      </c>
      <c r="I681" s="17" t="str">
        <f t="shared" ref="I681:K681" si="2550">IFERROR(I756-H756,"n/a")</f>
        <v>n/a</v>
      </c>
      <c r="J681" s="17" t="str">
        <f t="shared" si="2550"/>
        <v>n/a</v>
      </c>
      <c r="K681" s="17" t="str">
        <f t="shared" si="2550"/>
        <v>n/a</v>
      </c>
      <c r="L681" s="17" t="str">
        <f t="shared" ref="L681:L688" si="2551">L756</f>
        <v>n/a</v>
      </c>
      <c r="M681" s="17" t="str">
        <f t="shared" ref="M681:O681" si="2552">IFERROR(M756-L756,"n/a")</f>
        <v>n/a</v>
      </c>
      <c r="N681" s="17" t="str">
        <f t="shared" si="2552"/>
        <v>n/a</v>
      </c>
      <c r="O681" s="17" t="str">
        <f t="shared" si="2552"/>
        <v>n/a</v>
      </c>
      <c r="P681" s="17" t="str">
        <f t="shared" ref="P681:P688" si="2553">P756</f>
        <v>n/a</v>
      </c>
      <c r="Q681" s="17" t="str">
        <f t="shared" ref="Q681:S681" si="2554">IFERROR(Q756-P756,"n/a")</f>
        <v>n/a</v>
      </c>
      <c r="R681" s="17" t="str">
        <f t="shared" si="2554"/>
        <v>n/a</v>
      </c>
      <c r="S681" s="17" t="str">
        <f t="shared" si="2554"/>
        <v>n/a</v>
      </c>
      <c r="T681" s="17" t="str">
        <f t="shared" ref="T681:T688" si="2555">T756</f>
        <v>n/a</v>
      </c>
      <c r="U681" s="17" t="str">
        <f t="shared" ref="U681:W681" si="2556">IFERROR(U756-T756,"n/a")</f>
        <v>n/a</v>
      </c>
      <c r="V681" s="17" t="str">
        <f t="shared" si="2556"/>
        <v>n/a</v>
      </c>
      <c r="W681" s="17" t="str">
        <f t="shared" si="2556"/>
        <v>n/a</v>
      </c>
      <c r="X681" s="17" t="str">
        <f t="shared" ref="X681:X688" si="2557">X756</f>
        <v>n/a</v>
      </c>
      <c r="Y681" s="17" t="str">
        <f t="shared" ref="Y681:AA681" si="2558">IFERROR(Y756-X756,"n/a")</f>
        <v>n/a</v>
      </c>
      <c r="Z681" s="17" t="str">
        <f t="shared" si="2558"/>
        <v>n/a</v>
      </c>
      <c r="AA681" s="17" t="str">
        <f t="shared" si="2558"/>
        <v>n/a</v>
      </c>
      <c r="AB681" s="17" t="str">
        <f t="shared" ref="AB681:AB688" si="2559">AB756</f>
        <v>n/a</v>
      </c>
      <c r="AC681" s="17" t="str">
        <f t="shared" ref="AC681:AG688" si="2560">IFERROR(AC756-AB756,"n/a")</f>
        <v>n/a</v>
      </c>
      <c r="AD681" s="17" t="str">
        <f t="shared" si="2560"/>
        <v>n/a</v>
      </c>
      <c r="AE681" s="17" t="str">
        <f t="shared" si="2560"/>
        <v>n/a</v>
      </c>
      <c r="AF681" s="17" t="str">
        <f t="shared" si="2507"/>
        <v>n/a</v>
      </c>
      <c r="AG681" s="17" t="str">
        <f t="shared" si="2560"/>
        <v>n/a</v>
      </c>
      <c r="AO681" s="11">
        <v>-2.3010000000000002</v>
      </c>
      <c r="AP681" s="11">
        <v>-8.9209999999999994</v>
      </c>
      <c r="AQ681" s="11">
        <v>-27.331</v>
      </c>
      <c r="AR681" s="11">
        <v>-27.436</v>
      </c>
      <c r="AS681" s="11">
        <v>-43.045999999999999</v>
      </c>
      <c r="AT681" s="11">
        <v>-3287.232</v>
      </c>
      <c r="AU681" s="11">
        <v>-635.71600000000001</v>
      </c>
      <c r="AV681" s="17">
        <f t="shared" ref="AV681:AV688" si="2561">AV756</f>
        <v>-583.87900000000002</v>
      </c>
    </row>
    <row r="682" spans="2:48" x14ac:dyDescent="0.2">
      <c r="B682" t="s">
        <v>152</v>
      </c>
      <c r="H682" s="17" t="str">
        <f t="shared" si="2549"/>
        <v>n/a</v>
      </c>
      <c r="I682" s="17" t="str">
        <f t="shared" ref="I682:K682" si="2562">IFERROR(I757-H757,"n/a")</f>
        <v>n/a</v>
      </c>
      <c r="J682" s="17" t="str">
        <f t="shared" si="2562"/>
        <v>n/a</v>
      </c>
      <c r="K682" s="17" t="str">
        <f t="shared" si="2562"/>
        <v>n/a</v>
      </c>
      <c r="L682" s="17" t="str">
        <f t="shared" si="2551"/>
        <v>n/a</v>
      </c>
      <c r="M682" s="17" t="str">
        <f t="shared" ref="M682:O682" si="2563">IFERROR(M757-L757,"n/a")</f>
        <v>n/a</v>
      </c>
      <c r="N682" s="17" t="str">
        <f t="shared" si="2563"/>
        <v>n/a</v>
      </c>
      <c r="O682" s="17" t="str">
        <f t="shared" si="2563"/>
        <v>n/a</v>
      </c>
      <c r="P682" s="17" t="str">
        <f t="shared" si="2553"/>
        <v>n/a</v>
      </c>
      <c r="Q682" s="17" t="str">
        <f t="shared" ref="Q682:S682" si="2564">IFERROR(Q757-P757,"n/a")</f>
        <v>n/a</v>
      </c>
      <c r="R682" s="17" t="str">
        <f t="shared" si="2564"/>
        <v>n/a</v>
      </c>
      <c r="S682" s="17" t="str">
        <f t="shared" si="2564"/>
        <v>n/a</v>
      </c>
      <c r="T682" s="17" t="str">
        <f t="shared" si="2555"/>
        <v>n/a</v>
      </c>
      <c r="U682" s="17" t="str">
        <f t="shared" ref="U682:W682" si="2565">IFERROR(U757-T757,"n/a")</f>
        <v>n/a</v>
      </c>
      <c r="V682" s="17" t="str">
        <f t="shared" si="2565"/>
        <v>n/a</v>
      </c>
      <c r="W682" s="17" t="str">
        <f t="shared" si="2565"/>
        <v>n/a</v>
      </c>
      <c r="X682" s="17" t="str">
        <f t="shared" si="2557"/>
        <v>n/a</v>
      </c>
      <c r="Y682" s="17" t="str">
        <f t="shared" ref="Y682:AA682" si="2566">IFERROR(Y757-X757,"n/a")</f>
        <v>n/a</v>
      </c>
      <c r="Z682" s="17" t="str">
        <f t="shared" si="2566"/>
        <v>n/a</v>
      </c>
      <c r="AA682" s="17" t="str">
        <f t="shared" si="2566"/>
        <v>n/a</v>
      </c>
      <c r="AB682" s="17" t="str">
        <f t="shared" si="2559"/>
        <v>n/a</v>
      </c>
      <c r="AC682" s="17" t="str">
        <f t="shared" si="2560"/>
        <v>n/a</v>
      </c>
      <c r="AD682" s="17" t="str">
        <f t="shared" si="2560"/>
        <v>n/a</v>
      </c>
      <c r="AE682" s="17" t="str">
        <f t="shared" si="2560"/>
        <v>n/a</v>
      </c>
      <c r="AF682" s="17" t="str">
        <f t="shared" si="2507"/>
        <v>n/a</v>
      </c>
      <c r="AG682" s="17" t="str">
        <f t="shared" si="2560"/>
        <v>n/a</v>
      </c>
      <c r="AO682" s="11">
        <v>0</v>
      </c>
      <c r="AP682" s="11">
        <v>0.36199999999999999</v>
      </c>
      <c r="AQ682" s="11">
        <v>3.9E-2</v>
      </c>
      <c r="AR682" s="11">
        <v>0.47499999999999998</v>
      </c>
      <c r="AS682" s="11">
        <v>5.0999999999999997E-2</v>
      </c>
      <c r="AT682" s="11">
        <v>0.39400000000000002</v>
      </c>
      <c r="AU682" s="11">
        <v>0.04</v>
      </c>
      <c r="AV682" s="17">
        <f t="shared" si="2561"/>
        <v>0.45</v>
      </c>
    </row>
    <row r="683" spans="2:48" x14ac:dyDescent="0.2">
      <c r="B683" t="s">
        <v>153</v>
      </c>
      <c r="H683" s="17" t="str">
        <f t="shared" si="2549"/>
        <v>n/a</v>
      </c>
      <c r="I683" s="17" t="str">
        <f t="shared" ref="I683:K683" si="2567">IFERROR(I758-H758,"n/a")</f>
        <v>n/a</v>
      </c>
      <c r="J683" s="17" t="str">
        <f t="shared" si="2567"/>
        <v>n/a</v>
      </c>
      <c r="K683" s="17" t="str">
        <f t="shared" si="2567"/>
        <v>n/a</v>
      </c>
      <c r="L683" s="17" t="str">
        <f t="shared" si="2551"/>
        <v>n/a</v>
      </c>
      <c r="M683" s="17" t="str">
        <f t="shared" ref="M683:O683" si="2568">IFERROR(M758-L758,"n/a")</f>
        <v>n/a</v>
      </c>
      <c r="N683" s="17" t="str">
        <f t="shared" si="2568"/>
        <v>n/a</v>
      </c>
      <c r="O683" s="17" t="str">
        <f t="shared" si="2568"/>
        <v>n/a</v>
      </c>
      <c r="P683" s="17" t="str">
        <f t="shared" si="2553"/>
        <v>n/a</v>
      </c>
      <c r="Q683" s="17" t="str">
        <f t="shared" ref="Q683:S683" si="2569">IFERROR(Q758-P758,"n/a")</f>
        <v>n/a</v>
      </c>
      <c r="R683" s="17" t="str">
        <f t="shared" si="2569"/>
        <v>n/a</v>
      </c>
      <c r="S683" s="17" t="str">
        <f t="shared" si="2569"/>
        <v>n/a</v>
      </c>
      <c r="T683" s="17" t="str">
        <f t="shared" si="2555"/>
        <v>n/a</v>
      </c>
      <c r="U683" s="17" t="str">
        <f t="shared" ref="U683:W683" si="2570">IFERROR(U758-T758,"n/a")</f>
        <v>n/a</v>
      </c>
      <c r="V683" s="17" t="str">
        <f t="shared" si="2570"/>
        <v>n/a</v>
      </c>
      <c r="W683" s="17" t="str">
        <f t="shared" si="2570"/>
        <v>n/a</v>
      </c>
      <c r="X683" s="17" t="str">
        <f t="shared" si="2557"/>
        <v>n/a</v>
      </c>
      <c r="Y683" s="17" t="str">
        <f t="shared" ref="Y683:AA683" si="2571">IFERROR(Y758-X758,"n/a")</f>
        <v>n/a</v>
      </c>
      <c r="Z683" s="17" t="str">
        <f t="shared" si="2571"/>
        <v>n/a</v>
      </c>
      <c r="AA683" s="17" t="str">
        <f t="shared" si="2571"/>
        <v>n/a</v>
      </c>
      <c r="AB683" s="17" t="str">
        <f t="shared" si="2559"/>
        <v>n/a</v>
      </c>
      <c r="AC683" s="17" t="str">
        <f t="shared" si="2560"/>
        <v>n/a</v>
      </c>
      <c r="AD683" s="17" t="str">
        <f t="shared" si="2560"/>
        <v>n/a</v>
      </c>
      <c r="AE683" s="17" t="str">
        <f t="shared" si="2560"/>
        <v>n/a</v>
      </c>
      <c r="AF683" s="17" t="str">
        <f t="shared" si="2507"/>
        <v>n/a</v>
      </c>
      <c r="AG683" s="17" t="str">
        <f t="shared" si="2560"/>
        <v>n/a</v>
      </c>
      <c r="AO683" s="11">
        <v>0</v>
      </c>
      <c r="AP683" s="11">
        <v>0</v>
      </c>
      <c r="AQ683" s="11">
        <v>159.79</v>
      </c>
      <c r="AR683" s="11">
        <v>0</v>
      </c>
      <c r="AS683" s="11">
        <v>0</v>
      </c>
      <c r="AT683" s="11">
        <v>0</v>
      </c>
      <c r="AU683" s="11">
        <v>0</v>
      </c>
      <c r="AV683" s="17">
        <f t="shared" si="2561"/>
        <v>0</v>
      </c>
    </row>
    <row r="684" spans="2:48" x14ac:dyDescent="0.2">
      <c r="B684" t="s">
        <v>154</v>
      </c>
      <c r="H684" s="17" t="str">
        <f t="shared" si="2549"/>
        <v>n/a</v>
      </c>
      <c r="I684" s="17" t="str">
        <f t="shared" ref="I684:K684" si="2572">IFERROR(I759-H759,"n/a")</f>
        <v>n/a</v>
      </c>
      <c r="J684" s="17" t="str">
        <f t="shared" si="2572"/>
        <v>n/a</v>
      </c>
      <c r="K684" s="17" t="str">
        <f t="shared" si="2572"/>
        <v>n/a</v>
      </c>
      <c r="L684" s="17" t="str">
        <f t="shared" si="2551"/>
        <v>n/a</v>
      </c>
      <c r="M684" s="17" t="str">
        <f t="shared" ref="M684:O684" si="2573">IFERROR(M759-L759,"n/a")</f>
        <v>n/a</v>
      </c>
      <c r="N684" s="17" t="str">
        <f t="shared" si="2573"/>
        <v>n/a</v>
      </c>
      <c r="O684" s="17" t="str">
        <f t="shared" si="2573"/>
        <v>n/a</v>
      </c>
      <c r="P684" s="17" t="str">
        <f t="shared" si="2553"/>
        <v>n/a</v>
      </c>
      <c r="Q684" s="17" t="str">
        <f t="shared" ref="Q684:S684" si="2574">IFERROR(Q759-P759,"n/a")</f>
        <v>n/a</v>
      </c>
      <c r="R684" s="17" t="str">
        <f t="shared" si="2574"/>
        <v>n/a</v>
      </c>
      <c r="S684" s="17" t="str">
        <f t="shared" si="2574"/>
        <v>n/a</v>
      </c>
      <c r="T684" s="17" t="str">
        <f t="shared" si="2555"/>
        <v>n/a</v>
      </c>
      <c r="U684" s="17" t="str">
        <f t="shared" ref="U684:W684" si="2575">IFERROR(U759-T759,"n/a")</f>
        <v>n/a</v>
      </c>
      <c r="V684" s="17" t="str">
        <f t="shared" si="2575"/>
        <v>n/a</v>
      </c>
      <c r="W684" s="17" t="str">
        <f t="shared" si="2575"/>
        <v>n/a</v>
      </c>
      <c r="X684" s="17" t="str">
        <f t="shared" si="2557"/>
        <v>n/a</v>
      </c>
      <c r="Y684" s="17" t="str">
        <f t="shared" ref="Y684:AA684" si="2576">IFERROR(Y759-X759,"n/a")</f>
        <v>n/a</v>
      </c>
      <c r="Z684" s="17" t="str">
        <f t="shared" si="2576"/>
        <v>n/a</v>
      </c>
      <c r="AA684" s="17" t="str">
        <f t="shared" si="2576"/>
        <v>n/a</v>
      </c>
      <c r="AB684" s="17" t="str">
        <f t="shared" si="2559"/>
        <v>n/a</v>
      </c>
      <c r="AC684" s="17" t="str">
        <f t="shared" si="2560"/>
        <v>n/a</v>
      </c>
      <c r="AD684" s="17" t="str">
        <f t="shared" si="2560"/>
        <v>n/a</v>
      </c>
      <c r="AE684" s="17" t="str">
        <f t="shared" si="2560"/>
        <v>n/a</v>
      </c>
      <c r="AF684" s="17" t="str">
        <f t="shared" si="2507"/>
        <v>n/a</v>
      </c>
      <c r="AG684" s="17" t="str">
        <f t="shared" si="2560"/>
        <v>n/a</v>
      </c>
      <c r="AO684" s="11">
        <v>0</v>
      </c>
      <c r="AP684" s="11">
        <v>0</v>
      </c>
      <c r="AQ684" s="11">
        <v>-35</v>
      </c>
      <c r="AR684" s="11">
        <v>35</v>
      </c>
      <c r="AS684" s="11">
        <v>-238</v>
      </c>
      <c r="AT684" s="11">
        <v>0</v>
      </c>
      <c r="AU684" s="11">
        <v>0</v>
      </c>
      <c r="AV684" s="17">
        <f t="shared" si="2561"/>
        <v>0</v>
      </c>
    </row>
    <row r="685" spans="2:48" x14ac:dyDescent="0.2">
      <c r="B685" t="s">
        <v>155</v>
      </c>
      <c r="H685" s="17" t="str">
        <f t="shared" si="2549"/>
        <v>n/a</v>
      </c>
      <c r="I685" s="17" t="str">
        <f t="shared" ref="I685:K685" si="2577">IFERROR(I760-H760,"n/a")</f>
        <v>n/a</v>
      </c>
      <c r="J685" s="17" t="str">
        <f t="shared" si="2577"/>
        <v>n/a</v>
      </c>
      <c r="K685" s="17" t="str">
        <f t="shared" si="2577"/>
        <v>n/a</v>
      </c>
      <c r="L685" s="17" t="str">
        <f t="shared" si="2551"/>
        <v>n/a</v>
      </c>
      <c r="M685" s="17" t="str">
        <f t="shared" ref="M685:O685" si="2578">IFERROR(M760-L760,"n/a")</f>
        <v>n/a</v>
      </c>
      <c r="N685" s="17" t="str">
        <f t="shared" si="2578"/>
        <v>n/a</v>
      </c>
      <c r="O685" s="17" t="str">
        <f t="shared" si="2578"/>
        <v>n/a</v>
      </c>
      <c r="P685" s="17" t="str">
        <f t="shared" si="2553"/>
        <v>n/a</v>
      </c>
      <c r="Q685" s="17" t="str">
        <f t="shared" ref="Q685:S685" si="2579">IFERROR(Q760-P760,"n/a")</f>
        <v>n/a</v>
      </c>
      <c r="R685" s="17" t="str">
        <f t="shared" si="2579"/>
        <v>n/a</v>
      </c>
      <c r="S685" s="17" t="str">
        <f t="shared" si="2579"/>
        <v>n/a</v>
      </c>
      <c r="T685" s="17" t="str">
        <f t="shared" si="2555"/>
        <v>n/a</v>
      </c>
      <c r="U685" s="17" t="str">
        <f t="shared" ref="U685:W685" si="2580">IFERROR(U760-T760,"n/a")</f>
        <v>n/a</v>
      </c>
      <c r="V685" s="17" t="str">
        <f t="shared" si="2580"/>
        <v>n/a</v>
      </c>
      <c r="W685" s="17" t="str">
        <f t="shared" si="2580"/>
        <v>n/a</v>
      </c>
      <c r="X685" s="17" t="str">
        <f t="shared" si="2557"/>
        <v>n/a</v>
      </c>
      <c r="Y685" s="17" t="str">
        <f t="shared" ref="Y685:AA685" si="2581">IFERROR(Y760-X760,"n/a")</f>
        <v>n/a</v>
      </c>
      <c r="Z685" s="17" t="str">
        <f t="shared" si="2581"/>
        <v>n/a</v>
      </c>
      <c r="AA685" s="17" t="str">
        <f t="shared" si="2581"/>
        <v>n/a</v>
      </c>
      <c r="AB685" s="17" t="str">
        <f t="shared" si="2559"/>
        <v>n/a</v>
      </c>
      <c r="AC685" s="17" t="str">
        <f t="shared" si="2560"/>
        <v>n/a</v>
      </c>
      <c r="AD685" s="17" t="str">
        <f t="shared" si="2560"/>
        <v>n/a</v>
      </c>
      <c r="AE685" s="17" t="str">
        <f t="shared" si="2560"/>
        <v>n/a</v>
      </c>
      <c r="AF685" s="17" t="str">
        <f t="shared" si="2507"/>
        <v>n/a</v>
      </c>
      <c r="AG685" s="17" t="str">
        <f t="shared" si="2560"/>
        <v>n/a</v>
      </c>
      <c r="AO685" s="11">
        <v>0</v>
      </c>
      <c r="AP685" s="11">
        <v>0</v>
      </c>
      <c r="AQ685" s="11">
        <v>0</v>
      </c>
      <c r="AR685" s="11">
        <v>0</v>
      </c>
      <c r="AS685" s="11">
        <v>0</v>
      </c>
      <c r="AT685" s="11">
        <v>0</v>
      </c>
      <c r="AU685" s="11">
        <v>0</v>
      </c>
      <c r="AV685" s="17">
        <f t="shared" si="2561"/>
        <v>0</v>
      </c>
    </row>
    <row r="686" spans="2:48" x14ac:dyDescent="0.2">
      <c r="B686" t="s">
        <v>156</v>
      </c>
      <c r="H686" s="17" t="str">
        <f t="shared" si="2549"/>
        <v>n/a</v>
      </c>
      <c r="I686" s="17" t="str">
        <f t="shared" ref="I686:K686" si="2582">IFERROR(I761-H761,"n/a")</f>
        <v>n/a</v>
      </c>
      <c r="J686" s="17" t="str">
        <f t="shared" si="2582"/>
        <v>n/a</v>
      </c>
      <c r="K686" s="17" t="str">
        <f t="shared" si="2582"/>
        <v>n/a</v>
      </c>
      <c r="L686" s="17" t="str">
        <f t="shared" si="2551"/>
        <v>n/a</v>
      </c>
      <c r="M686" s="17" t="str">
        <f t="shared" ref="M686:O686" si="2583">IFERROR(M761-L761,"n/a")</f>
        <v>n/a</v>
      </c>
      <c r="N686" s="17" t="str">
        <f t="shared" si="2583"/>
        <v>n/a</v>
      </c>
      <c r="O686" s="17" t="str">
        <f t="shared" si="2583"/>
        <v>n/a</v>
      </c>
      <c r="P686" s="17" t="str">
        <f t="shared" si="2553"/>
        <v>n/a</v>
      </c>
      <c r="Q686" s="17" t="str">
        <f t="shared" ref="Q686:S686" si="2584">IFERROR(Q761-P761,"n/a")</f>
        <v>n/a</v>
      </c>
      <c r="R686" s="17" t="str">
        <f t="shared" si="2584"/>
        <v>n/a</v>
      </c>
      <c r="S686" s="17" t="str">
        <f t="shared" si="2584"/>
        <v>n/a</v>
      </c>
      <c r="T686" s="17" t="str">
        <f t="shared" si="2555"/>
        <v>n/a</v>
      </c>
      <c r="U686" s="17" t="str">
        <f t="shared" ref="U686:W686" si="2585">IFERROR(U761-T761,"n/a")</f>
        <v>n/a</v>
      </c>
      <c r="V686" s="17" t="str">
        <f t="shared" si="2585"/>
        <v>n/a</v>
      </c>
      <c r="W686" s="17" t="str">
        <f t="shared" si="2585"/>
        <v>n/a</v>
      </c>
      <c r="X686" s="17" t="str">
        <f t="shared" si="2557"/>
        <v>n/a</v>
      </c>
      <c r="Y686" s="17" t="str">
        <f t="shared" ref="Y686:AA686" si="2586">IFERROR(Y761-X761,"n/a")</f>
        <v>n/a</v>
      </c>
      <c r="Z686" s="17" t="str">
        <f t="shared" si="2586"/>
        <v>n/a</v>
      </c>
      <c r="AA686" s="17" t="str">
        <f t="shared" si="2586"/>
        <v>n/a</v>
      </c>
      <c r="AB686" s="17" t="str">
        <f t="shared" si="2559"/>
        <v>n/a</v>
      </c>
      <c r="AC686" s="17" t="str">
        <f t="shared" si="2560"/>
        <v>n/a</v>
      </c>
      <c r="AD686" s="17" t="str">
        <f t="shared" si="2560"/>
        <v>n/a</v>
      </c>
      <c r="AE686" s="17" t="str">
        <f t="shared" si="2560"/>
        <v>n/a</v>
      </c>
      <c r="AF686" s="17" t="str">
        <f t="shared" si="2507"/>
        <v>n/a</v>
      </c>
      <c r="AG686" s="17" t="str">
        <f t="shared" si="2560"/>
        <v>n/a</v>
      </c>
      <c r="AO686" s="11">
        <v>0</v>
      </c>
      <c r="AP686" s="11">
        <v>-159.79</v>
      </c>
      <c r="AQ686" s="11"/>
      <c r="AR686" s="11">
        <v>-459.63200000000001</v>
      </c>
      <c r="AS686" s="11">
        <v>0</v>
      </c>
      <c r="AT686" s="11">
        <v>0</v>
      </c>
      <c r="AU686" s="11">
        <v>0</v>
      </c>
      <c r="AV686" s="17">
        <f t="shared" si="2561"/>
        <v>0</v>
      </c>
    </row>
    <row r="687" spans="2:48" ht="13.5" x14ac:dyDescent="0.35">
      <c r="B687" t="s">
        <v>97</v>
      </c>
      <c r="H687" s="36" t="str">
        <f t="shared" si="2549"/>
        <v>n/a</v>
      </c>
      <c r="I687" s="36" t="str">
        <f t="shared" ref="I687:K687" si="2587">IFERROR(I762-H762,"n/a")</f>
        <v>n/a</v>
      </c>
      <c r="J687" s="36" t="str">
        <f t="shared" si="2587"/>
        <v>n/a</v>
      </c>
      <c r="K687" s="36" t="str">
        <f t="shared" si="2587"/>
        <v>n/a</v>
      </c>
      <c r="L687" s="36" t="str">
        <f t="shared" si="2551"/>
        <v>n/a</v>
      </c>
      <c r="M687" s="36" t="str">
        <f t="shared" ref="M687:O687" si="2588">IFERROR(M762-L762,"n/a")</f>
        <v>n/a</v>
      </c>
      <c r="N687" s="36" t="str">
        <f t="shared" si="2588"/>
        <v>n/a</v>
      </c>
      <c r="O687" s="36" t="str">
        <f t="shared" si="2588"/>
        <v>n/a</v>
      </c>
      <c r="P687" s="36" t="str">
        <f t="shared" si="2553"/>
        <v>n/a</v>
      </c>
      <c r="Q687" s="36" t="str">
        <f t="shared" ref="Q687:S687" si="2589">IFERROR(Q762-P762,"n/a")</f>
        <v>n/a</v>
      </c>
      <c r="R687" s="36" t="str">
        <f t="shared" si="2589"/>
        <v>n/a</v>
      </c>
      <c r="S687" s="36" t="str">
        <f t="shared" si="2589"/>
        <v>n/a</v>
      </c>
      <c r="T687" s="36" t="str">
        <f t="shared" si="2555"/>
        <v>n/a</v>
      </c>
      <c r="U687" s="36" t="str">
        <f t="shared" ref="U687:W687" si="2590">IFERROR(U762-T762,"n/a")</f>
        <v>n/a</v>
      </c>
      <c r="V687" s="36" t="str">
        <f t="shared" si="2590"/>
        <v>n/a</v>
      </c>
      <c r="W687" s="36" t="str">
        <f t="shared" si="2590"/>
        <v>n/a</v>
      </c>
      <c r="X687" s="36" t="str">
        <f t="shared" si="2557"/>
        <v>n/a</v>
      </c>
      <c r="Y687" s="36" t="str">
        <f t="shared" ref="Y687:AA687" si="2591">IFERROR(Y762-X762,"n/a")</f>
        <v>n/a</v>
      </c>
      <c r="Z687" s="36" t="str">
        <f t="shared" si="2591"/>
        <v>n/a</v>
      </c>
      <c r="AA687" s="36" t="str">
        <f t="shared" si="2591"/>
        <v>n/a</v>
      </c>
      <c r="AB687" s="36" t="str">
        <f t="shared" si="2559"/>
        <v>n/a</v>
      </c>
      <c r="AC687" s="36" t="str">
        <f t="shared" si="2560"/>
        <v>n/a</v>
      </c>
      <c r="AD687" s="36" t="str">
        <f t="shared" si="2560"/>
        <v>n/a</v>
      </c>
      <c r="AE687" s="36" t="str">
        <f t="shared" si="2560"/>
        <v>n/a</v>
      </c>
      <c r="AF687" s="36" t="str">
        <f t="shared" si="2507"/>
        <v>n/a</v>
      </c>
      <c r="AG687" s="36" t="str">
        <f t="shared" si="2560"/>
        <v>n/a</v>
      </c>
      <c r="AO687" s="13">
        <v>0</v>
      </c>
      <c r="AP687" s="13">
        <v>0</v>
      </c>
      <c r="AQ687" s="13">
        <v>0</v>
      </c>
      <c r="AR687" s="13">
        <v>0</v>
      </c>
      <c r="AS687" s="13">
        <v>0</v>
      </c>
      <c r="AT687" s="13">
        <v>445.03699999999998</v>
      </c>
      <c r="AU687" s="13">
        <v>0</v>
      </c>
      <c r="AV687" s="36">
        <f t="shared" si="2561"/>
        <v>129.78899999999999</v>
      </c>
    </row>
    <row r="688" spans="2:48" s="1" customFormat="1" x14ac:dyDescent="0.2">
      <c r="B688" s="38" t="s">
        <v>175</v>
      </c>
      <c r="H688" s="48">
        <f t="shared" si="2549"/>
        <v>-801.55600000000004</v>
      </c>
      <c r="I688" s="48">
        <f t="shared" ref="I688:K688" si="2592">IFERROR(I763-H763,"n/a")</f>
        <v>-291.14999999999986</v>
      </c>
      <c r="J688" s="48">
        <f t="shared" si="2592"/>
        <v>-6217.1679999999997</v>
      </c>
      <c r="K688" s="49">
        <f t="shared" si="2592"/>
        <v>-238.63500000000022</v>
      </c>
      <c r="L688" s="48">
        <f t="shared" si="2551"/>
        <v>457.47300000000001</v>
      </c>
      <c r="M688" s="48">
        <f t="shared" ref="M688:O688" si="2593">IFERROR(M763-L763,"n/a")</f>
        <v>-1139.423</v>
      </c>
      <c r="N688" s="48">
        <f t="shared" si="2593"/>
        <v>-16175.856</v>
      </c>
      <c r="O688" s="49">
        <f t="shared" si="2593"/>
        <v>-11461.871999999999</v>
      </c>
      <c r="P688" s="48">
        <f t="shared" si="2553"/>
        <v>-1584.192</v>
      </c>
      <c r="Q688" s="48">
        <f t="shared" ref="Q688:S688" si="2594">IFERROR(Q763-P763,"n/a")</f>
        <v>-9695.8179999999993</v>
      </c>
      <c r="R688" s="48">
        <f t="shared" si="2594"/>
        <v>-455.05400000000009</v>
      </c>
      <c r="S688" s="49">
        <f t="shared" si="2594"/>
        <v>-26622.837000000007</v>
      </c>
      <c r="T688" s="48">
        <f t="shared" si="2555"/>
        <v>-5621.0469999999996</v>
      </c>
      <c r="U688" s="48">
        <f t="shared" ref="U688:W688" si="2595">IFERROR(U763-T763,"n/a")</f>
        <v>-3484.0559999999996</v>
      </c>
      <c r="V688" s="48">
        <f t="shared" si="2595"/>
        <v>-13764.757000000001</v>
      </c>
      <c r="W688" s="49">
        <f t="shared" si="2595"/>
        <v>-12692.505000000005</v>
      </c>
      <c r="X688" s="48">
        <f t="shared" si="2557"/>
        <v>-4852.0889999999999</v>
      </c>
      <c r="Y688" s="48">
        <f t="shared" ref="Y688:AA688" si="2596">IFERROR(Y763-X763,"n/a")</f>
        <v>-8593.2710000000006</v>
      </c>
      <c r="Z688" s="48">
        <f t="shared" si="2596"/>
        <v>-356.39400000000023</v>
      </c>
      <c r="AA688" s="49">
        <f t="shared" si="2596"/>
        <v>-8559.9160000000084</v>
      </c>
      <c r="AB688" s="48">
        <f t="shared" si="2559"/>
        <v>-22620.246999999999</v>
      </c>
      <c r="AC688" s="48">
        <f t="shared" si="2560"/>
        <v>-11519.860000000004</v>
      </c>
      <c r="AD688" s="48">
        <f t="shared" si="2560"/>
        <v>-4820.5</v>
      </c>
      <c r="AE688" s="48">
        <f t="shared" si="2560"/>
        <v>-16470.671000000009</v>
      </c>
      <c r="AF688" s="48">
        <f t="shared" si="2507"/>
        <v>-28290.120999999999</v>
      </c>
      <c r="AG688" s="48">
        <f t="shared" si="2560"/>
        <v>-14331.978999999999</v>
      </c>
      <c r="AO688" s="48">
        <f>SUM(AO674:AO687)</f>
        <v>-307.30099999999999</v>
      </c>
      <c r="AP688" s="48">
        <f t="shared" ref="AP688" si="2597">SUM(AP674:AP687)</f>
        <v>71.65100000000001</v>
      </c>
      <c r="AQ688" s="48">
        <f t="shared" ref="AQ688" si="2598">SUM(AQ674:AQ687)</f>
        <v>-7548.509</v>
      </c>
      <c r="AR688" s="48">
        <f t="shared" ref="AR688" si="2599">SUM(AR674:AR687)</f>
        <v>-28319.678</v>
      </c>
      <c r="AS688" s="48">
        <f t="shared" ref="AS688" si="2600">SUM(AS674:AS687)</f>
        <v>-38357.901000000005</v>
      </c>
      <c r="AT688" s="48">
        <f t="shared" ref="AT688" si="2601">SUM(AT674:AT687)</f>
        <v>-35562.365000000005</v>
      </c>
      <c r="AU688" s="48">
        <f t="shared" ref="AU688" si="2602">SUM(AU674:AU687)</f>
        <v>-22361.670000000009</v>
      </c>
      <c r="AV688" s="48">
        <f t="shared" si="2561"/>
        <v>-55431.278000000013</v>
      </c>
    </row>
    <row r="689" spans="2:48" x14ac:dyDescent="0.2">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O689" s="11"/>
      <c r="AP689" s="11"/>
      <c r="AQ689" s="11"/>
      <c r="AR689" s="11"/>
      <c r="AS689" s="11"/>
      <c r="AT689" s="11"/>
      <c r="AU689" s="11"/>
      <c r="AV689" s="11"/>
    </row>
    <row r="690" spans="2:48" x14ac:dyDescent="0.2">
      <c r="B690" s="1" t="s">
        <v>176</v>
      </c>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O690" s="11"/>
      <c r="AP690" s="11"/>
      <c r="AQ690" s="11"/>
      <c r="AR690" s="11"/>
      <c r="AS690" s="11"/>
      <c r="AT690" s="11"/>
      <c r="AU690" s="11"/>
      <c r="AV690" s="11"/>
    </row>
    <row r="691" spans="2:48" x14ac:dyDescent="0.2">
      <c r="B691" t="s">
        <v>157</v>
      </c>
      <c r="H691" s="17" t="str">
        <f t="shared" ref="H691:H693" si="2603">H766</f>
        <v>n/a</v>
      </c>
      <c r="I691" s="17" t="str">
        <f t="shared" ref="I691:K691" si="2604">IFERROR(I766-H766,"n/a")</f>
        <v>n/a</v>
      </c>
      <c r="J691" s="17" t="str">
        <f t="shared" si="2604"/>
        <v>n/a</v>
      </c>
      <c r="K691" s="17" t="str">
        <f t="shared" si="2604"/>
        <v>n/a</v>
      </c>
      <c r="L691" s="17" t="str">
        <f t="shared" ref="L691:L693" si="2605">L766</f>
        <v>n/a</v>
      </c>
      <c r="M691" s="17" t="str">
        <f t="shared" ref="M691:O691" si="2606">IFERROR(M766-L766,"n/a")</f>
        <v>n/a</v>
      </c>
      <c r="N691" s="17" t="str">
        <f t="shared" si="2606"/>
        <v>n/a</v>
      </c>
      <c r="O691" s="17" t="str">
        <f t="shared" si="2606"/>
        <v>n/a</v>
      </c>
      <c r="P691" s="17" t="str">
        <f t="shared" ref="P691:P693" si="2607">P766</f>
        <v>n/a</v>
      </c>
      <c r="Q691" s="17" t="str">
        <f t="shared" ref="Q691:S691" si="2608">IFERROR(Q766-P766,"n/a")</f>
        <v>n/a</v>
      </c>
      <c r="R691" s="17" t="str">
        <f t="shared" si="2608"/>
        <v>n/a</v>
      </c>
      <c r="S691" s="17" t="str">
        <f t="shared" si="2608"/>
        <v>n/a</v>
      </c>
      <c r="T691" s="17" t="str">
        <f t="shared" ref="T691:T693" si="2609">T766</f>
        <v>n/a</v>
      </c>
      <c r="U691" s="17" t="str">
        <f t="shared" ref="U691:W691" si="2610">IFERROR(U766-T766,"n/a")</f>
        <v>n/a</v>
      </c>
      <c r="V691" s="17" t="str">
        <f t="shared" si="2610"/>
        <v>n/a</v>
      </c>
      <c r="W691" s="17" t="str">
        <f t="shared" si="2610"/>
        <v>n/a</v>
      </c>
      <c r="X691" s="17" t="str">
        <f t="shared" ref="X691:X693" si="2611">X766</f>
        <v>n/a</v>
      </c>
      <c r="Y691" s="17" t="str">
        <f t="shared" ref="Y691:AA691" si="2612">IFERROR(Y766-X766,"n/a")</f>
        <v>n/a</v>
      </c>
      <c r="Z691" s="17" t="str">
        <f t="shared" si="2612"/>
        <v>n/a</v>
      </c>
      <c r="AA691" s="17" t="str">
        <f t="shared" si="2612"/>
        <v>n/a</v>
      </c>
      <c r="AB691" s="17" t="str">
        <f t="shared" ref="AB691:AB693" si="2613">AB766</f>
        <v>n/a</v>
      </c>
      <c r="AC691" s="17" t="str">
        <f t="shared" ref="AC691:AG693" si="2614">IFERROR(AC766-AB766,"n/a")</f>
        <v>n/a</v>
      </c>
      <c r="AD691" s="17" t="str">
        <f t="shared" si="2614"/>
        <v>n/a</v>
      </c>
      <c r="AE691" s="17" t="str">
        <f t="shared" si="2614"/>
        <v>n/a</v>
      </c>
      <c r="AF691" s="17" t="str">
        <f t="shared" ref="AF691:AF707" si="2615">AF766</f>
        <v>n/a</v>
      </c>
      <c r="AG691" s="17" t="str">
        <f t="shared" si="2614"/>
        <v>n/a</v>
      </c>
      <c r="AO691" s="11">
        <v>-18.326000000000001</v>
      </c>
      <c r="AP691" s="11">
        <v>0</v>
      </c>
      <c r="AQ691" s="11">
        <v>0</v>
      </c>
      <c r="AR691" s="11">
        <v>0</v>
      </c>
      <c r="AS691" s="11">
        <v>0</v>
      </c>
      <c r="AT691" s="11">
        <v>0</v>
      </c>
      <c r="AU691" s="11">
        <v>0</v>
      </c>
      <c r="AV691" s="17">
        <f t="shared" ref="AV691:AV693" si="2616">AV766</f>
        <v>0</v>
      </c>
    </row>
    <row r="692" spans="2:48" x14ac:dyDescent="0.2">
      <c r="B692" t="s">
        <v>158</v>
      </c>
      <c r="H692" s="17" t="str">
        <f t="shared" si="2603"/>
        <v>n/a</v>
      </c>
      <c r="I692" s="17" t="str">
        <f t="shared" ref="I692:K692" si="2617">IFERROR(I767-H767,"n/a")</f>
        <v>n/a</v>
      </c>
      <c r="J692" s="17" t="str">
        <f t="shared" si="2617"/>
        <v>n/a</v>
      </c>
      <c r="K692" s="17" t="str">
        <f t="shared" si="2617"/>
        <v>n/a</v>
      </c>
      <c r="L692" s="17" t="str">
        <f t="shared" si="2605"/>
        <v>n/a</v>
      </c>
      <c r="M692" s="17" t="str">
        <f t="shared" ref="M692:O692" si="2618">IFERROR(M767-L767,"n/a")</f>
        <v>n/a</v>
      </c>
      <c r="N692" s="17" t="str">
        <f t="shared" si="2618"/>
        <v>n/a</v>
      </c>
      <c r="O692" s="17" t="str">
        <f t="shared" si="2618"/>
        <v>n/a</v>
      </c>
      <c r="P692" s="17" t="str">
        <f t="shared" si="2607"/>
        <v>n/a</v>
      </c>
      <c r="Q692" s="17" t="str">
        <f t="shared" ref="Q692:S692" si="2619">IFERROR(Q767-P767,"n/a")</f>
        <v>n/a</v>
      </c>
      <c r="R692" s="17" t="str">
        <f t="shared" si="2619"/>
        <v>n/a</v>
      </c>
      <c r="S692" s="17" t="str">
        <f t="shared" si="2619"/>
        <v>n/a</v>
      </c>
      <c r="T692" s="17" t="str">
        <f t="shared" si="2609"/>
        <v>n/a</v>
      </c>
      <c r="U692" s="17" t="str">
        <f t="shared" ref="U692:W692" si="2620">IFERROR(U767-T767,"n/a")</f>
        <v>n/a</v>
      </c>
      <c r="V692" s="17" t="str">
        <f t="shared" si="2620"/>
        <v>n/a</v>
      </c>
      <c r="W692" s="17" t="str">
        <f t="shared" si="2620"/>
        <v>n/a</v>
      </c>
      <c r="X692" s="17" t="str">
        <f t="shared" si="2611"/>
        <v>n/a</v>
      </c>
      <c r="Y692" s="17" t="str">
        <f t="shared" ref="Y692:AA692" si="2621">IFERROR(Y767-X767,"n/a")</f>
        <v>n/a</v>
      </c>
      <c r="Z692" s="17" t="str">
        <f t="shared" si="2621"/>
        <v>n/a</v>
      </c>
      <c r="AA692" s="17" t="str">
        <f t="shared" si="2621"/>
        <v>n/a</v>
      </c>
      <c r="AB692" s="17" t="str">
        <f t="shared" si="2613"/>
        <v>n/a</v>
      </c>
      <c r="AC692" s="17" t="str">
        <f t="shared" si="2614"/>
        <v>n/a</v>
      </c>
      <c r="AD692" s="17" t="str">
        <f t="shared" si="2614"/>
        <v>n/a</v>
      </c>
      <c r="AE692" s="17" t="str">
        <f t="shared" si="2614"/>
        <v>n/a</v>
      </c>
      <c r="AF692" s="17" t="str">
        <f t="shared" si="2615"/>
        <v>n/a</v>
      </c>
      <c r="AG692" s="17" t="str">
        <f t="shared" si="2614"/>
        <v>n/a</v>
      </c>
      <c r="AO692" s="11">
        <v>511.911</v>
      </c>
      <c r="AP692" s="11">
        <v>1446.9059999999999</v>
      </c>
      <c r="AQ692" s="11">
        <v>5824.5680000000002</v>
      </c>
      <c r="AR692" s="11">
        <v>0</v>
      </c>
      <c r="AS692" s="11">
        <v>0</v>
      </c>
      <c r="AT692" s="11">
        <v>0</v>
      </c>
      <c r="AU692" s="11">
        <v>0</v>
      </c>
      <c r="AV692" s="17">
        <f t="shared" si="2616"/>
        <v>0</v>
      </c>
    </row>
    <row r="693" spans="2:48" x14ac:dyDescent="0.2">
      <c r="B693" t="s">
        <v>448</v>
      </c>
      <c r="H693" s="17">
        <f t="shared" si="2603"/>
        <v>0</v>
      </c>
      <c r="I693" s="17">
        <f t="shared" ref="I693" si="2622">IFERROR(I768-H768,"n/a")</f>
        <v>0</v>
      </c>
      <c r="J693" s="17">
        <f t="shared" ref="J693" si="2623">IFERROR(J768-I768,"n/a")</f>
        <v>0</v>
      </c>
      <c r="K693" s="17">
        <f t="shared" ref="K693" si="2624">IFERROR(K768-J768,"n/a")</f>
        <v>0</v>
      </c>
      <c r="L693" s="17" t="str">
        <f t="shared" si="2605"/>
        <v>n/a</v>
      </c>
      <c r="M693" s="17" t="str">
        <f t="shared" ref="M693" si="2625">IFERROR(M768-L768,"n/a")</f>
        <v>n/a</v>
      </c>
      <c r="N693" s="17" t="str">
        <f t="shared" ref="N693" si="2626">IFERROR(N768-M768,"n/a")</f>
        <v>n/a</v>
      </c>
      <c r="O693" s="17" t="str">
        <f t="shared" ref="O693" si="2627">IFERROR(O768-N768,"n/a")</f>
        <v>n/a</v>
      </c>
      <c r="P693" s="17" t="str">
        <f t="shared" si="2607"/>
        <v>n/a</v>
      </c>
      <c r="Q693" s="17" t="str">
        <f t="shared" ref="Q693" si="2628">IFERROR(Q768-P768,"n/a")</f>
        <v>n/a</v>
      </c>
      <c r="R693" s="17" t="str">
        <f t="shared" ref="R693" si="2629">IFERROR(R768-Q768,"n/a")</f>
        <v>n/a</v>
      </c>
      <c r="S693" s="17" t="str">
        <f t="shared" ref="S693" si="2630">IFERROR(S768-R768,"n/a")</f>
        <v>n/a</v>
      </c>
      <c r="T693" s="17" t="str">
        <f t="shared" si="2609"/>
        <v>n/a</v>
      </c>
      <c r="U693" s="17" t="str">
        <f t="shared" ref="U693" si="2631">IFERROR(U768-T768,"n/a")</f>
        <v>n/a</v>
      </c>
      <c r="V693" s="17" t="str">
        <f t="shared" ref="V693" si="2632">IFERROR(V768-U768,"n/a")</f>
        <v>n/a</v>
      </c>
      <c r="W693" s="17" t="str">
        <f t="shared" ref="W693" si="2633">IFERROR(W768-V768,"n/a")</f>
        <v>n/a</v>
      </c>
      <c r="X693" s="17" t="str">
        <f t="shared" si="2611"/>
        <v>n/a</v>
      </c>
      <c r="Y693" s="17" t="str">
        <f t="shared" ref="Y693" si="2634">IFERROR(Y768-X768,"n/a")</f>
        <v>n/a</v>
      </c>
      <c r="Z693" s="17" t="str">
        <f t="shared" ref="Z693" si="2635">IFERROR(Z768-Y768,"n/a")</f>
        <v>n/a</v>
      </c>
      <c r="AA693" s="17" t="str">
        <f t="shared" ref="AA693" si="2636">IFERROR(AA768-Z768,"n/a")</f>
        <v>n/a</v>
      </c>
      <c r="AB693" s="17" t="str">
        <f t="shared" si="2613"/>
        <v>n/a</v>
      </c>
      <c r="AC693" s="17" t="str">
        <f t="shared" ref="AC693" si="2637">IFERROR(AC768-AB768,"n/a")</f>
        <v>n/a</v>
      </c>
      <c r="AD693" s="17" t="str">
        <f t="shared" ref="AD693" si="2638">IFERROR(AD768-AC768,"n/a")</f>
        <v>n/a</v>
      </c>
      <c r="AE693" s="17" t="str">
        <f t="shared" ref="AE693" si="2639">IFERROR(AE768-AD768,"n/a")</f>
        <v>n/a</v>
      </c>
      <c r="AF693" s="17" t="str">
        <f t="shared" si="2615"/>
        <v>n/a</v>
      </c>
      <c r="AG693" s="17" t="str">
        <f t="shared" si="2614"/>
        <v>n/a</v>
      </c>
      <c r="AO693" s="11">
        <v>0</v>
      </c>
      <c r="AP693" s="11">
        <v>0</v>
      </c>
      <c r="AQ693" s="11">
        <v>0</v>
      </c>
      <c r="AR693" s="11">
        <v>0</v>
      </c>
      <c r="AS693" s="11">
        <v>0</v>
      </c>
      <c r="AT693" s="11">
        <v>0</v>
      </c>
      <c r="AU693" s="11">
        <v>0</v>
      </c>
      <c r="AV693" s="17">
        <f t="shared" si="2616"/>
        <v>-8968.8169999999991</v>
      </c>
    </row>
    <row r="694" spans="2:48" x14ac:dyDescent="0.2">
      <c r="B694" t="s">
        <v>159</v>
      </c>
      <c r="H694" s="17" t="str">
        <f t="shared" ref="H694:H707" si="2640">H769</f>
        <v>n/a</v>
      </c>
      <c r="I694" s="17" t="str">
        <f t="shared" ref="I694:K694" si="2641">IFERROR(I769-H769,"n/a")</f>
        <v>n/a</v>
      </c>
      <c r="J694" s="17" t="str">
        <f t="shared" si="2641"/>
        <v>n/a</v>
      </c>
      <c r="K694" s="17" t="str">
        <f t="shared" si="2641"/>
        <v>n/a</v>
      </c>
      <c r="L694" s="17" t="str">
        <f t="shared" ref="L694:L707" si="2642">L769</f>
        <v>n/a</v>
      </c>
      <c r="M694" s="17" t="str">
        <f t="shared" ref="M694:O694" si="2643">IFERROR(M769-L769,"n/a")</f>
        <v>n/a</v>
      </c>
      <c r="N694" s="17" t="str">
        <f t="shared" si="2643"/>
        <v>n/a</v>
      </c>
      <c r="O694" s="17" t="str">
        <f t="shared" si="2643"/>
        <v>n/a</v>
      </c>
      <c r="P694" s="17" t="str">
        <f t="shared" ref="P694:P707" si="2644">P769</f>
        <v>n/a</v>
      </c>
      <c r="Q694" s="17" t="str">
        <f t="shared" ref="Q694:S694" si="2645">IFERROR(Q769-P769,"n/a")</f>
        <v>n/a</v>
      </c>
      <c r="R694" s="17" t="str">
        <f t="shared" si="2645"/>
        <v>n/a</v>
      </c>
      <c r="S694" s="17" t="str">
        <f t="shared" si="2645"/>
        <v>n/a</v>
      </c>
      <c r="T694" s="17" t="str">
        <f t="shared" ref="T694:T707" si="2646">T769</f>
        <v>n/a</v>
      </c>
      <c r="U694" s="17" t="str">
        <f t="shared" ref="U694:W694" si="2647">IFERROR(U769-T769,"n/a")</f>
        <v>n/a</v>
      </c>
      <c r="V694" s="17" t="str">
        <f t="shared" si="2647"/>
        <v>n/a</v>
      </c>
      <c r="W694" s="17" t="str">
        <f t="shared" si="2647"/>
        <v>n/a</v>
      </c>
      <c r="X694" s="17" t="str">
        <f t="shared" ref="X694:X707" si="2648">X769</f>
        <v>n/a</v>
      </c>
      <c r="Y694" s="17" t="str">
        <f t="shared" ref="Y694:AA694" si="2649">IFERROR(Y769-X769,"n/a")</f>
        <v>n/a</v>
      </c>
      <c r="Z694" s="17" t="str">
        <f t="shared" si="2649"/>
        <v>n/a</v>
      </c>
      <c r="AA694" s="17" t="str">
        <f t="shared" si="2649"/>
        <v>n/a</v>
      </c>
      <c r="AB694" s="17" t="str">
        <f t="shared" ref="AB694:AB707" si="2650">AB769</f>
        <v>n/a</v>
      </c>
      <c r="AC694" s="17" t="str">
        <f t="shared" ref="AC694:AG707" si="2651">IFERROR(AC769-AB769,"n/a")</f>
        <v>n/a</v>
      </c>
      <c r="AD694" s="17" t="str">
        <f t="shared" si="2651"/>
        <v>n/a</v>
      </c>
      <c r="AE694" s="17" t="str">
        <f t="shared" si="2651"/>
        <v>n/a</v>
      </c>
      <c r="AF694" s="17" t="str">
        <f t="shared" si="2615"/>
        <v>n/a</v>
      </c>
      <c r="AG694" s="17" t="str">
        <f t="shared" si="2651"/>
        <v>n/a</v>
      </c>
      <c r="AO694" s="11">
        <v>-7.0469999999999997</v>
      </c>
      <c r="AP694" s="11">
        <v>-15.369</v>
      </c>
      <c r="AQ694" s="11">
        <v>-3.8420000000000001</v>
      </c>
      <c r="AR694" s="11">
        <v>0</v>
      </c>
      <c r="AS694" s="11">
        <v>0</v>
      </c>
      <c r="AT694" s="11">
        <v>0</v>
      </c>
      <c r="AU694" s="11">
        <v>0</v>
      </c>
      <c r="AV694" s="17">
        <f t="shared" ref="AV694:AV707" si="2652">AV769</f>
        <v>0</v>
      </c>
    </row>
    <row r="695" spans="2:48" x14ac:dyDescent="0.2">
      <c r="B695" t="s">
        <v>160</v>
      </c>
      <c r="H695" s="17" t="str">
        <f t="shared" si="2640"/>
        <v>n/a</v>
      </c>
      <c r="I695" s="17" t="str">
        <f t="shared" ref="I695:K695" si="2653">IFERROR(I770-H770,"n/a")</f>
        <v>n/a</v>
      </c>
      <c r="J695" s="17" t="str">
        <f t="shared" si="2653"/>
        <v>n/a</v>
      </c>
      <c r="K695" s="17" t="str">
        <f t="shared" si="2653"/>
        <v>n/a</v>
      </c>
      <c r="L695" s="17" t="str">
        <f t="shared" si="2642"/>
        <v>n/a</v>
      </c>
      <c r="M695" s="17" t="str">
        <f t="shared" ref="M695:O695" si="2654">IFERROR(M770-L770,"n/a")</f>
        <v>n/a</v>
      </c>
      <c r="N695" s="17" t="str">
        <f t="shared" si="2654"/>
        <v>n/a</v>
      </c>
      <c r="O695" s="17" t="str">
        <f t="shared" si="2654"/>
        <v>n/a</v>
      </c>
      <c r="P695" s="17" t="str">
        <f t="shared" si="2644"/>
        <v>n/a</v>
      </c>
      <c r="Q695" s="17" t="str">
        <f t="shared" ref="Q695:S695" si="2655">IFERROR(Q770-P770,"n/a")</f>
        <v>n/a</v>
      </c>
      <c r="R695" s="17" t="str">
        <f t="shared" si="2655"/>
        <v>n/a</v>
      </c>
      <c r="S695" s="17" t="str">
        <f t="shared" si="2655"/>
        <v>n/a</v>
      </c>
      <c r="T695" s="17" t="str">
        <f t="shared" si="2646"/>
        <v>n/a</v>
      </c>
      <c r="U695" s="17" t="str">
        <f t="shared" ref="U695:W695" si="2656">IFERROR(U770-T770,"n/a")</f>
        <v>n/a</v>
      </c>
      <c r="V695" s="17" t="str">
        <f t="shared" si="2656"/>
        <v>n/a</v>
      </c>
      <c r="W695" s="17" t="str">
        <f t="shared" si="2656"/>
        <v>n/a</v>
      </c>
      <c r="X695" s="17" t="str">
        <f t="shared" si="2648"/>
        <v>n/a</v>
      </c>
      <c r="Y695" s="17" t="str">
        <f t="shared" ref="Y695:AA695" si="2657">IFERROR(Y770-X770,"n/a")</f>
        <v>n/a</v>
      </c>
      <c r="Z695" s="17" t="str">
        <f t="shared" si="2657"/>
        <v>n/a</v>
      </c>
      <c r="AA695" s="17" t="str">
        <f t="shared" si="2657"/>
        <v>n/a</v>
      </c>
      <c r="AB695" s="17" t="str">
        <f t="shared" si="2650"/>
        <v>n/a</v>
      </c>
      <c r="AC695" s="17" t="str">
        <f t="shared" si="2651"/>
        <v>n/a</v>
      </c>
      <c r="AD695" s="17" t="str">
        <f t="shared" si="2651"/>
        <v>n/a</v>
      </c>
      <c r="AE695" s="17" t="str">
        <f t="shared" si="2651"/>
        <v>n/a</v>
      </c>
      <c r="AF695" s="17" t="str">
        <f t="shared" si="2615"/>
        <v>n/a</v>
      </c>
      <c r="AG695" s="17" t="str">
        <f t="shared" si="2651"/>
        <v>n/a</v>
      </c>
      <c r="AO695" s="11">
        <v>0</v>
      </c>
      <c r="AP695" s="11">
        <v>0</v>
      </c>
      <c r="AQ695" s="11">
        <v>-356.31299999999999</v>
      </c>
      <c r="AR695" s="11">
        <v>0</v>
      </c>
      <c r="AS695" s="11">
        <v>0</v>
      </c>
      <c r="AT695" s="11">
        <v>0</v>
      </c>
      <c r="AU695" s="11">
        <v>0</v>
      </c>
      <c r="AV695" s="17">
        <f t="shared" si="2652"/>
        <v>0</v>
      </c>
    </row>
    <row r="696" spans="2:48" x14ac:dyDescent="0.2">
      <c r="B696" t="s">
        <v>161</v>
      </c>
      <c r="H696" s="17" t="str">
        <f t="shared" si="2640"/>
        <v>n/a</v>
      </c>
      <c r="I696" s="17" t="str">
        <f t="shared" ref="I696:K696" si="2658">IFERROR(I771-H771,"n/a")</f>
        <v>n/a</v>
      </c>
      <c r="J696" s="17" t="str">
        <f t="shared" si="2658"/>
        <v>n/a</v>
      </c>
      <c r="K696" s="17" t="str">
        <f t="shared" si="2658"/>
        <v>n/a</v>
      </c>
      <c r="L696" s="17" t="str">
        <f t="shared" si="2642"/>
        <v>n/a</v>
      </c>
      <c r="M696" s="17" t="str">
        <f t="shared" ref="M696:O696" si="2659">IFERROR(M771-L771,"n/a")</f>
        <v>n/a</v>
      </c>
      <c r="N696" s="17" t="str">
        <f t="shared" si="2659"/>
        <v>n/a</v>
      </c>
      <c r="O696" s="17" t="str">
        <f t="shared" si="2659"/>
        <v>n/a</v>
      </c>
      <c r="P696" s="17" t="str">
        <f t="shared" si="2644"/>
        <v>n/a</v>
      </c>
      <c r="Q696" s="17" t="str">
        <f t="shared" ref="Q696:S696" si="2660">IFERROR(Q771-P771,"n/a")</f>
        <v>n/a</v>
      </c>
      <c r="R696" s="17" t="str">
        <f t="shared" si="2660"/>
        <v>n/a</v>
      </c>
      <c r="S696" s="17" t="str">
        <f t="shared" si="2660"/>
        <v>n/a</v>
      </c>
      <c r="T696" s="17" t="str">
        <f t="shared" si="2646"/>
        <v>n/a</v>
      </c>
      <c r="U696" s="17" t="str">
        <f t="shared" ref="U696:W696" si="2661">IFERROR(U771-T771,"n/a")</f>
        <v>n/a</v>
      </c>
      <c r="V696" s="17" t="str">
        <f t="shared" si="2661"/>
        <v>n/a</v>
      </c>
      <c r="W696" s="17" t="str">
        <f t="shared" si="2661"/>
        <v>n/a</v>
      </c>
      <c r="X696" s="17" t="str">
        <f t="shared" si="2648"/>
        <v>n/a</v>
      </c>
      <c r="Y696" s="17" t="str">
        <f t="shared" ref="Y696:AA696" si="2662">IFERROR(Y771-X771,"n/a")</f>
        <v>n/a</v>
      </c>
      <c r="Z696" s="17" t="str">
        <f t="shared" si="2662"/>
        <v>n/a</v>
      </c>
      <c r="AA696" s="17" t="str">
        <f t="shared" si="2662"/>
        <v>n/a</v>
      </c>
      <c r="AB696" s="17" t="str">
        <f t="shared" si="2650"/>
        <v>n/a</v>
      </c>
      <c r="AC696" s="17" t="str">
        <f t="shared" si="2651"/>
        <v>n/a</v>
      </c>
      <c r="AD696" s="17" t="str">
        <f t="shared" si="2651"/>
        <v>n/a</v>
      </c>
      <c r="AE696" s="17" t="str">
        <f t="shared" si="2651"/>
        <v>n/a</v>
      </c>
      <c r="AF696" s="17" t="str">
        <f t="shared" si="2615"/>
        <v>n/a</v>
      </c>
      <c r="AG696" s="17" t="str">
        <f t="shared" si="2651"/>
        <v>n/a</v>
      </c>
      <c r="AO696" s="11">
        <v>0</v>
      </c>
      <c r="AP696" s="11">
        <v>0</v>
      </c>
      <c r="AQ696" s="11">
        <v>0</v>
      </c>
      <c r="AR696" s="11">
        <v>8194.5969999999998</v>
      </c>
      <c r="AS696" s="11">
        <v>26805.437999999998</v>
      </c>
      <c r="AT696" s="11">
        <v>0</v>
      </c>
      <c r="AU696" s="11">
        <v>0</v>
      </c>
      <c r="AV696" s="17">
        <f t="shared" si="2652"/>
        <v>0</v>
      </c>
    </row>
    <row r="697" spans="2:48" x14ac:dyDescent="0.2">
      <c r="B697" t="s">
        <v>162</v>
      </c>
      <c r="H697" s="17" t="str">
        <f t="shared" si="2640"/>
        <v>n/a</v>
      </c>
      <c r="I697" s="17" t="str">
        <f t="shared" ref="I697:K697" si="2663">IFERROR(I772-H772,"n/a")</f>
        <v>n/a</v>
      </c>
      <c r="J697" s="17" t="str">
        <f t="shared" si="2663"/>
        <v>n/a</v>
      </c>
      <c r="K697" s="17" t="str">
        <f t="shared" si="2663"/>
        <v>n/a</v>
      </c>
      <c r="L697" s="17" t="str">
        <f t="shared" si="2642"/>
        <v>n/a</v>
      </c>
      <c r="M697" s="17" t="str">
        <f t="shared" ref="M697:O697" si="2664">IFERROR(M772-L772,"n/a")</f>
        <v>n/a</v>
      </c>
      <c r="N697" s="17" t="str">
        <f t="shared" si="2664"/>
        <v>n/a</v>
      </c>
      <c r="O697" s="17" t="str">
        <f t="shared" si="2664"/>
        <v>n/a</v>
      </c>
      <c r="P697" s="17" t="str">
        <f t="shared" si="2644"/>
        <v>n/a</v>
      </c>
      <c r="Q697" s="17" t="str">
        <f t="shared" ref="Q697:S697" si="2665">IFERROR(Q772-P772,"n/a")</f>
        <v>n/a</v>
      </c>
      <c r="R697" s="17" t="str">
        <f t="shared" si="2665"/>
        <v>n/a</v>
      </c>
      <c r="S697" s="17" t="str">
        <f t="shared" si="2665"/>
        <v>n/a</v>
      </c>
      <c r="T697" s="17" t="str">
        <f t="shared" si="2646"/>
        <v>n/a</v>
      </c>
      <c r="U697" s="17" t="str">
        <f t="shared" ref="U697:W697" si="2666">IFERROR(U772-T772,"n/a")</f>
        <v>n/a</v>
      </c>
      <c r="V697" s="17" t="str">
        <f t="shared" si="2666"/>
        <v>n/a</v>
      </c>
      <c r="W697" s="17" t="str">
        <f t="shared" si="2666"/>
        <v>n/a</v>
      </c>
      <c r="X697" s="17" t="str">
        <f t="shared" si="2648"/>
        <v>n/a</v>
      </c>
      <c r="Y697" s="17" t="str">
        <f t="shared" ref="Y697:AA697" si="2667">IFERROR(Y772-X772,"n/a")</f>
        <v>n/a</v>
      </c>
      <c r="Z697" s="17" t="str">
        <f t="shared" si="2667"/>
        <v>n/a</v>
      </c>
      <c r="AA697" s="17" t="str">
        <f t="shared" si="2667"/>
        <v>n/a</v>
      </c>
      <c r="AB697" s="17" t="str">
        <f t="shared" si="2650"/>
        <v>n/a</v>
      </c>
      <c r="AC697" s="17" t="str">
        <f t="shared" si="2651"/>
        <v>n/a</v>
      </c>
      <c r="AD697" s="17" t="str">
        <f t="shared" si="2651"/>
        <v>n/a</v>
      </c>
      <c r="AE697" s="17" t="str">
        <f t="shared" si="2651"/>
        <v>n/a</v>
      </c>
      <c r="AF697" s="17" t="str">
        <f t="shared" si="2615"/>
        <v>n/a</v>
      </c>
      <c r="AG697" s="17" t="str">
        <f t="shared" si="2651"/>
        <v>n/a</v>
      </c>
      <c r="AO697" s="11">
        <v>0</v>
      </c>
      <c r="AP697" s="11">
        <v>0</v>
      </c>
      <c r="AQ697" s="11">
        <v>0</v>
      </c>
      <c r="AR697" s="11"/>
      <c r="AS697" s="11">
        <v>11063.339</v>
      </c>
      <c r="AT697" s="11">
        <v>0</v>
      </c>
      <c r="AU697" s="11">
        <v>0</v>
      </c>
      <c r="AV697" s="17">
        <f t="shared" si="2652"/>
        <v>0</v>
      </c>
    </row>
    <row r="698" spans="2:48" x14ac:dyDescent="0.2">
      <c r="B698" t="s">
        <v>163</v>
      </c>
      <c r="H698" s="17" t="str">
        <f t="shared" si="2640"/>
        <v>n/a</v>
      </c>
      <c r="I698" s="17" t="str">
        <f t="shared" ref="I698:K698" si="2668">IFERROR(I773-H773,"n/a")</f>
        <v>n/a</v>
      </c>
      <c r="J698" s="17" t="str">
        <f t="shared" si="2668"/>
        <v>n/a</v>
      </c>
      <c r="K698" s="17" t="str">
        <f t="shared" si="2668"/>
        <v>n/a</v>
      </c>
      <c r="L698" s="17" t="str">
        <f t="shared" si="2642"/>
        <v>n/a</v>
      </c>
      <c r="M698" s="17" t="str">
        <f t="shared" ref="M698:O698" si="2669">IFERROR(M773-L773,"n/a")</f>
        <v>n/a</v>
      </c>
      <c r="N698" s="17" t="str">
        <f t="shared" si="2669"/>
        <v>n/a</v>
      </c>
      <c r="O698" s="17" t="str">
        <f t="shared" si="2669"/>
        <v>n/a</v>
      </c>
      <c r="P698" s="17" t="str">
        <f t="shared" si="2644"/>
        <v>n/a</v>
      </c>
      <c r="Q698" s="17" t="str">
        <f t="shared" ref="Q698:S698" si="2670">IFERROR(Q773-P773,"n/a")</f>
        <v>n/a</v>
      </c>
      <c r="R698" s="17" t="str">
        <f t="shared" si="2670"/>
        <v>n/a</v>
      </c>
      <c r="S698" s="17" t="str">
        <f t="shared" si="2670"/>
        <v>n/a</v>
      </c>
      <c r="T698" s="17" t="str">
        <f t="shared" si="2646"/>
        <v>n/a</v>
      </c>
      <c r="U698" s="17" t="str">
        <f t="shared" ref="U698:W698" si="2671">IFERROR(U773-T773,"n/a")</f>
        <v>n/a</v>
      </c>
      <c r="V698" s="17" t="str">
        <f t="shared" si="2671"/>
        <v>n/a</v>
      </c>
      <c r="W698" s="17" t="str">
        <f t="shared" si="2671"/>
        <v>n/a</v>
      </c>
      <c r="X698" s="17" t="str">
        <f t="shared" si="2648"/>
        <v>n/a</v>
      </c>
      <c r="Y698" s="17" t="str">
        <f t="shared" ref="Y698:AA698" si="2672">IFERROR(Y773-X773,"n/a")</f>
        <v>n/a</v>
      </c>
      <c r="Z698" s="17" t="str">
        <f t="shared" si="2672"/>
        <v>n/a</v>
      </c>
      <c r="AA698" s="17" t="str">
        <f t="shared" si="2672"/>
        <v>n/a</v>
      </c>
      <c r="AB698" s="17" t="str">
        <f t="shared" si="2650"/>
        <v>n/a</v>
      </c>
      <c r="AC698" s="17" t="str">
        <f t="shared" si="2651"/>
        <v>n/a</v>
      </c>
      <c r="AD698" s="17" t="str">
        <f t="shared" si="2651"/>
        <v>n/a</v>
      </c>
      <c r="AE698" s="17" t="str">
        <f t="shared" si="2651"/>
        <v>n/a</v>
      </c>
      <c r="AF698" s="17" t="str">
        <f t="shared" si="2615"/>
        <v>n/a</v>
      </c>
      <c r="AG698" s="17" t="str">
        <f t="shared" si="2651"/>
        <v>n/a</v>
      </c>
      <c r="AO698" s="11">
        <v>0</v>
      </c>
      <c r="AP698" s="11">
        <v>0</v>
      </c>
      <c r="AQ698" s="11">
        <v>0</v>
      </c>
      <c r="AR698" s="11">
        <v>-200.76900000000001</v>
      </c>
      <c r="AS698" s="11">
        <v>0</v>
      </c>
      <c r="AT698" s="11">
        <v>0</v>
      </c>
      <c r="AU698" s="11">
        <v>0</v>
      </c>
      <c r="AV698" s="17">
        <f t="shared" si="2652"/>
        <v>0</v>
      </c>
    </row>
    <row r="699" spans="2:48" x14ac:dyDescent="0.2">
      <c r="B699" t="s">
        <v>164</v>
      </c>
      <c r="H699" s="17" t="str">
        <f t="shared" si="2640"/>
        <v>n/a</v>
      </c>
      <c r="I699" s="17" t="str">
        <f t="shared" ref="I699:K699" si="2673">IFERROR(I774-H774,"n/a")</f>
        <v>n/a</v>
      </c>
      <c r="J699" s="17" t="str">
        <f t="shared" si="2673"/>
        <v>n/a</v>
      </c>
      <c r="K699" s="17" t="str">
        <f t="shared" si="2673"/>
        <v>n/a</v>
      </c>
      <c r="L699" s="17" t="str">
        <f t="shared" si="2642"/>
        <v>n/a</v>
      </c>
      <c r="M699" s="17" t="str">
        <f t="shared" ref="M699:O699" si="2674">IFERROR(M774-L774,"n/a")</f>
        <v>n/a</v>
      </c>
      <c r="N699" s="17" t="str">
        <f t="shared" si="2674"/>
        <v>n/a</v>
      </c>
      <c r="O699" s="17" t="str">
        <f t="shared" si="2674"/>
        <v>n/a</v>
      </c>
      <c r="P699" s="17" t="str">
        <f t="shared" si="2644"/>
        <v>n/a</v>
      </c>
      <c r="Q699" s="17" t="str">
        <f t="shared" ref="Q699:S699" si="2675">IFERROR(Q774-P774,"n/a")</f>
        <v>n/a</v>
      </c>
      <c r="R699" s="17" t="str">
        <f t="shared" si="2675"/>
        <v>n/a</v>
      </c>
      <c r="S699" s="17" t="str">
        <f t="shared" si="2675"/>
        <v>n/a</v>
      </c>
      <c r="T699" s="17" t="str">
        <f t="shared" si="2646"/>
        <v>n/a</v>
      </c>
      <c r="U699" s="17" t="str">
        <f t="shared" ref="U699:W699" si="2676">IFERROR(U774-T774,"n/a")</f>
        <v>n/a</v>
      </c>
      <c r="V699" s="17" t="str">
        <f t="shared" si="2676"/>
        <v>n/a</v>
      </c>
      <c r="W699" s="17" t="str">
        <f t="shared" si="2676"/>
        <v>n/a</v>
      </c>
      <c r="X699" s="17" t="str">
        <f t="shared" si="2648"/>
        <v>n/a</v>
      </c>
      <c r="Y699" s="17" t="str">
        <f t="shared" ref="Y699:AA699" si="2677">IFERROR(Y774-X774,"n/a")</f>
        <v>n/a</v>
      </c>
      <c r="Z699" s="17" t="str">
        <f t="shared" si="2677"/>
        <v>n/a</v>
      </c>
      <c r="AA699" s="17" t="str">
        <f t="shared" si="2677"/>
        <v>n/a</v>
      </c>
      <c r="AB699" s="17" t="str">
        <f t="shared" si="2650"/>
        <v>n/a</v>
      </c>
      <c r="AC699" s="17" t="str">
        <f t="shared" si="2651"/>
        <v>n/a</v>
      </c>
      <c r="AD699" s="17" t="str">
        <f t="shared" si="2651"/>
        <v>n/a</v>
      </c>
      <c r="AE699" s="17" t="str">
        <f t="shared" si="2651"/>
        <v>n/a</v>
      </c>
      <c r="AF699" s="17" t="str">
        <f t="shared" si="2615"/>
        <v>n/a</v>
      </c>
      <c r="AG699" s="17" t="str">
        <f t="shared" si="2651"/>
        <v>n/a</v>
      </c>
      <c r="AO699" s="11">
        <v>0</v>
      </c>
      <c r="AP699" s="11">
        <v>0</v>
      </c>
      <c r="AQ699" s="11">
        <v>0</v>
      </c>
      <c r="AR699" s="11">
        <v>7073.1009999999997</v>
      </c>
      <c r="AS699" s="11">
        <v>13024.199000000001</v>
      </c>
      <c r="AT699" s="11">
        <v>0</v>
      </c>
      <c r="AU699" s="11">
        <v>0</v>
      </c>
      <c r="AV699" s="17">
        <f t="shared" si="2652"/>
        <v>0</v>
      </c>
    </row>
    <row r="700" spans="2:48" x14ac:dyDescent="0.2">
      <c r="B700" t="s">
        <v>165</v>
      </c>
      <c r="H700" s="17" t="str">
        <f t="shared" si="2640"/>
        <v>n/a</v>
      </c>
      <c r="I700" s="17" t="str">
        <f t="shared" ref="I700:K700" si="2678">IFERROR(I775-H775,"n/a")</f>
        <v>n/a</v>
      </c>
      <c r="J700" s="17" t="str">
        <f t="shared" si="2678"/>
        <v>n/a</v>
      </c>
      <c r="K700" s="17" t="str">
        <f t="shared" si="2678"/>
        <v>n/a</v>
      </c>
      <c r="L700" s="17" t="str">
        <f t="shared" si="2642"/>
        <v>n/a</v>
      </c>
      <c r="M700" s="17" t="str">
        <f t="shared" ref="M700:O700" si="2679">IFERROR(M775-L775,"n/a")</f>
        <v>n/a</v>
      </c>
      <c r="N700" s="17" t="str">
        <f t="shared" si="2679"/>
        <v>n/a</v>
      </c>
      <c r="O700" s="17" t="str">
        <f t="shared" si="2679"/>
        <v>n/a</v>
      </c>
      <c r="P700" s="17" t="str">
        <f t="shared" si="2644"/>
        <v>n/a</v>
      </c>
      <c r="Q700" s="17" t="str">
        <f t="shared" ref="Q700:S700" si="2680">IFERROR(Q775-P775,"n/a")</f>
        <v>n/a</v>
      </c>
      <c r="R700" s="17" t="str">
        <f t="shared" si="2680"/>
        <v>n/a</v>
      </c>
      <c r="S700" s="17" t="str">
        <f t="shared" si="2680"/>
        <v>n/a</v>
      </c>
      <c r="T700" s="17" t="str">
        <f t="shared" si="2646"/>
        <v>n/a</v>
      </c>
      <c r="U700" s="17" t="str">
        <f t="shared" ref="U700:W700" si="2681">IFERROR(U775-T775,"n/a")</f>
        <v>n/a</v>
      </c>
      <c r="V700" s="17" t="str">
        <f t="shared" si="2681"/>
        <v>n/a</v>
      </c>
      <c r="W700" s="17" t="str">
        <f t="shared" si="2681"/>
        <v>n/a</v>
      </c>
      <c r="X700" s="17" t="str">
        <f t="shared" si="2648"/>
        <v>n/a</v>
      </c>
      <c r="Y700" s="17" t="str">
        <f t="shared" ref="Y700:AA700" si="2682">IFERROR(Y775-X775,"n/a")</f>
        <v>n/a</v>
      </c>
      <c r="Z700" s="17" t="str">
        <f t="shared" si="2682"/>
        <v>n/a</v>
      </c>
      <c r="AA700" s="17" t="str">
        <f t="shared" si="2682"/>
        <v>n/a</v>
      </c>
      <c r="AB700" s="17" t="str">
        <f t="shared" si="2650"/>
        <v>n/a</v>
      </c>
      <c r="AC700" s="17" t="str">
        <f t="shared" si="2651"/>
        <v>n/a</v>
      </c>
      <c r="AD700" s="17" t="str">
        <f t="shared" si="2651"/>
        <v>n/a</v>
      </c>
      <c r="AE700" s="17" t="str">
        <f t="shared" si="2651"/>
        <v>n/a</v>
      </c>
      <c r="AF700" s="17" t="str">
        <f t="shared" si="2615"/>
        <v>n/a</v>
      </c>
      <c r="AG700" s="17" t="str">
        <f t="shared" si="2651"/>
        <v>n/a</v>
      </c>
      <c r="AO700" s="11">
        <v>0</v>
      </c>
      <c r="AP700" s="11">
        <v>0</v>
      </c>
      <c r="AQ700" s="11">
        <v>0</v>
      </c>
      <c r="AR700" s="11">
        <v>-109.22</v>
      </c>
      <c r="AS700" s="11">
        <v>0</v>
      </c>
      <c r="AT700" s="11">
        <v>0</v>
      </c>
      <c r="AU700" s="11">
        <v>0</v>
      </c>
      <c r="AV700" s="17">
        <f t="shared" si="2652"/>
        <v>0</v>
      </c>
    </row>
    <row r="701" spans="2:48" x14ac:dyDescent="0.2">
      <c r="B701" t="s">
        <v>166</v>
      </c>
      <c r="H701" s="17" t="str">
        <f t="shared" si="2640"/>
        <v>n/a</v>
      </c>
      <c r="I701" s="17" t="str">
        <f t="shared" ref="I701:K701" si="2683">IFERROR(I776-H776,"n/a")</f>
        <v>n/a</v>
      </c>
      <c r="J701" s="17" t="str">
        <f t="shared" si="2683"/>
        <v>n/a</v>
      </c>
      <c r="K701" s="17" t="str">
        <f t="shared" si="2683"/>
        <v>n/a</v>
      </c>
      <c r="L701" s="17" t="str">
        <f t="shared" si="2642"/>
        <v>n/a</v>
      </c>
      <c r="M701" s="17" t="str">
        <f t="shared" ref="M701:O701" si="2684">IFERROR(M776-L776,"n/a")</f>
        <v>n/a</v>
      </c>
      <c r="N701" s="17" t="str">
        <f t="shared" si="2684"/>
        <v>n/a</v>
      </c>
      <c r="O701" s="17" t="str">
        <f t="shared" si="2684"/>
        <v>n/a</v>
      </c>
      <c r="P701" s="17" t="str">
        <f t="shared" si="2644"/>
        <v>n/a</v>
      </c>
      <c r="Q701" s="17" t="str">
        <f t="shared" ref="Q701:S701" si="2685">IFERROR(Q776-P776,"n/a")</f>
        <v>n/a</v>
      </c>
      <c r="R701" s="17" t="str">
        <f t="shared" si="2685"/>
        <v>n/a</v>
      </c>
      <c r="S701" s="17" t="str">
        <f t="shared" si="2685"/>
        <v>n/a</v>
      </c>
      <c r="T701" s="17" t="str">
        <f t="shared" si="2646"/>
        <v>n/a</v>
      </c>
      <c r="U701" s="17" t="str">
        <f t="shared" ref="U701:W701" si="2686">IFERROR(U776-T776,"n/a")</f>
        <v>n/a</v>
      </c>
      <c r="V701" s="17" t="str">
        <f t="shared" si="2686"/>
        <v>n/a</v>
      </c>
      <c r="W701" s="17" t="str">
        <f t="shared" si="2686"/>
        <v>n/a</v>
      </c>
      <c r="X701" s="17" t="str">
        <f t="shared" si="2648"/>
        <v>n/a</v>
      </c>
      <c r="Y701" s="17" t="str">
        <f t="shared" ref="Y701:AA701" si="2687">IFERROR(Y776-X776,"n/a")</f>
        <v>n/a</v>
      </c>
      <c r="Z701" s="17" t="str">
        <f t="shared" si="2687"/>
        <v>n/a</v>
      </c>
      <c r="AA701" s="17" t="str">
        <f t="shared" si="2687"/>
        <v>n/a</v>
      </c>
      <c r="AB701" s="17" t="str">
        <f t="shared" si="2650"/>
        <v>n/a</v>
      </c>
      <c r="AC701" s="17" t="str">
        <f t="shared" si="2651"/>
        <v>n/a</v>
      </c>
      <c r="AD701" s="17" t="str">
        <f t="shared" si="2651"/>
        <v>n/a</v>
      </c>
      <c r="AE701" s="17" t="str">
        <f t="shared" si="2651"/>
        <v>n/a</v>
      </c>
      <c r="AF701" s="17" t="str">
        <f t="shared" si="2615"/>
        <v>n/a</v>
      </c>
      <c r="AG701" s="17" t="str">
        <f t="shared" si="2651"/>
        <v>n/a</v>
      </c>
      <c r="AO701" s="11">
        <v>0</v>
      </c>
      <c r="AP701" s="11">
        <v>0</v>
      </c>
      <c r="AQ701" s="11">
        <v>0</v>
      </c>
      <c r="AR701" s="11">
        <v>897.02200000000005</v>
      </c>
      <c r="AS701" s="11">
        <v>1828.923</v>
      </c>
      <c r="AT701" s="11">
        <v>0</v>
      </c>
      <c r="AU701" s="11">
        <v>0</v>
      </c>
      <c r="AV701" s="17">
        <f t="shared" si="2652"/>
        <v>0</v>
      </c>
    </row>
    <row r="702" spans="2:48" x14ac:dyDescent="0.2">
      <c r="B702" t="s">
        <v>167</v>
      </c>
      <c r="H702" s="17" t="str">
        <f t="shared" si="2640"/>
        <v>n/a</v>
      </c>
      <c r="I702" s="17" t="str">
        <f t="shared" ref="I702:K702" si="2688">IFERROR(I777-H777,"n/a")</f>
        <v>n/a</v>
      </c>
      <c r="J702" s="17" t="str">
        <f t="shared" si="2688"/>
        <v>n/a</v>
      </c>
      <c r="K702" s="17" t="str">
        <f t="shared" si="2688"/>
        <v>n/a</v>
      </c>
      <c r="L702" s="17" t="str">
        <f t="shared" si="2642"/>
        <v>n/a</v>
      </c>
      <c r="M702" s="17" t="str">
        <f t="shared" ref="M702:O702" si="2689">IFERROR(M777-L777,"n/a")</f>
        <v>n/a</v>
      </c>
      <c r="N702" s="17" t="str">
        <f t="shared" si="2689"/>
        <v>n/a</v>
      </c>
      <c r="O702" s="17" t="str">
        <f t="shared" si="2689"/>
        <v>n/a</v>
      </c>
      <c r="P702" s="17" t="str">
        <f t="shared" si="2644"/>
        <v>n/a</v>
      </c>
      <c r="Q702" s="17" t="str">
        <f t="shared" ref="Q702:S702" si="2690">IFERROR(Q777-P777,"n/a")</f>
        <v>n/a</v>
      </c>
      <c r="R702" s="17" t="str">
        <f t="shared" si="2690"/>
        <v>n/a</v>
      </c>
      <c r="S702" s="17" t="str">
        <f t="shared" si="2690"/>
        <v>n/a</v>
      </c>
      <c r="T702" s="17" t="str">
        <f t="shared" si="2646"/>
        <v>n/a</v>
      </c>
      <c r="U702" s="17" t="str">
        <f t="shared" ref="U702:W702" si="2691">IFERROR(U777-T777,"n/a")</f>
        <v>n/a</v>
      </c>
      <c r="V702" s="17" t="str">
        <f t="shared" si="2691"/>
        <v>n/a</v>
      </c>
      <c r="W702" s="17" t="str">
        <f t="shared" si="2691"/>
        <v>n/a</v>
      </c>
      <c r="X702" s="17" t="str">
        <f t="shared" si="2648"/>
        <v>n/a</v>
      </c>
      <c r="Y702" s="17" t="str">
        <f t="shared" ref="Y702:AA702" si="2692">IFERROR(Y777-X777,"n/a")</f>
        <v>n/a</v>
      </c>
      <c r="Z702" s="17" t="str">
        <f t="shared" si="2692"/>
        <v>n/a</v>
      </c>
      <c r="AA702" s="17" t="str">
        <f t="shared" si="2692"/>
        <v>n/a</v>
      </c>
      <c r="AB702" s="17" t="str">
        <f t="shared" si="2650"/>
        <v>n/a</v>
      </c>
      <c r="AC702" s="17" t="str">
        <f t="shared" si="2651"/>
        <v>n/a</v>
      </c>
      <c r="AD702" s="17" t="str">
        <f t="shared" si="2651"/>
        <v>n/a</v>
      </c>
      <c r="AE702" s="17" t="str">
        <f t="shared" si="2651"/>
        <v>n/a</v>
      </c>
      <c r="AF702" s="17" t="str">
        <f t="shared" si="2615"/>
        <v>n/a</v>
      </c>
      <c r="AG702" s="17" t="str">
        <f t="shared" si="2651"/>
        <v>n/a</v>
      </c>
      <c r="AO702" s="11">
        <v>0</v>
      </c>
      <c r="AP702" s="11">
        <v>0</v>
      </c>
      <c r="AQ702" s="11">
        <v>0</v>
      </c>
      <c r="AR702" s="11">
        <v>0</v>
      </c>
      <c r="AS702" s="11">
        <v>-922.89700000000005</v>
      </c>
      <c r="AT702" s="11">
        <v>-1875.472</v>
      </c>
      <c r="AU702" s="11">
        <v>0</v>
      </c>
      <c r="AV702" s="17">
        <f t="shared" si="2652"/>
        <v>0</v>
      </c>
    </row>
    <row r="703" spans="2:48" x14ac:dyDescent="0.2">
      <c r="B703" t="s">
        <v>168</v>
      </c>
      <c r="H703" s="17" t="str">
        <f t="shared" si="2640"/>
        <v>n/a</v>
      </c>
      <c r="I703" s="17" t="str">
        <f t="shared" ref="I703:K703" si="2693">IFERROR(I778-H778,"n/a")</f>
        <v>n/a</v>
      </c>
      <c r="J703" s="17" t="str">
        <f t="shared" si="2693"/>
        <v>n/a</v>
      </c>
      <c r="K703" s="17" t="str">
        <f t="shared" si="2693"/>
        <v>n/a</v>
      </c>
      <c r="L703" s="17" t="str">
        <f t="shared" si="2642"/>
        <v>n/a</v>
      </c>
      <c r="M703" s="17" t="str">
        <f t="shared" ref="M703:O703" si="2694">IFERROR(M778-L778,"n/a")</f>
        <v>n/a</v>
      </c>
      <c r="N703" s="17" t="str">
        <f t="shared" si="2694"/>
        <v>n/a</v>
      </c>
      <c r="O703" s="17" t="str">
        <f t="shared" si="2694"/>
        <v>n/a</v>
      </c>
      <c r="P703" s="17" t="str">
        <f t="shared" si="2644"/>
        <v>n/a</v>
      </c>
      <c r="Q703" s="17" t="str">
        <f t="shared" ref="Q703:S703" si="2695">IFERROR(Q778-P778,"n/a")</f>
        <v>n/a</v>
      </c>
      <c r="R703" s="17" t="str">
        <f t="shared" si="2695"/>
        <v>n/a</v>
      </c>
      <c r="S703" s="17" t="str">
        <f t="shared" si="2695"/>
        <v>n/a</v>
      </c>
      <c r="T703" s="17" t="str">
        <f t="shared" si="2646"/>
        <v>n/a</v>
      </c>
      <c r="U703" s="17" t="str">
        <f t="shared" ref="U703:W703" si="2696">IFERROR(U778-T778,"n/a")</f>
        <v>n/a</v>
      </c>
      <c r="V703" s="17" t="str">
        <f t="shared" si="2696"/>
        <v>n/a</v>
      </c>
      <c r="W703" s="17" t="str">
        <f t="shared" si="2696"/>
        <v>n/a</v>
      </c>
      <c r="X703" s="17" t="str">
        <f t="shared" si="2648"/>
        <v>n/a</v>
      </c>
      <c r="Y703" s="17" t="str">
        <f t="shared" ref="Y703:AA703" si="2697">IFERROR(Y778-X778,"n/a")</f>
        <v>n/a</v>
      </c>
      <c r="Z703" s="17" t="str">
        <f t="shared" si="2697"/>
        <v>n/a</v>
      </c>
      <c r="AA703" s="17" t="str">
        <f t="shared" si="2697"/>
        <v>n/a</v>
      </c>
      <c r="AB703" s="17" t="str">
        <f t="shared" si="2650"/>
        <v>n/a</v>
      </c>
      <c r="AC703" s="17" t="str">
        <f t="shared" si="2651"/>
        <v>n/a</v>
      </c>
      <c r="AD703" s="17" t="str">
        <f t="shared" si="2651"/>
        <v>n/a</v>
      </c>
      <c r="AE703" s="17" t="str">
        <f t="shared" si="2651"/>
        <v>n/a</v>
      </c>
      <c r="AF703" s="17" t="str">
        <f t="shared" si="2615"/>
        <v>n/a</v>
      </c>
      <c r="AG703" s="17" t="str">
        <f t="shared" si="2651"/>
        <v>n/a</v>
      </c>
      <c r="AO703" s="11">
        <v>0</v>
      </c>
      <c r="AP703" s="11">
        <v>-32.677</v>
      </c>
      <c r="AQ703" s="11">
        <v>0</v>
      </c>
      <c r="AR703" s="11">
        <v>0</v>
      </c>
      <c r="AS703" s="11">
        <v>0</v>
      </c>
      <c r="AT703" s="11">
        <v>0</v>
      </c>
      <c r="AU703" s="11">
        <v>0</v>
      </c>
      <c r="AV703" s="17">
        <f t="shared" si="2652"/>
        <v>0</v>
      </c>
    </row>
    <row r="704" spans="2:48" x14ac:dyDescent="0.2">
      <c r="B704" t="s">
        <v>169</v>
      </c>
      <c r="H704" s="17" t="str">
        <f t="shared" si="2640"/>
        <v>n/a</v>
      </c>
      <c r="I704" s="17" t="str">
        <f t="shared" ref="I704:K704" si="2698">IFERROR(I779-H779,"n/a")</f>
        <v>n/a</v>
      </c>
      <c r="J704" s="17" t="str">
        <f t="shared" si="2698"/>
        <v>n/a</v>
      </c>
      <c r="K704" s="17" t="str">
        <f t="shared" si="2698"/>
        <v>n/a</v>
      </c>
      <c r="L704" s="17" t="str">
        <f t="shared" si="2642"/>
        <v>n/a</v>
      </c>
      <c r="M704" s="17" t="str">
        <f t="shared" ref="M704:O704" si="2699">IFERROR(M779-L779,"n/a")</f>
        <v>n/a</v>
      </c>
      <c r="N704" s="17" t="str">
        <f t="shared" si="2699"/>
        <v>n/a</v>
      </c>
      <c r="O704" s="17" t="str">
        <f t="shared" si="2699"/>
        <v>n/a</v>
      </c>
      <c r="P704" s="17" t="str">
        <f t="shared" si="2644"/>
        <v>n/a</v>
      </c>
      <c r="Q704" s="17" t="str">
        <f t="shared" ref="Q704:S704" si="2700">IFERROR(Q779-P779,"n/a")</f>
        <v>n/a</v>
      </c>
      <c r="R704" s="17" t="str">
        <f t="shared" si="2700"/>
        <v>n/a</v>
      </c>
      <c r="S704" s="17" t="str">
        <f t="shared" si="2700"/>
        <v>n/a</v>
      </c>
      <c r="T704" s="17" t="str">
        <f t="shared" si="2646"/>
        <v>n/a</v>
      </c>
      <c r="U704" s="17" t="str">
        <f t="shared" ref="U704:W704" si="2701">IFERROR(U779-T779,"n/a")</f>
        <v>n/a</v>
      </c>
      <c r="V704" s="17" t="str">
        <f t="shared" si="2701"/>
        <v>n/a</v>
      </c>
      <c r="W704" s="17" t="str">
        <f t="shared" si="2701"/>
        <v>n/a</v>
      </c>
      <c r="X704" s="17" t="str">
        <f t="shared" si="2648"/>
        <v>n/a</v>
      </c>
      <c r="Y704" s="17" t="str">
        <f t="shared" ref="Y704:AA704" si="2702">IFERROR(Y779-X779,"n/a")</f>
        <v>n/a</v>
      </c>
      <c r="Z704" s="17" t="str">
        <f t="shared" si="2702"/>
        <v>n/a</v>
      </c>
      <c r="AA704" s="17" t="str">
        <f t="shared" si="2702"/>
        <v>n/a</v>
      </c>
      <c r="AB704" s="17" t="str">
        <f t="shared" si="2650"/>
        <v>n/a</v>
      </c>
      <c r="AC704" s="17" t="str">
        <f t="shared" si="2651"/>
        <v>n/a</v>
      </c>
      <c r="AD704" s="17" t="str">
        <f t="shared" si="2651"/>
        <v>n/a</v>
      </c>
      <c r="AE704" s="17" t="str">
        <f t="shared" si="2651"/>
        <v>n/a</v>
      </c>
      <c r="AF704" s="17" t="str">
        <f t="shared" si="2615"/>
        <v>n/a</v>
      </c>
      <c r="AG704" s="17" t="str">
        <f t="shared" si="2651"/>
        <v>n/a</v>
      </c>
      <c r="AO704" s="11">
        <v>0</v>
      </c>
      <c r="AP704" s="11">
        <v>0</v>
      </c>
      <c r="AQ704" s="11">
        <v>0</v>
      </c>
      <c r="AR704" s="11">
        <v>0</v>
      </c>
      <c r="AS704" s="11">
        <v>0</v>
      </c>
      <c r="AT704" s="11">
        <v>0</v>
      </c>
      <c r="AU704" s="11">
        <v>0</v>
      </c>
      <c r="AV704" s="17">
        <f t="shared" si="2652"/>
        <v>0</v>
      </c>
    </row>
    <row r="705" spans="2:48" x14ac:dyDescent="0.2">
      <c r="B705" t="s">
        <v>170</v>
      </c>
      <c r="H705" s="17" t="str">
        <f t="shared" si="2640"/>
        <v>n/a</v>
      </c>
      <c r="I705" s="17" t="str">
        <f t="shared" ref="I705:K705" si="2703">IFERROR(I780-H780,"n/a")</f>
        <v>n/a</v>
      </c>
      <c r="J705" s="17" t="str">
        <f t="shared" si="2703"/>
        <v>n/a</v>
      </c>
      <c r="K705" s="17" t="str">
        <f t="shared" si="2703"/>
        <v>n/a</v>
      </c>
      <c r="L705" s="17" t="str">
        <f t="shared" si="2642"/>
        <v>n/a</v>
      </c>
      <c r="M705" s="17" t="str">
        <f t="shared" ref="M705:O705" si="2704">IFERROR(M780-L780,"n/a")</f>
        <v>n/a</v>
      </c>
      <c r="N705" s="17" t="str">
        <f t="shared" si="2704"/>
        <v>n/a</v>
      </c>
      <c r="O705" s="17" t="str">
        <f t="shared" si="2704"/>
        <v>n/a</v>
      </c>
      <c r="P705" s="17" t="str">
        <f t="shared" si="2644"/>
        <v>n/a</v>
      </c>
      <c r="Q705" s="17" t="str">
        <f t="shared" ref="Q705:S705" si="2705">IFERROR(Q780-P780,"n/a")</f>
        <v>n/a</v>
      </c>
      <c r="R705" s="17" t="str">
        <f t="shared" si="2705"/>
        <v>n/a</v>
      </c>
      <c r="S705" s="17" t="str">
        <f t="shared" si="2705"/>
        <v>n/a</v>
      </c>
      <c r="T705" s="17" t="str">
        <f t="shared" si="2646"/>
        <v>n/a</v>
      </c>
      <c r="U705" s="17" t="str">
        <f t="shared" ref="U705:W705" si="2706">IFERROR(U780-T780,"n/a")</f>
        <v>n/a</v>
      </c>
      <c r="V705" s="17" t="str">
        <f t="shared" si="2706"/>
        <v>n/a</v>
      </c>
      <c r="W705" s="17" t="str">
        <f t="shared" si="2706"/>
        <v>n/a</v>
      </c>
      <c r="X705" s="17" t="str">
        <f t="shared" si="2648"/>
        <v>n/a</v>
      </c>
      <c r="Y705" s="17" t="str">
        <f t="shared" ref="Y705:AA705" si="2707">IFERROR(Y780-X780,"n/a")</f>
        <v>n/a</v>
      </c>
      <c r="Z705" s="17" t="str">
        <f t="shared" si="2707"/>
        <v>n/a</v>
      </c>
      <c r="AA705" s="17" t="str">
        <f t="shared" si="2707"/>
        <v>n/a</v>
      </c>
      <c r="AB705" s="17" t="str">
        <f t="shared" si="2650"/>
        <v>n/a</v>
      </c>
      <c r="AC705" s="17" t="str">
        <f t="shared" si="2651"/>
        <v>n/a</v>
      </c>
      <c r="AD705" s="17" t="str">
        <f t="shared" si="2651"/>
        <v>n/a</v>
      </c>
      <c r="AE705" s="17" t="str">
        <f t="shared" si="2651"/>
        <v>n/a</v>
      </c>
      <c r="AF705" s="17" t="str">
        <f t="shared" si="2615"/>
        <v>n/a</v>
      </c>
      <c r="AG705" s="17" t="str">
        <f t="shared" si="2651"/>
        <v>n/a</v>
      </c>
      <c r="AO705" s="11">
        <v>0</v>
      </c>
      <c r="AP705" s="11">
        <v>0</v>
      </c>
      <c r="AQ705" s="11">
        <v>11879.944</v>
      </c>
      <c r="AR705" s="11">
        <v>0</v>
      </c>
      <c r="AS705" s="11">
        <v>0</v>
      </c>
      <c r="AT705" s="11">
        <v>0</v>
      </c>
      <c r="AU705" s="11">
        <v>0</v>
      </c>
      <c r="AV705" s="17">
        <f t="shared" si="2652"/>
        <v>0</v>
      </c>
    </row>
    <row r="706" spans="2:48" ht="13.5" x14ac:dyDescent="0.35">
      <c r="B706" t="s">
        <v>97</v>
      </c>
      <c r="H706" s="36" t="str">
        <f t="shared" si="2640"/>
        <v>n/a</v>
      </c>
      <c r="I706" s="36" t="str">
        <f t="shared" ref="I706:K706" si="2708">IFERROR(I781-H781,"n/a")</f>
        <v>n/a</v>
      </c>
      <c r="J706" s="36" t="str">
        <f t="shared" si="2708"/>
        <v>n/a</v>
      </c>
      <c r="K706" s="36" t="str">
        <f t="shared" si="2708"/>
        <v>n/a</v>
      </c>
      <c r="L706" s="36" t="str">
        <f t="shared" si="2642"/>
        <v>n/a</v>
      </c>
      <c r="M706" s="36" t="str">
        <f t="shared" ref="M706:O706" si="2709">IFERROR(M781-L781,"n/a")</f>
        <v>n/a</v>
      </c>
      <c r="N706" s="36" t="str">
        <f t="shared" si="2709"/>
        <v>n/a</v>
      </c>
      <c r="O706" s="36" t="str">
        <f t="shared" si="2709"/>
        <v>n/a</v>
      </c>
      <c r="P706" s="36" t="str">
        <f t="shared" si="2644"/>
        <v>n/a</v>
      </c>
      <c r="Q706" s="36" t="str">
        <f t="shared" ref="Q706:S706" si="2710">IFERROR(Q781-P781,"n/a")</f>
        <v>n/a</v>
      </c>
      <c r="R706" s="36" t="str">
        <f t="shared" si="2710"/>
        <v>n/a</v>
      </c>
      <c r="S706" s="36" t="str">
        <f t="shared" si="2710"/>
        <v>n/a</v>
      </c>
      <c r="T706" s="36" t="str">
        <f t="shared" si="2646"/>
        <v>n/a</v>
      </c>
      <c r="U706" s="36" t="str">
        <f t="shared" ref="U706:W706" si="2711">IFERROR(U781-T781,"n/a")</f>
        <v>n/a</v>
      </c>
      <c r="V706" s="36" t="str">
        <f t="shared" si="2711"/>
        <v>n/a</v>
      </c>
      <c r="W706" s="36" t="str">
        <f t="shared" si="2711"/>
        <v>n/a</v>
      </c>
      <c r="X706" s="36" t="str">
        <f t="shared" si="2648"/>
        <v>n/a</v>
      </c>
      <c r="Y706" s="36" t="str">
        <f t="shared" ref="Y706:AA706" si="2712">IFERROR(Y781-X781,"n/a")</f>
        <v>n/a</v>
      </c>
      <c r="Z706" s="36" t="str">
        <f t="shared" si="2712"/>
        <v>n/a</v>
      </c>
      <c r="AA706" s="36" t="str">
        <f t="shared" si="2712"/>
        <v>n/a</v>
      </c>
      <c r="AB706" s="36" t="str">
        <f t="shared" si="2650"/>
        <v>n/a</v>
      </c>
      <c r="AC706" s="36" t="str">
        <f t="shared" si="2651"/>
        <v>n/a</v>
      </c>
      <c r="AD706" s="36" t="str">
        <f t="shared" si="2651"/>
        <v>n/a</v>
      </c>
      <c r="AE706" s="36" t="str">
        <f t="shared" si="2651"/>
        <v>n/a</v>
      </c>
      <c r="AF706" s="36" t="str">
        <f t="shared" si="2615"/>
        <v>n/a</v>
      </c>
      <c r="AG706" s="36" t="str">
        <f t="shared" si="2651"/>
        <v>n/a</v>
      </c>
      <c r="AO706" s="13">
        <v>0</v>
      </c>
      <c r="AP706" s="13">
        <v>0</v>
      </c>
      <c r="AQ706" s="13">
        <v>0</v>
      </c>
      <c r="AR706" s="13">
        <v>0</v>
      </c>
      <c r="AS706" s="13">
        <v>-6.0000000000000001E-3</v>
      </c>
      <c r="AT706" s="13">
        <v>0.318</v>
      </c>
      <c r="AU706" s="13">
        <v>10.079000000000001</v>
      </c>
      <c r="AV706" s="36">
        <f t="shared" si="2652"/>
        <v>8.1910000000000007</v>
      </c>
    </row>
    <row r="707" spans="2:48" s="1" customFormat="1" x14ac:dyDescent="0.2">
      <c r="B707" s="38" t="s">
        <v>177</v>
      </c>
      <c r="H707" s="48">
        <f t="shared" si="2640"/>
        <v>5824.5680000000002</v>
      </c>
      <c r="I707" s="48">
        <f t="shared" ref="I707:K707" si="2713">IFERROR(I782-H782,"n/a")</f>
        <v>-3.7889999999997599</v>
      </c>
      <c r="J707" s="48">
        <f t="shared" si="2713"/>
        <v>11537.514000000001</v>
      </c>
      <c r="K707" s="49">
        <f t="shared" si="2713"/>
        <v>-13.936000000001513</v>
      </c>
      <c r="L707" s="48">
        <f t="shared" si="2642"/>
        <v>7993.8280000000004</v>
      </c>
      <c r="M707" s="48">
        <f t="shared" ref="M707:O707" si="2714">IFERROR(M782-L782,"n/a")</f>
        <v>0</v>
      </c>
      <c r="N707" s="48">
        <f t="shared" si="2714"/>
        <v>6967.0039999999999</v>
      </c>
      <c r="O707" s="49">
        <f t="shared" si="2714"/>
        <v>893.89900000000125</v>
      </c>
      <c r="P707" s="48">
        <f t="shared" si="2644"/>
        <v>1205.472</v>
      </c>
      <c r="Q707" s="48">
        <f t="shared" ref="Q707:S707" si="2715">IFERROR(Q782-P782,"n/a")</f>
        <v>8418.741</v>
      </c>
      <c r="R707" s="48">
        <f t="shared" si="2715"/>
        <v>0</v>
      </c>
      <c r="S707" s="49">
        <f t="shared" si="2715"/>
        <v>42174.78300000001</v>
      </c>
      <c r="T707" s="48">
        <f t="shared" si="2646"/>
        <v>-1238.874</v>
      </c>
      <c r="U707" s="48">
        <f t="shared" ref="U707:W707" si="2716">IFERROR(U782-T782,"n/a")</f>
        <v>-636.61899999999991</v>
      </c>
      <c r="V707" s="48">
        <f t="shared" si="2716"/>
        <v>0.14599999999995816</v>
      </c>
      <c r="W707" s="49">
        <f t="shared" si="2716"/>
        <v>0.19299999999998363</v>
      </c>
      <c r="X707" s="48">
        <f t="shared" si="2648"/>
        <v>4.2999999999999997E-2</v>
      </c>
      <c r="Y707" s="48">
        <f t="shared" ref="Y707:AA707" si="2717">IFERROR(Y782-X782,"n/a")</f>
        <v>0.26800000000000002</v>
      </c>
      <c r="Z707" s="48">
        <f t="shared" si="2717"/>
        <v>0.25799999999999995</v>
      </c>
      <c r="AA707" s="49">
        <f t="shared" si="2717"/>
        <v>9.5100000000000016</v>
      </c>
      <c r="AB707" s="48">
        <f t="shared" si="2650"/>
        <v>5.2999999999999999E-2</v>
      </c>
      <c r="AC707" s="48">
        <f t="shared" si="2651"/>
        <v>7.2329999999999997</v>
      </c>
      <c r="AD707" s="48">
        <f t="shared" si="2651"/>
        <v>0.38500000000000068</v>
      </c>
      <c r="AE707" s="48">
        <f t="shared" si="2651"/>
        <v>-8968.2969999999987</v>
      </c>
      <c r="AF707" s="48">
        <f t="shared" si="2615"/>
        <v>0.03</v>
      </c>
      <c r="AG707" s="48">
        <f t="shared" si="2651"/>
        <v>0.69799999999999995</v>
      </c>
      <c r="AO707" s="48">
        <f>SUM(AO691:AO706)</f>
        <v>486.53799999999995</v>
      </c>
      <c r="AP707" s="48">
        <f t="shared" ref="AP707" si="2718">SUM(AP691:AP706)</f>
        <v>1398.8600000000001</v>
      </c>
      <c r="AQ707" s="48">
        <f t="shared" ref="AQ707" si="2719">SUM(AQ691:AQ706)</f>
        <v>17344.357</v>
      </c>
      <c r="AR707" s="48">
        <f t="shared" ref="AR707" si="2720">SUM(AR691:AR706)</f>
        <v>15854.731000000002</v>
      </c>
      <c r="AS707" s="48">
        <f t="shared" ref="AS707" si="2721">SUM(AS691:AS706)</f>
        <v>51798.996000000006</v>
      </c>
      <c r="AT707" s="48">
        <f t="shared" ref="AT707" si="2722">SUM(AT691:AT706)</f>
        <v>-1875.154</v>
      </c>
      <c r="AU707" s="48">
        <f t="shared" ref="AU707" si="2723">SUM(AU691:AU706)</f>
        <v>10.079000000000001</v>
      </c>
      <c r="AV707" s="48">
        <f t="shared" si="2652"/>
        <v>-8960.6259999999984</v>
      </c>
    </row>
    <row r="708" spans="2:48" x14ac:dyDescent="0.2">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O708" s="11"/>
      <c r="AP708" s="11"/>
      <c r="AQ708" s="11"/>
      <c r="AR708" s="11"/>
      <c r="AS708" s="11"/>
      <c r="AT708" s="11"/>
      <c r="AU708" s="11"/>
      <c r="AV708" s="11"/>
    </row>
    <row r="709" spans="2:48" ht="13.5" x14ac:dyDescent="0.35">
      <c r="B709" t="s">
        <v>179</v>
      </c>
      <c r="H709" s="15">
        <f>H784</f>
        <v>-75.799000000000007</v>
      </c>
      <c r="I709" s="15">
        <f t="shared" ref="I709:K709" si="2724">IFERROR(I784-H784,"n/a")</f>
        <v>330.62</v>
      </c>
      <c r="J709" s="15">
        <f t="shared" si="2724"/>
        <v>359.05599999999993</v>
      </c>
      <c r="K709" s="36">
        <f t="shared" si="2724"/>
        <v>-66.966999999999985</v>
      </c>
      <c r="L709" s="15">
        <f>L784</f>
        <v>-228.49700000000001</v>
      </c>
      <c r="M709" s="15">
        <f t="shared" ref="M709:O709" si="2725">IFERROR(M784-L784,"n/a")</f>
        <v>436.36800000000005</v>
      </c>
      <c r="N709" s="15">
        <f t="shared" si="2725"/>
        <v>292.53099999999995</v>
      </c>
      <c r="O709" s="36">
        <f t="shared" si="2725"/>
        <v>-50.259999999999991</v>
      </c>
      <c r="P709" s="15">
        <f>P784</f>
        <v>99.058000000000007</v>
      </c>
      <c r="Q709" s="15">
        <f t="shared" ref="Q709:S709" si="2726">IFERROR(Q784-P784,"n/a")</f>
        <v>-39.494000000000007</v>
      </c>
      <c r="R709" s="15">
        <f t="shared" si="2726"/>
        <v>-15.868000000000002</v>
      </c>
      <c r="S709" s="36">
        <f t="shared" si="2726"/>
        <v>-183.63900000000001</v>
      </c>
      <c r="T709" s="15">
        <f>T784</f>
        <v>51.55</v>
      </c>
      <c r="U709" s="15">
        <f t="shared" ref="U709:W709" si="2727">IFERROR(U784-T784,"n/a")</f>
        <v>-192.41300000000001</v>
      </c>
      <c r="V709" s="15">
        <f t="shared" si="2727"/>
        <v>22.159999999999997</v>
      </c>
      <c r="W709" s="36">
        <f t="shared" si="2727"/>
        <v>-26.454000000000008</v>
      </c>
      <c r="X709" s="15">
        <f>X784</f>
        <v>10.163</v>
      </c>
      <c r="Y709" s="15">
        <f t="shared" ref="Y709:AA709" si="2728">IFERROR(Y784-X784,"n/a")</f>
        <v>-50.838999999999999</v>
      </c>
      <c r="Z709" s="15">
        <f t="shared" si="2728"/>
        <v>250.22699999999998</v>
      </c>
      <c r="AA709" s="36">
        <f t="shared" si="2728"/>
        <v>-109.37399999999998</v>
      </c>
      <c r="AB709" s="15">
        <f>AB784</f>
        <v>-348.245</v>
      </c>
      <c r="AC709" s="15">
        <f t="shared" ref="AC709:AG710" si="2729">IFERROR(AC784-AB784,"n/a")</f>
        <v>881.10500000000002</v>
      </c>
      <c r="AD709" s="15">
        <f t="shared" si="2729"/>
        <v>201.05799999999999</v>
      </c>
      <c r="AE709" s="15">
        <f t="shared" si="2729"/>
        <v>-1025.057</v>
      </c>
      <c r="AF709" s="15">
        <f>AF784</f>
        <v>147.92400000000001</v>
      </c>
      <c r="AG709" s="15">
        <f t="shared" si="2729"/>
        <v>92.82</v>
      </c>
      <c r="AO709" s="13">
        <v>20.396999999999998</v>
      </c>
      <c r="AP709" s="13">
        <v>-47.680999999999997</v>
      </c>
      <c r="AQ709" s="13">
        <v>546.91</v>
      </c>
      <c r="AR709" s="13">
        <v>450.142</v>
      </c>
      <c r="AS709" s="13">
        <v>-139.94300000000001</v>
      </c>
      <c r="AT709" s="13">
        <v>-145.15700000000001</v>
      </c>
      <c r="AU709" s="13">
        <v>100.17700000000001</v>
      </c>
      <c r="AV709" s="15">
        <f>AV784</f>
        <v>-291.13900000000001</v>
      </c>
    </row>
    <row r="710" spans="2:48" s="1" customFormat="1" x14ac:dyDescent="0.2">
      <c r="B710" s="38" t="s">
        <v>178</v>
      </c>
      <c r="H710" s="48">
        <f>H785</f>
        <v>5576.1369999999997</v>
      </c>
      <c r="I710" s="48">
        <f t="shared" ref="I710:K710" si="2730">IFERROR(I785-H785,"n/a")</f>
        <v>396.58500000000095</v>
      </c>
      <c r="J710" s="48">
        <f t="shared" si="2730"/>
        <v>5929.1440000000011</v>
      </c>
      <c r="K710" s="49">
        <f t="shared" si="2730"/>
        <v>6208.8189999999995</v>
      </c>
      <c r="L710" s="48">
        <f>L785</f>
        <v>6679.5529999999999</v>
      </c>
      <c r="M710" s="48">
        <f t="shared" ref="M710:O710" si="2731">IFERROR(M785-L785,"n/a")</f>
        <v>3444.9269999999997</v>
      </c>
      <c r="N710" s="48">
        <f t="shared" si="2731"/>
        <v>-6298.0889999999999</v>
      </c>
      <c r="O710" s="49">
        <f t="shared" si="2731"/>
        <v>-1020.2199999999993</v>
      </c>
      <c r="P710" s="48">
        <f>P785</f>
        <v>-846.7320000000002</v>
      </c>
      <c r="Q710" s="48">
        <f t="shared" ref="Q710:S710" si="2732">IFERROR(Q785-P785,"n/a")</f>
        <v>4178.7649999999994</v>
      </c>
      <c r="R710" s="48">
        <f t="shared" si="2732"/>
        <v>7850.8700000000008</v>
      </c>
      <c r="S710" s="49">
        <f t="shared" si="2732"/>
        <v>30314.876000000004</v>
      </c>
      <c r="T710" s="48">
        <f>T785</f>
        <v>-10532.918</v>
      </c>
      <c r="U710" s="48">
        <f t="shared" ref="U710:W710" si="2733">IFERROR(U785-T785,"n/a")</f>
        <v>3058.1269999999995</v>
      </c>
      <c r="V710" s="48">
        <f t="shared" si="2733"/>
        <v>-5005.8829999999989</v>
      </c>
      <c r="W710" s="49">
        <f t="shared" si="2733"/>
        <v>3681.0089999999927</v>
      </c>
      <c r="X710" s="48">
        <f>X785</f>
        <v>-13909.978999999999</v>
      </c>
      <c r="Y710" s="48">
        <f t="shared" ref="Y710:AA710" si="2734">IFERROR(Y785-X785,"n/a")</f>
        <v>10730.028999999999</v>
      </c>
      <c r="Z710" s="48">
        <f t="shared" si="2734"/>
        <v>11545.914000000002</v>
      </c>
      <c r="AA710" s="49">
        <f t="shared" si="2734"/>
        <v>17890.481999999989</v>
      </c>
      <c r="AB710" s="48">
        <f>AB785</f>
        <v>-21630.416999999998</v>
      </c>
      <c r="AC710" s="48">
        <f t="shared" si="2729"/>
        <v>12764.458999999995</v>
      </c>
      <c r="AD710" s="48">
        <f t="shared" si="2729"/>
        <v>27918.799999999999</v>
      </c>
      <c r="AE710" s="48">
        <f t="shared" si="2729"/>
        <v>10426.645999999997</v>
      </c>
      <c r="AF710" s="48">
        <f>AF785</f>
        <v>-7074.9879999999994</v>
      </c>
      <c r="AG710" s="48">
        <f t="shared" si="2729"/>
        <v>8487</v>
      </c>
      <c r="AO710" s="48">
        <f t="shared" ref="AO710:AU710" si="2735">+AO671+AO688+AO707+AO709</f>
        <v>1079.4110000000003</v>
      </c>
      <c r="AP710" s="48">
        <f t="shared" si="2735"/>
        <v>1738.309000000002</v>
      </c>
      <c r="AQ710" s="48">
        <f t="shared" si="2735"/>
        <v>18110.685000000001</v>
      </c>
      <c r="AR710" s="48">
        <f t="shared" si="2735"/>
        <v>2806.1710000000003</v>
      </c>
      <c r="AS710" s="48">
        <f t="shared" si="2735"/>
        <v>41497.779000000002</v>
      </c>
      <c r="AT710" s="48">
        <f t="shared" si="2735"/>
        <v>-8799.6650000000063</v>
      </c>
      <c r="AU710" s="48">
        <f t="shared" si="2735"/>
        <v>26256.445999999993</v>
      </c>
      <c r="AV710" s="48">
        <f>AV785</f>
        <v>29479.487999999994</v>
      </c>
    </row>
    <row r="711" spans="2:48" s="1" customFormat="1" x14ac:dyDescent="0.2">
      <c r="B711" s="38"/>
      <c r="H711" s="48"/>
      <c r="I711" s="48"/>
      <c r="J711" s="48"/>
      <c r="K711" s="49"/>
      <c r="L711" s="48"/>
      <c r="M711" s="48"/>
      <c r="N711" s="48"/>
      <c r="O711" s="49"/>
      <c r="P711" s="48"/>
      <c r="Q711" s="48"/>
      <c r="R711" s="48"/>
      <c r="S711" s="49"/>
      <c r="T711" s="48"/>
      <c r="U711" s="48"/>
      <c r="V711" s="48"/>
      <c r="W711" s="49"/>
      <c r="X711" s="48"/>
      <c r="Y711" s="48"/>
      <c r="Z711" s="48"/>
      <c r="AA711" s="49"/>
      <c r="AB711" s="48"/>
      <c r="AC711" s="48"/>
      <c r="AD711" s="48"/>
      <c r="AE711" s="49"/>
      <c r="AO711" s="48"/>
      <c r="AP711" s="48"/>
      <c r="AQ711" s="48"/>
      <c r="AR711" s="48"/>
      <c r="AS711" s="48"/>
      <c r="AT711" s="48"/>
      <c r="AU711" s="48"/>
    </row>
    <row r="712" spans="2:48" s="1" customFormat="1" x14ac:dyDescent="0.2">
      <c r="B712" s="6" t="s">
        <v>181</v>
      </c>
      <c r="C712" s="5"/>
      <c r="D712"/>
      <c r="E712"/>
      <c r="F712"/>
      <c r="G712"/>
      <c r="H712" s="48"/>
      <c r="I712" s="48"/>
      <c r="J712" s="48"/>
      <c r="K712" s="49"/>
      <c r="L712" s="48"/>
      <c r="M712" s="48"/>
      <c r="N712" s="48"/>
      <c r="O712" s="49"/>
      <c r="P712" s="48"/>
      <c r="Q712" s="48"/>
      <c r="R712" s="48"/>
      <c r="S712" s="49"/>
      <c r="T712" s="48"/>
      <c r="U712" s="48"/>
      <c r="V712" s="48"/>
      <c r="W712" s="49"/>
      <c r="X712" s="48"/>
      <c r="Y712" s="48"/>
      <c r="Z712" s="48"/>
      <c r="AA712" s="49"/>
      <c r="AB712" s="48"/>
      <c r="AC712" s="48"/>
      <c r="AD712" s="48"/>
      <c r="AO712" s="48"/>
      <c r="AP712" s="48"/>
      <c r="AQ712" s="48"/>
      <c r="AR712" s="48"/>
      <c r="AS712" s="48"/>
      <c r="AT712" s="48"/>
      <c r="AU712" s="48"/>
    </row>
    <row r="713" spans="2:48" s="1" customFormat="1" x14ac:dyDescent="0.2">
      <c r="C713"/>
      <c r="D713"/>
      <c r="E713"/>
      <c r="F713"/>
      <c r="G713"/>
      <c r="H713" s="48"/>
      <c r="I713" s="48"/>
      <c r="J713" s="48"/>
      <c r="K713" s="49"/>
      <c r="L713" s="48"/>
      <c r="M713" s="48"/>
      <c r="N713" s="48"/>
      <c r="O713" s="49"/>
      <c r="P713" s="48"/>
      <c r="Q713" s="48"/>
      <c r="R713" s="48"/>
      <c r="S713" s="49"/>
      <c r="T713" s="48"/>
      <c r="U713" s="48"/>
      <c r="V713" s="48"/>
      <c r="W713" s="49"/>
      <c r="X713" s="48"/>
      <c r="Y713" s="48"/>
      <c r="Z713" s="48"/>
      <c r="AA713" s="49"/>
      <c r="AB713" s="48"/>
      <c r="AC713" s="48"/>
      <c r="AD713" s="48"/>
      <c r="AO713" s="48"/>
      <c r="AP713" s="48"/>
      <c r="AQ713" s="48"/>
      <c r="AR713" s="48"/>
      <c r="AS713" s="48"/>
      <c r="AT713" s="48"/>
      <c r="AU713" s="48"/>
    </row>
    <row r="714" spans="2:48" x14ac:dyDescent="0.2">
      <c r="B714" s="24" t="s">
        <v>180</v>
      </c>
    </row>
    <row r="715" spans="2:48" x14ac:dyDescent="0.2">
      <c r="B715" s="1" t="s">
        <v>171</v>
      </c>
    </row>
    <row r="716" spans="2:48" x14ac:dyDescent="0.2">
      <c r="B716" t="s">
        <v>21</v>
      </c>
      <c r="H716" s="12" t="s">
        <v>65</v>
      </c>
      <c r="I716" s="12" t="s">
        <v>65</v>
      </c>
      <c r="J716" s="12" t="s">
        <v>65</v>
      </c>
      <c r="K716" s="17">
        <f>+AQ716</f>
        <v>-10217.125</v>
      </c>
      <c r="L716" s="12" t="s">
        <v>65</v>
      </c>
      <c r="M716" s="12" t="s">
        <v>65</v>
      </c>
      <c r="N716" s="12" t="s">
        <v>65</v>
      </c>
      <c r="O716" s="17">
        <f t="shared" ref="O716:O730" si="2736">+AR716</f>
        <v>-6967.6030000000001</v>
      </c>
      <c r="P716" s="12" t="s">
        <v>65</v>
      </c>
      <c r="Q716" s="12" t="s">
        <v>65</v>
      </c>
      <c r="R716" s="12" t="s">
        <v>65</v>
      </c>
      <c r="S716" s="17">
        <f t="shared" ref="S716:S730" si="2737">+AS716</f>
        <v>-7179.7420000000002</v>
      </c>
      <c r="T716" s="12" t="s">
        <v>65</v>
      </c>
      <c r="U716" s="12" t="s">
        <v>65</v>
      </c>
      <c r="V716" s="12" t="s">
        <v>65</v>
      </c>
      <c r="W716" s="17">
        <f t="shared" ref="W716:W730" si="2738">+AT716</f>
        <v>7768.67</v>
      </c>
      <c r="X716" s="12" t="s">
        <v>65</v>
      </c>
      <c r="Y716" s="12" t="s">
        <v>65</v>
      </c>
      <c r="Z716" s="12" t="s">
        <v>65</v>
      </c>
      <c r="AA716" s="17">
        <f t="shared" ref="AA716:AA730" si="2739">+AU716</f>
        <v>31538.062000000002</v>
      </c>
      <c r="AB716" s="12" t="s">
        <v>65</v>
      </c>
      <c r="AC716" s="12" t="s">
        <v>65</v>
      </c>
      <c r="AD716" s="12" t="s">
        <v>65</v>
      </c>
      <c r="AE716" s="17">
        <f t="shared" ref="AE716:AE730" si="2740">+AV716</f>
        <v>60026.544000000002</v>
      </c>
      <c r="AF716" s="12" t="s">
        <v>65</v>
      </c>
      <c r="AG716" s="12" t="s">
        <v>65</v>
      </c>
      <c r="AO716" s="11">
        <v>-291.97699999999998</v>
      </c>
      <c r="AP716" s="11">
        <v>-525.11500000000001</v>
      </c>
      <c r="AQ716" s="11">
        <v>-10217.125</v>
      </c>
      <c r="AR716" s="11">
        <v>-6967.6030000000001</v>
      </c>
      <c r="AS716" s="11">
        <v>-7179.7420000000002</v>
      </c>
      <c r="AT716" s="11">
        <v>7768.67</v>
      </c>
      <c r="AU716" s="11">
        <v>31538.062000000002</v>
      </c>
      <c r="AV716" s="12">
        <v>60026.544000000002</v>
      </c>
    </row>
    <row r="717" spans="2:48" x14ac:dyDescent="0.2">
      <c r="B717" t="s">
        <v>217</v>
      </c>
      <c r="H717" s="12" t="s">
        <v>65</v>
      </c>
      <c r="I717" s="12" t="s">
        <v>65</v>
      </c>
      <c r="J717" s="12" t="s">
        <v>65</v>
      </c>
      <c r="K717" s="17">
        <f t="shared" ref="K717:K746" si="2741">+AQ717</f>
        <v>497.00299999999999</v>
      </c>
      <c r="L717" s="12" t="s">
        <v>65</v>
      </c>
      <c r="M717" s="12" t="s">
        <v>65</v>
      </c>
      <c r="N717" s="12" t="s">
        <v>65</v>
      </c>
      <c r="O717" s="17">
        <f t="shared" si="2736"/>
        <v>637.83100000000002</v>
      </c>
      <c r="P717" s="12" t="s">
        <v>65</v>
      </c>
      <c r="Q717" s="12" t="s">
        <v>65</v>
      </c>
      <c r="R717" s="12" t="s">
        <v>65</v>
      </c>
      <c r="S717" s="17">
        <f t="shared" si="2737"/>
        <v>651.52300000000002</v>
      </c>
      <c r="T717" s="12" t="s">
        <v>65</v>
      </c>
      <c r="U717" s="12" t="s">
        <v>65</v>
      </c>
      <c r="V717" s="12" t="s">
        <v>65</v>
      </c>
      <c r="W717" s="17">
        <f t="shared" si="2738"/>
        <v>1495.38</v>
      </c>
      <c r="X717" s="12" t="s">
        <v>65</v>
      </c>
      <c r="Y717" s="12" t="s">
        <v>65</v>
      </c>
      <c r="Z717" s="12" t="s">
        <v>65</v>
      </c>
      <c r="AA717" s="17">
        <f t="shared" si="2739"/>
        <v>2224.1689999999999</v>
      </c>
      <c r="AB717" s="12" t="s">
        <v>65</v>
      </c>
      <c r="AC717" s="12" t="s">
        <v>65</v>
      </c>
      <c r="AD717" s="12" t="s">
        <v>65</v>
      </c>
      <c r="AE717" s="17">
        <f t="shared" si="2740"/>
        <v>786.23500000000001</v>
      </c>
      <c r="AF717" s="12" t="s">
        <v>65</v>
      </c>
      <c r="AG717" s="12" t="s">
        <v>65</v>
      </c>
      <c r="AO717" s="11">
        <v>0.75600000000000001</v>
      </c>
      <c r="AP717" s="11">
        <v>2.2650000000000001</v>
      </c>
      <c r="AQ717" s="11">
        <v>497.00299999999999</v>
      </c>
      <c r="AR717" s="11">
        <v>637.83100000000002</v>
      </c>
      <c r="AS717" s="11">
        <v>651.52300000000002</v>
      </c>
      <c r="AT717" s="11">
        <v>1495.38</v>
      </c>
      <c r="AU717" s="11">
        <v>2224.1689999999999</v>
      </c>
      <c r="AV717" s="12">
        <v>786.23500000000001</v>
      </c>
    </row>
    <row r="718" spans="2:48" x14ac:dyDescent="0.2">
      <c r="B718" t="s">
        <v>124</v>
      </c>
      <c r="H718" s="12" t="s">
        <v>65</v>
      </c>
      <c r="I718" s="12" t="s">
        <v>65</v>
      </c>
      <c r="J718" s="12" t="s">
        <v>65</v>
      </c>
      <c r="K718" s="17">
        <f t="shared" si="2741"/>
        <v>0</v>
      </c>
      <c r="L718" s="12" t="s">
        <v>65</v>
      </c>
      <c r="M718" s="12" t="s">
        <v>65</v>
      </c>
      <c r="N718" s="12" t="s">
        <v>65</v>
      </c>
      <c r="O718" s="17">
        <f t="shared" si="2736"/>
        <v>73.206000000000003</v>
      </c>
      <c r="P718" s="12" t="s">
        <v>65</v>
      </c>
      <c r="Q718" s="12" t="s">
        <v>65</v>
      </c>
      <c r="R718" s="12" t="s">
        <v>65</v>
      </c>
      <c r="S718" s="17">
        <f t="shared" si="2737"/>
        <v>148.94499999999999</v>
      </c>
      <c r="T718" s="12" t="s">
        <v>65</v>
      </c>
      <c r="U718" s="12" t="s">
        <v>65</v>
      </c>
      <c r="V718" s="12" t="s">
        <v>65</v>
      </c>
      <c r="W718" s="17">
        <f t="shared" si="2738"/>
        <v>348.863</v>
      </c>
      <c r="X718" s="12" t="s">
        <v>65</v>
      </c>
      <c r="Y718" s="12" t="s">
        <v>65</v>
      </c>
      <c r="Z718" s="12" t="s">
        <v>65</v>
      </c>
      <c r="AA718" s="17">
        <f t="shared" si="2739"/>
        <v>510.91500000000002</v>
      </c>
      <c r="AB718" s="12" t="s">
        <v>65</v>
      </c>
      <c r="AC718" s="12" t="s">
        <v>65</v>
      </c>
      <c r="AD718" s="12" t="s">
        <v>65</v>
      </c>
      <c r="AE718" s="17">
        <f t="shared" si="2740"/>
        <v>1101.97</v>
      </c>
      <c r="AF718" s="12" t="s">
        <v>65</v>
      </c>
      <c r="AG718" s="12" t="s">
        <v>65</v>
      </c>
      <c r="AO718" s="11">
        <v>0</v>
      </c>
      <c r="AP718" s="11">
        <v>0</v>
      </c>
      <c r="AQ718" s="11">
        <v>0</v>
      </c>
      <c r="AR718" s="11">
        <v>73.206000000000003</v>
      </c>
      <c r="AS718" s="11">
        <v>148.94499999999999</v>
      </c>
      <c r="AT718" s="11">
        <v>348.863</v>
      </c>
      <c r="AU718" s="11">
        <v>510.91500000000002</v>
      </c>
      <c r="AV718" s="12">
        <v>1101.97</v>
      </c>
    </row>
    <row r="719" spans="2:48" x14ac:dyDescent="0.2">
      <c r="B719" t="s">
        <v>9</v>
      </c>
      <c r="H719" s="12" t="s">
        <v>65</v>
      </c>
      <c r="I719" s="12" t="s">
        <v>65</v>
      </c>
      <c r="J719" s="12" t="s">
        <v>65</v>
      </c>
      <c r="K719" s="17">
        <f t="shared" si="2741"/>
        <v>0</v>
      </c>
      <c r="L719" s="12" t="s">
        <v>65</v>
      </c>
      <c r="M719" s="12" t="s">
        <v>65</v>
      </c>
      <c r="N719" s="12" t="s">
        <v>65</v>
      </c>
      <c r="O719" s="17">
        <f t="shared" si="2736"/>
        <v>0</v>
      </c>
      <c r="P719" s="12" t="s">
        <v>65</v>
      </c>
      <c r="Q719" s="12" t="s">
        <v>65</v>
      </c>
      <c r="R719" s="12" t="s">
        <v>65</v>
      </c>
      <c r="S719" s="17">
        <f t="shared" si="2737"/>
        <v>0</v>
      </c>
      <c r="T719" s="12" t="s">
        <v>65</v>
      </c>
      <c r="U719" s="12" t="s">
        <v>65</v>
      </c>
      <c r="V719" s="12" t="s">
        <v>65</v>
      </c>
      <c r="W719" s="17">
        <f t="shared" si="2738"/>
        <v>0</v>
      </c>
      <c r="X719" s="12" t="s">
        <v>65</v>
      </c>
      <c r="Y719" s="12" t="s">
        <v>65</v>
      </c>
      <c r="Z719" s="12" t="s">
        <v>65</v>
      </c>
      <c r="AA719" s="17">
        <f t="shared" si="2739"/>
        <v>0</v>
      </c>
      <c r="AB719" s="12" t="s">
        <v>65</v>
      </c>
      <c r="AC719" s="12" t="s">
        <v>65</v>
      </c>
      <c r="AD719" s="12" t="s">
        <v>65</v>
      </c>
      <c r="AE719" s="17">
        <f t="shared" si="2740"/>
        <v>0</v>
      </c>
      <c r="AF719" s="12" t="s">
        <v>65</v>
      </c>
      <c r="AG719" s="12" t="s">
        <v>65</v>
      </c>
      <c r="AO719" s="11">
        <v>0</v>
      </c>
      <c r="AP719" s="11">
        <v>10</v>
      </c>
      <c r="AQ719" s="11">
        <v>0</v>
      </c>
      <c r="AR719" s="11">
        <v>0</v>
      </c>
      <c r="AS719" s="11">
        <v>0</v>
      </c>
      <c r="AT719" s="11">
        <v>0</v>
      </c>
      <c r="AU719" s="11">
        <v>0</v>
      </c>
      <c r="AV719" s="12">
        <v>0</v>
      </c>
    </row>
    <row r="720" spans="2:48" x14ac:dyDescent="0.2">
      <c r="B720" t="s">
        <v>16</v>
      </c>
      <c r="H720" s="12" t="s">
        <v>65</v>
      </c>
      <c r="I720" s="12" t="s">
        <v>65</v>
      </c>
      <c r="J720" s="12" t="s">
        <v>65</v>
      </c>
      <c r="K720" s="17">
        <f t="shared" si="2741"/>
        <v>0</v>
      </c>
      <c r="L720" s="12" t="s">
        <v>65</v>
      </c>
      <c r="M720" s="12" t="s">
        <v>65</v>
      </c>
      <c r="N720" s="12" t="s">
        <v>65</v>
      </c>
      <c r="O720" s="17">
        <f t="shared" si="2736"/>
        <v>0</v>
      </c>
      <c r="P720" s="12" t="s">
        <v>65</v>
      </c>
      <c r="Q720" s="12" t="s">
        <v>65</v>
      </c>
      <c r="R720" s="12" t="s">
        <v>65</v>
      </c>
      <c r="S720" s="17">
        <f t="shared" si="2737"/>
        <v>0</v>
      </c>
      <c r="T720" s="12" t="s">
        <v>65</v>
      </c>
      <c r="U720" s="12" t="s">
        <v>65</v>
      </c>
      <c r="V720" s="12" t="s">
        <v>65</v>
      </c>
      <c r="W720" s="17">
        <f t="shared" si="2738"/>
        <v>0</v>
      </c>
      <c r="X720" s="12" t="s">
        <v>65</v>
      </c>
      <c r="Y720" s="12" t="s">
        <v>65</v>
      </c>
      <c r="Z720" s="12" t="s">
        <v>65</v>
      </c>
      <c r="AA720" s="17">
        <f t="shared" si="2739"/>
        <v>0</v>
      </c>
      <c r="AB720" s="12" t="s">
        <v>65</v>
      </c>
      <c r="AC720" s="12" t="s">
        <v>65</v>
      </c>
      <c r="AD720" s="12" t="s">
        <v>65</v>
      </c>
      <c r="AE720" s="17">
        <f t="shared" si="2740"/>
        <v>0</v>
      </c>
      <c r="AF720" s="12" t="s">
        <v>65</v>
      </c>
      <c r="AG720" s="12" t="s">
        <v>65</v>
      </c>
      <c r="AO720" s="11">
        <v>8.6679999999999993</v>
      </c>
      <c r="AP720" s="11">
        <v>0</v>
      </c>
      <c r="AQ720" s="11">
        <v>0</v>
      </c>
      <c r="AR720" s="11">
        <v>0</v>
      </c>
      <c r="AS720" s="11">
        <v>0</v>
      </c>
      <c r="AT720" s="11">
        <v>0</v>
      </c>
      <c r="AU720" s="11">
        <v>0</v>
      </c>
      <c r="AV720" s="12">
        <v>0</v>
      </c>
    </row>
    <row r="721" spans="2:48" x14ac:dyDescent="0.2">
      <c r="B721" t="s">
        <v>14</v>
      </c>
      <c r="H721" s="12" t="s">
        <v>65</v>
      </c>
      <c r="I721" s="12" t="s">
        <v>65</v>
      </c>
      <c r="J721" s="12" t="s">
        <v>65</v>
      </c>
      <c r="K721" s="17">
        <f t="shared" si="2741"/>
        <v>0</v>
      </c>
      <c r="L721" s="12" t="s">
        <v>65</v>
      </c>
      <c r="M721" s="12" t="s">
        <v>65</v>
      </c>
      <c r="N721" s="12" t="s">
        <v>65</v>
      </c>
      <c r="O721" s="17">
        <f t="shared" si="2736"/>
        <v>145.858</v>
      </c>
      <c r="P721" s="12" t="s">
        <v>65</v>
      </c>
      <c r="Q721" s="12" t="s">
        <v>65</v>
      </c>
      <c r="R721" s="12" t="s">
        <v>65</v>
      </c>
      <c r="S721" s="17">
        <f t="shared" si="2737"/>
        <v>757.33600000000001</v>
      </c>
      <c r="T721" s="12" t="s">
        <v>65</v>
      </c>
      <c r="U721" s="12" t="s">
        <v>65</v>
      </c>
      <c r="V721" s="12" t="s">
        <v>65</v>
      </c>
      <c r="W721" s="17">
        <f t="shared" si="2738"/>
        <v>1231.002</v>
      </c>
      <c r="X721" s="12" t="s">
        <v>65</v>
      </c>
      <c r="Y721" s="12" t="s">
        <v>65</v>
      </c>
      <c r="Z721" s="12" t="s">
        <v>65</v>
      </c>
      <c r="AA721" s="17">
        <f t="shared" si="2739"/>
        <v>51.655000000000001</v>
      </c>
      <c r="AB721" s="12" t="s">
        <v>65</v>
      </c>
      <c r="AC721" s="12" t="s">
        <v>65</v>
      </c>
      <c r="AD721" s="12" t="s">
        <v>65</v>
      </c>
      <c r="AE721" s="17">
        <f t="shared" si="2740"/>
        <v>43.987000000000002</v>
      </c>
      <c r="AF721" s="12" t="s">
        <v>65</v>
      </c>
      <c r="AG721" s="12" t="s">
        <v>65</v>
      </c>
      <c r="AO721" s="11">
        <v>0</v>
      </c>
      <c r="AP721" s="11">
        <v>0</v>
      </c>
      <c r="AQ721" s="11">
        <v>0</v>
      </c>
      <c r="AR721" s="11">
        <v>145.858</v>
      </c>
      <c r="AS721" s="11">
        <v>757.33600000000001</v>
      </c>
      <c r="AT721" s="11">
        <v>1231.002</v>
      </c>
      <c r="AU721" s="11">
        <v>51.655000000000001</v>
      </c>
      <c r="AV721" s="12">
        <v>43.987000000000002</v>
      </c>
    </row>
    <row r="722" spans="2:48" x14ac:dyDescent="0.2">
      <c r="B722" t="s">
        <v>125</v>
      </c>
      <c r="H722" s="12" t="s">
        <v>65</v>
      </c>
      <c r="I722" s="12" t="s">
        <v>65</v>
      </c>
      <c r="J722" s="12" t="s">
        <v>65</v>
      </c>
      <c r="K722" s="17">
        <f t="shared" si="2741"/>
        <v>0</v>
      </c>
      <c r="L722" s="12" t="s">
        <v>65</v>
      </c>
      <c r="M722" s="12" t="s">
        <v>65</v>
      </c>
      <c r="N722" s="12" t="s">
        <v>65</v>
      </c>
      <c r="O722" s="17">
        <f t="shared" si="2736"/>
        <v>11.782</v>
      </c>
      <c r="P722" s="12" t="s">
        <v>65</v>
      </c>
      <c r="Q722" s="12" t="s">
        <v>65</v>
      </c>
      <c r="R722" s="12" t="s">
        <v>65</v>
      </c>
      <c r="S722" s="17">
        <f t="shared" si="2737"/>
        <v>43.433999999999997</v>
      </c>
      <c r="T722" s="12" t="s">
        <v>65</v>
      </c>
      <c r="U722" s="12" t="s">
        <v>65</v>
      </c>
      <c r="V722" s="12" t="s">
        <v>65</v>
      </c>
      <c r="W722" s="17">
        <f t="shared" si="2738"/>
        <v>49.3</v>
      </c>
      <c r="X722" s="12" t="s">
        <v>65</v>
      </c>
      <c r="Y722" s="12" t="s">
        <v>65</v>
      </c>
      <c r="Z722" s="12" t="s">
        <v>65</v>
      </c>
      <c r="AA722" s="17">
        <f t="shared" si="2739"/>
        <v>118.384</v>
      </c>
      <c r="AB722" s="12" t="s">
        <v>65</v>
      </c>
      <c r="AC722" s="12" t="s">
        <v>65</v>
      </c>
      <c r="AD722" s="12" t="s">
        <v>65</v>
      </c>
      <c r="AE722" s="17">
        <f t="shared" si="2740"/>
        <v>265.15899999999999</v>
      </c>
      <c r="AF722" s="12" t="s">
        <v>65</v>
      </c>
      <c r="AG722" s="12" t="s">
        <v>65</v>
      </c>
      <c r="AO722" s="11">
        <v>0</v>
      </c>
      <c r="AP722" s="11">
        <v>0</v>
      </c>
      <c r="AQ722" s="11">
        <v>0</v>
      </c>
      <c r="AR722" s="11">
        <v>11.782</v>
      </c>
      <c r="AS722" s="11">
        <v>43.433999999999997</v>
      </c>
      <c r="AT722" s="11">
        <v>49.3</v>
      </c>
      <c r="AU722" s="11">
        <v>118.384</v>
      </c>
      <c r="AV722" s="12">
        <v>265.15899999999999</v>
      </c>
    </row>
    <row r="723" spans="2:48" x14ac:dyDescent="0.2">
      <c r="B723" t="s">
        <v>13</v>
      </c>
      <c r="H723" s="12" t="s">
        <v>65</v>
      </c>
      <c r="I723" s="12" t="s">
        <v>65</v>
      </c>
      <c r="J723" s="12" t="s">
        <v>65</v>
      </c>
      <c r="K723" s="17">
        <f t="shared" si="2741"/>
        <v>-78.266999999999996</v>
      </c>
      <c r="L723" s="12" t="s">
        <v>65</v>
      </c>
      <c r="M723" s="12" t="s">
        <v>65</v>
      </c>
      <c r="N723" s="12" t="s">
        <v>65</v>
      </c>
      <c r="O723" s="17">
        <f t="shared" si="2736"/>
        <v>-209.58</v>
      </c>
      <c r="P723" s="12" t="s">
        <v>65</v>
      </c>
      <c r="Q723" s="12" t="s">
        <v>65</v>
      </c>
      <c r="R723" s="12" t="s">
        <v>65</v>
      </c>
      <c r="S723" s="17">
        <f t="shared" si="2737"/>
        <v>-469.48599999999999</v>
      </c>
      <c r="T723" s="12" t="s">
        <v>65</v>
      </c>
      <c r="U723" s="12" t="s">
        <v>65</v>
      </c>
      <c r="V723" s="12" t="s">
        <v>65</v>
      </c>
      <c r="W723" s="17">
        <f t="shared" si="2738"/>
        <v>-146.97200000000001</v>
      </c>
      <c r="X723" s="12" t="s">
        <v>65</v>
      </c>
      <c r="Y723" s="12" t="s">
        <v>65</v>
      </c>
      <c r="Z723" s="12" t="s">
        <v>65</v>
      </c>
      <c r="AA723" s="17">
        <f t="shared" si="2739"/>
        <v>-606.447</v>
      </c>
      <c r="AB723" s="12" t="s">
        <v>65</v>
      </c>
      <c r="AC723" s="12" t="s">
        <v>65</v>
      </c>
      <c r="AD723" s="12" t="s">
        <v>65</v>
      </c>
      <c r="AE723" s="17">
        <f t="shared" si="2740"/>
        <v>-1354.7850000000001</v>
      </c>
      <c r="AF723" s="12" t="s">
        <v>65</v>
      </c>
      <c r="AG723" s="12" t="s">
        <v>65</v>
      </c>
      <c r="AO723" s="11">
        <v>0</v>
      </c>
      <c r="AP723" s="11">
        <v>-2.573</v>
      </c>
      <c r="AQ723" s="11">
        <v>-78.266999999999996</v>
      </c>
      <c r="AR723" s="11">
        <v>-209.58</v>
      </c>
      <c r="AS723" s="11">
        <v>-469.48599999999999</v>
      </c>
      <c r="AT723" s="11">
        <v>-146.97200000000001</v>
      </c>
      <c r="AU723" s="11">
        <v>-606.447</v>
      </c>
      <c r="AV723" s="12">
        <v>-1354.7850000000001</v>
      </c>
    </row>
    <row r="724" spans="2:48" x14ac:dyDescent="0.2">
      <c r="B724" t="s">
        <v>126</v>
      </c>
      <c r="H724" s="12" t="s">
        <v>65</v>
      </c>
      <c r="I724" s="12" t="s">
        <v>65</v>
      </c>
      <c r="J724" s="12" t="s">
        <v>65</v>
      </c>
      <c r="K724" s="17">
        <f t="shared" si="2741"/>
        <v>1.2999999999999999E-2</v>
      </c>
      <c r="L724" s="12" t="s">
        <v>65</v>
      </c>
      <c r="M724" s="12" t="s">
        <v>65</v>
      </c>
      <c r="N724" s="12" t="s">
        <v>65</v>
      </c>
      <c r="O724" s="17">
        <f t="shared" si="2736"/>
        <v>0.17499999999999999</v>
      </c>
      <c r="P724" s="12" t="s">
        <v>65</v>
      </c>
      <c r="Q724" s="12" t="s">
        <v>65</v>
      </c>
      <c r="R724" s="12" t="s">
        <v>65</v>
      </c>
      <c r="S724" s="17">
        <f t="shared" si="2737"/>
        <v>2.4E-2</v>
      </c>
      <c r="T724" s="12" t="s">
        <v>65</v>
      </c>
      <c r="U724" s="12" t="s">
        <v>65</v>
      </c>
      <c r="V724" s="12" t="s">
        <v>65</v>
      </c>
      <c r="W724" s="17">
        <f t="shared" si="2738"/>
        <v>-0.25800000000000001</v>
      </c>
      <c r="X724" s="12" t="s">
        <v>65</v>
      </c>
      <c r="Y724" s="12" t="s">
        <v>65</v>
      </c>
      <c r="Z724" s="12" t="s">
        <v>65</v>
      </c>
      <c r="AA724" s="17">
        <f t="shared" si="2739"/>
        <v>10.696999999999999</v>
      </c>
      <c r="AB724" s="12" t="s">
        <v>65</v>
      </c>
      <c r="AC724" s="12" t="s">
        <v>65</v>
      </c>
      <c r="AD724" s="12" t="s">
        <v>65</v>
      </c>
      <c r="AE724" s="17">
        <f t="shared" si="2740"/>
        <v>1.7549999999999999</v>
      </c>
      <c r="AF724" s="12" t="s">
        <v>65</v>
      </c>
      <c r="AG724" s="12" t="s">
        <v>65</v>
      </c>
      <c r="AO724" s="11">
        <v>0</v>
      </c>
      <c r="AP724" s="11">
        <v>6.4000000000000001E-2</v>
      </c>
      <c r="AQ724" s="11">
        <v>1.2999999999999999E-2</v>
      </c>
      <c r="AR724" s="11">
        <v>0.17499999999999999</v>
      </c>
      <c r="AS724" s="11">
        <v>2.4E-2</v>
      </c>
      <c r="AT724" s="11">
        <v>-0.25800000000000001</v>
      </c>
      <c r="AU724" s="11">
        <v>10.696999999999999</v>
      </c>
      <c r="AV724" s="12">
        <v>1.7549999999999999</v>
      </c>
    </row>
    <row r="725" spans="2:48" x14ac:dyDescent="0.2">
      <c r="B725" t="s">
        <v>127</v>
      </c>
      <c r="H725" s="12" t="s">
        <v>65</v>
      </c>
      <c r="I725" s="12" t="s">
        <v>65</v>
      </c>
      <c r="J725" s="12" t="s">
        <v>65</v>
      </c>
      <c r="K725" s="17">
        <f t="shared" si="2741"/>
        <v>0</v>
      </c>
      <c r="L725" s="12" t="s">
        <v>65</v>
      </c>
      <c r="M725" s="12" t="s">
        <v>65</v>
      </c>
      <c r="N725" s="12" t="s">
        <v>65</v>
      </c>
      <c r="O725" s="17">
        <f t="shared" si="2736"/>
        <v>0</v>
      </c>
      <c r="P725" s="12" t="s">
        <v>65</v>
      </c>
      <c r="Q725" s="12" t="s">
        <v>65</v>
      </c>
      <c r="R725" s="12" t="s">
        <v>65</v>
      </c>
      <c r="S725" s="17">
        <f t="shared" si="2737"/>
        <v>0</v>
      </c>
      <c r="T725" s="12" t="s">
        <v>65</v>
      </c>
      <c r="U725" s="12" t="s">
        <v>65</v>
      </c>
      <c r="V725" s="12" t="s">
        <v>65</v>
      </c>
      <c r="W725" s="17">
        <f t="shared" si="2738"/>
        <v>-0.21299999999999999</v>
      </c>
      <c r="X725" s="12" t="s">
        <v>65</v>
      </c>
      <c r="Y725" s="12" t="s">
        <v>65</v>
      </c>
      <c r="Z725" s="12" t="s">
        <v>65</v>
      </c>
      <c r="AA725" s="17">
        <f t="shared" si="2739"/>
        <v>-1028.586</v>
      </c>
      <c r="AB725" s="12" t="s">
        <v>65</v>
      </c>
      <c r="AC725" s="12" t="s">
        <v>65</v>
      </c>
      <c r="AD725" s="12" t="s">
        <v>65</v>
      </c>
      <c r="AE725" s="17">
        <f t="shared" si="2740"/>
        <v>801.1</v>
      </c>
      <c r="AF725" s="12" t="s">
        <v>65</v>
      </c>
      <c r="AG725" s="12" t="s">
        <v>65</v>
      </c>
      <c r="AO725" s="11">
        <v>0</v>
      </c>
      <c r="AP725" s="11">
        <v>0</v>
      </c>
      <c r="AQ725" s="11">
        <v>0</v>
      </c>
      <c r="AR725" s="11">
        <v>0</v>
      </c>
      <c r="AS725" s="11">
        <v>0</v>
      </c>
      <c r="AT725" s="11">
        <v>-0.21299999999999999</v>
      </c>
      <c r="AU725" s="11">
        <v>-1028.586</v>
      </c>
      <c r="AV725" s="12">
        <v>801.1</v>
      </c>
    </row>
    <row r="726" spans="2:48" x14ac:dyDescent="0.2">
      <c r="B726" t="s">
        <v>128</v>
      </c>
      <c r="H726" s="12" t="s">
        <v>65</v>
      </c>
      <c r="I726" s="12" t="s">
        <v>65</v>
      </c>
      <c r="J726" s="12" t="s">
        <v>65</v>
      </c>
      <c r="K726" s="17">
        <f t="shared" si="2741"/>
        <v>0</v>
      </c>
      <c r="L726" s="12" t="s">
        <v>65</v>
      </c>
      <c r="M726" s="12" t="s">
        <v>65</v>
      </c>
      <c r="N726" s="12" t="s">
        <v>65</v>
      </c>
      <c r="O726" s="17">
        <f t="shared" si="2736"/>
        <v>-5.38</v>
      </c>
      <c r="P726" s="12" t="s">
        <v>65</v>
      </c>
      <c r="Q726" s="12" t="s">
        <v>65</v>
      </c>
      <c r="R726" s="12" t="s">
        <v>65</v>
      </c>
      <c r="S726" s="17">
        <f t="shared" si="2737"/>
        <v>-225.197</v>
      </c>
      <c r="T726" s="12" t="s">
        <v>65</v>
      </c>
      <c r="U726" s="12" t="s">
        <v>65</v>
      </c>
      <c r="V726" s="12" t="s">
        <v>65</v>
      </c>
      <c r="W726" s="17">
        <f t="shared" si="2738"/>
        <v>-71.75</v>
      </c>
      <c r="X726" s="12" t="s">
        <v>65</v>
      </c>
      <c r="Y726" s="12" t="s">
        <v>65</v>
      </c>
      <c r="Z726" s="12" t="s">
        <v>65</v>
      </c>
      <c r="AA726" s="17">
        <f t="shared" si="2739"/>
        <v>149.71</v>
      </c>
      <c r="AB726" s="12" t="s">
        <v>65</v>
      </c>
      <c r="AC726" s="12" t="s">
        <v>65</v>
      </c>
      <c r="AD726" s="12" t="s">
        <v>65</v>
      </c>
      <c r="AE726" s="17">
        <f t="shared" si="2740"/>
        <v>-35.720999999999997</v>
      </c>
      <c r="AF726" s="12" t="s">
        <v>65</v>
      </c>
      <c r="AG726" s="12" t="s">
        <v>65</v>
      </c>
      <c r="AO726" s="11">
        <v>0</v>
      </c>
      <c r="AP726" s="11">
        <v>0</v>
      </c>
      <c r="AQ726" s="11">
        <v>0</v>
      </c>
      <c r="AR726" s="11">
        <v>-5.38</v>
      </c>
      <c r="AS726" s="11">
        <v>-225.197</v>
      </c>
      <c r="AT726" s="11">
        <v>-71.75</v>
      </c>
      <c r="AU726" s="11">
        <v>149.71</v>
      </c>
      <c r="AV726" s="12">
        <v>-35.720999999999997</v>
      </c>
    </row>
    <row r="727" spans="2:48" x14ac:dyDescent="0.2">
      <c r="B727" t="s">
        <v>129</v>
      </c>
      <c r="H727" s="12" t="s">
        <v>65</v>
      </c>
      <c r="I727" s="12" t="s">
        <v>65</v>
      </c>
      <c r="J727" s="12" t="s">
        <v>65</v>
      </c>
      <c r="K727" s="17">
        <f t="shared" si="2741"/>
        <v>0</v>
      </c>
      <c r="L727" s="12" t="s">
        <v>65</v>
      </c>
      <c r="M727" s="12" t="s">
        <v>65</v>
      </c>
      <c r="N727" s="12" t="s">
        <v>65</v>
      </c>
      <c r="O727" s="17">
        <f t="shared" si="2736"/>
        <v>-28.675999999999998</v>
      </c>
      <c r="P727" s="12" t="s">
        <v>65</v>
      </c>
      <c r="Q727" s="12" t="s">
        <v>65</v>
      </c>
      <c r="R727" s="12" t="s">
        <v>65</v>
      </c>
      <c r="S727" s="17">
        <f t="shared" si="2737"/>
        <v>-83.653999999999996</v>
      </c>
      <c r="T727" s="12" t="s">
        <v>65</v>
      </c>
      <c r="U727" s="12" t="s">
        <v>65</v>
      </c>
      <c r="V727" s="12" t="s">
        <v>65</v>
      </c>
      <c r="W727" s="17">
        <f t="shared" si="2738"/>
        <v>-246.828</v>
      </c>
      <c r="X727" s="12" t="s">
        <v>65</v>
      </c>
      <c r="Y727" s="12" t="s">
        <v>65</v>
      </c>
      <c r="Z727" s="12" t="s">
        <v>65</v>
      </c>
      <c r="AA727" s="17">
        <f t="shared" si="2739"/>
        <v>155.285</v>
      </c>
      <c r="AB727" s="12" t="s">
        <v>65</v>
      </c>
      <c r="AC727" s="12" t="s">
        <v>65</v>
      </c>
      <c r="AD727" s="12" t="s">
        <v>65</v>
      </c>
      <c r="AE727" s="17">
        <f t="shared" si="2740"/>
        <v>4.7069999999999999</v>
      </c>
      <c r="AF727" s="12" t="s">
        <v>65</v>
      </c>
      <c r="AG727" s="12" t="s">
        <v>65</v>
      </c>
      <c r="AO727" s="11">
        <v>0</v>
      </c>
      <c r="AP727" s="11">
        <v>0</v>
      </c>
      <c r="AQ727" s="11">
        <v>0</v>
      </c>
      <c r="AR727" s="11">
        <v>-28.675999999999998</v>
      </c>
      <c r="AS727" s="11">
        <v>-83.653999999999996</v>
      </c>
      <c r="AT727" s="11">
        <v>-246.828</v>
      </c>
      <c r="AU727" s="11">
        <v>155.285</v>
      </c>
      <c r="AV727" s="12">
        <v>4.7069999999999999</v>
      </c>
    </row>
    <row r="728" spans="2:48" x14ac:dyDescent="0.2">
      <c r="B728" t="s">
        <v>130</v>
      </c>
      <c r="H728" s="12" t="s">
        <v>65</v>
      </c>
      <c r="I728" s="12" t="s">
        <v>65</v>
      </c>
      <c r="J728" s="12" t="s">
        <v>65</v>
      </c>
      <c r="K728" s="17">
        <f t="shared" si="2741"/>
        <v>0</v>
      </c>
      <c r="L728" s="12" t="s">
        <v>65</v>
      </c>
      <c r="M728" s="12" t="s">
        <v>65</v>
      </c>
      <c r="N728" s="12" t="s">
        <v>65</v>
      </c>
      <c r="O728" s="17">
        <f t="shared" si="2736"/>
        <v>0</v>
      </c>
      <c r="P728" s="12" t="s">
        <v>65</v>
      </c>
      <c r="Q728" s="12" t="s">
        <v>65</v>
      </c>
      <c r="R728" s="12" t="s">
        <v>65</v>
      </c>
      <c r="S728" s="17">
        <f t="shared" si="2737"/>
        <v>-104.068</v>
      </c>
      <c r="T728" s="12" t="s">
        <v>65</v>
      </c>
      <c r="U728" s="12" t="s">
        <v>65</v>
      </c>
      <c r="V728" s="12" t="s">
        <v>65</v>
      </c>
      <c r="W728" s="17">
        <f t="shared" si="2738"/>
        <v>22.17</v>
      </c>
      <c r="X728" s="12" t="s">
        <v>65</v>
      </c>
      <c r="Y728" s="12" t="s">
        <v>65</v>
      </c>
      <c r="Z728" s="12" t="s">
        <v>65</v>
      </c>
      <c r="AA728" s="17">
        <f t="shared" si="2739"/>
        <v>242.23599999999999</v>
      </c>
      <c r="AB728" s="12" t="s">
        <v>65</v>
      </c>
      <c r="AC728" s="12" t="s">
        <v>65</v>
      </c>
      <c r="AD728" s="12" t="s">
        <v>65</v>
      </c>
      <c r="AE728" s="17">
        <f t="shared" si="2740"/>
        <v>-1013.475</v>
      </c>
      <c r="AF728" s="12" t="s">
        <v>65</v>
      </c>
      <c r="AG728" s="12" t="s">
        <v>65</v>
      </c>
      <c r="AO728" s="11">
        <v>0</v>
      </c>
      <c r="AP728" s="11">
        <v>0</v>
      </c>
      <c r="AQ728" s="11">
        <v>0</v>
      </c>
      <c r="AR728" s="11">
        <v>0</v>
      </c>
      <c r="AS728" s="11">
        <v>-104.068</v>
      </c>
      <c r="AT728" s="11">
        <v>22.17</v>
      </c>
      <c r="AU728" s="11">
        <v>242.23599999999999</v>
      </c>
      <c r="AV728" s="12">
        <v>-1013.475</v>
      </c>
    </row>
    <row r="729" spans="2:48" x14ac:dyDescent="0.2">
      <c r="B729" t="s">
        <v>131</v>
      </c>
      <c r="H729" s="12" t="s">
        <v>65</v>
      </c>
      <c r="I729" s="12" t="s">
        <v>65</v>
      </c>
      <c r="J729" s="12" t="s">
        <v>65</v>
      </c>
      <c r="K729" s="17">
        <f t="shared" si="2741"/>
        <v>0</v>
      </c>
      <c r="L729" s="12" t="s">
        <v>65</v>
      </c>
      <c r="M729" s="12" t="s">
        <v>65</v>
      </c>
      <c r="N729" s="12" t="s">
        <v>65</v>
      </c>
      <c r="O729" s="17">
        <f t="shared" si="2736"/>
        <v>0</v>
      </c>
      <c r="P729" s="12" t="s">
        <v>65</v>
      </c>
      <c r="Q729" s="12" t="s">
        <v>65</v>
      </c>
      <c r="R729" s="12" t="s">
        <v>65</v>
      </c>
      <c r="S729" s="17">
        <f t="shared" si="2737"/>
        <v>-5.1879999999999997</v>
      </c>
      <c r="T729" s="12" t="s">
        <v>65</v>
      </c>
      <c r="U729" s="12" t="s">
        <v>65</v>
      </c>
      <c r="V729" s="12" t="s">
        <v>65</v>
      </c>
      <c r="W729" s="17">
        <f t="shared" si="2738"/>
        <v>-2.7879999999999998</v>
      </c>
      <c r="X729" s="12" t="s">
        <v>65</v>
      </c>
      <c r="Y729" s="12" t="s">
        <v>65</v>
      </c>
      <c r="Z729" s="12" t="s">
        <v>65</v>
      </c>
      <c r="AA729" s="17">
        <f t="shared" si="2739"/>
        <v>0</v>
      </c>
      <c r="AB729" s="12" t="s">
        <v>65</v>
      </c>
      <c r="AC729" s="12" t="s">
        <v>65</v>
      </c>
      <c r="AD729" s="12" t="s">
        <v>65</v>
      </c>
      <c r="AE729" s="17">
        <f t="shared" si="2740"/>
        <v>0</v>
      </c>
      <c r="AF729" s="12" t="s">
        <v>65</v>
      </c>
      <c r="AG729" s="12" t="s">
        <v>65</v>
      </c>
      <c r="AO729" s="11">
        <v>0</v>
      </c>
      <c r="AP729" s="11">
        <v>0</v>
      </c>
      <c r="AQ729" s="11">
        <v>0</v>
      </c>
      <c r="AR729" s="11">
        <v>0</v>
      </c>
      <c r="AS729" s="11">
        <v>-5.1879999999999997</v>
      </c>
      <c r="AT729" s="11">
        <v>-2.7879999999999998</v>
      </c>
      <c r="AU729" s="11">
        <v>0</v>
      </c>
      <c r="AV729" s="12">
        <v>0</v>
      </c>
    </row>
    <row r="730" spans="2:48" x14ac:dyDescent="0.2">
      <c r="B730" t="s">
        <v>77</v>
      </c>
      <c r="H730" s="12" t="s">
        <v>65</v>
      </c>
      <c r="I730" s="12" t="s">
        <v>65</v>
      </c>
      <c r="J730" s="12" t="s">
        <v>65</v>
      </c>
      <c r="K730" s="17">
        <f t="shared" si="2741"/>
        <v>6841.5730000000003</v>
      </c>
      <c r="L730" s="12" t="s">
        <v>65</v>
      </c>
      <c r="M730" s="12" t="s">
        <v>65</v>
      </c>
      <c r="N730" s="12" t="s">
        <v>65</v>
      </c>
      <c r="O730" s="17">
        <f t="shared" si="2736"/>
        <v>2557.7060000000001</v>
      </c>
      <c r="P730" s="12" t="s">
        <v>65</v>
      </c>
      <c r="Q730" s="12" t="s">
        <v>65</v>
      </c>
      <c r="R730" s="12" t="s">
        <v>65</v>
      </c>
      <c r="S730" s="17">
        <f t="shared" si="2737"/>
        <v>3613.0430000000001</v>
      </c>
      <c r="T730" s="12" t="s">
        <v>65</v>
      </c>
      <c r="U730" s="12" t="s">
        <v>65</v>
      </c>
      <c r="V730" s="12" t="s">
        <v>65</v>
      </c>
      <c r="W730" s="17">
        <f t="shared" si="2738"/>
        <v>4774.7299999999996</v>
      </c>
      <c r="X730" s="12" t="s">
        <v>65</v>
      </c>
      <c r="Y730" s="12" t="s">
        <v>65</v>
      </c>
      <c r="Z730" s="12" t="s">
        <v>65</v>
      </c>
      <c r="AA730" s="17">
        <f t="shared" si="2739"/>
        <v>7718.3649999999998</v>
      </c>
      <c r="AB730" s="12" t="s">
        <v>65</v>
      </c>
      <c r="AC730" s="12" t="s">
        <v>65</v>
      </c>
      <c r="AD730" s="12" t="s">
        <v>65</v>
      </c>
      <c r="AE730" s="17">
        <f t="shared" si="2740"/>
        <v>7078.7939999999999</v>
      </c>
      <c r="AF730" s="12" t="s">
        <v>65</v>
      </c>
      <c r="AG730" s="12" t="s">
        <v>65</v>
      </c>
      <c r="AO730" s="11">
        <v>4.0640000000000001</v>
      </c>
      <c r="AP730" s="11">
        <v>13.38</v>
      </c>
      <c r="AQ730" s="11">
        <v>6841.5730000000003</v>
      </c>
      <c r="AR730" s="11">
        <v>2557.7060000000001</v>
      </c>
      <c r="AS730" s="11">
        <v>3613.0430000000001</v>
      </c>
      <c r="AT730" s="11">
        <v>4774.7299999999996</v>
      </c>
      <c r="AU730" s="11">
        <v>7718.3649999999998</v>
      </c>
      <c r="AV730" s="12">
        <v>7078.7939999999999</v>
      </c>
    </row>
    <row r="731" spans="2:48" x14ac:dyDescent="0.2">
      <c r="B731" t="s">
        <v>172</v>
      </c>
      <c r="H731" s="14"/>
      <c r="I731" s="14"/>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O731" s="14"/>
      <c r="AP731" s="14"/>
      <c r="AQ731" s="14"/>
      <c r="AR731" s="14"/>
      <c r="AS731" s="14"/>
      <c r="AT731" s="14"/>
      <c r="AU731" s="14"/>
      <c r="AV731" s="14"/>
    </row>
    <row r="732" spans="2:48" x14ac:dyDescent="0.2">
      <c r="B732" s="4" t="s">
        <v>132</v>
      </c>
      <c r="H732" s="12" t="s">
        <v>65</v>
      </c>
      <c r="I732" s="12" t="s">
        <v>65</v>
      </c>
      <c r="J732" s="12" t="s">
        <v>65</v>
      </c>
      <c r="K732" s="17">
        <f t="shared" si="2741"/>
        <v>0</v>
      </c>
      <c r="L732" s="12" t="s">
        <v>65</v>
      </c>
      <c r="M732" s="12" t="s">
        <v>65</v>
      </c>
      <c r="N732" s="12" t="s">
        <v>65</v>
      </c>
      <c r="O732" s="17">
        <f t="shared" ref="O732:O746" si="2742">+AR732</f>
        <v>0</v>
      </c>
      <c r="P732" s="12" t="s">
        <v>65</v>
      </c>
      <c r="Q732" s="12" t="s">
        <v>65</v>
      </c>
      <c r="R732" s="12" t="s">
        <v>65</v>
      </c>
      <c r="S732" s="17">
        <f t="shared" ref="S732:S746" si="2743">+AS732</f>
        <v>0</v>
      </c>
      <c r="T732" s="12" t="s">
        <v>65</v>
      </c>
      <c r="U732" s="12" t="s">
        <v>65</v>
      </c>
      <c r="V732" s="12" t="s">
        <v>65</v>
      </c>
      <c r="W732" s="17">
        <f t="shared" ref="W732:W746" si="2744">+AT732</f>
        <v>0</v>
      </c>
      <c r="X732" s="12" t="s">
        <v>65</v>
      </c>
      <c r="Y732" s="12" t="s">
        <v>65</v>
      </c>
      <c r="Z732" s="12" t="s">
        <v>65</v>
      </c>
      <c r="AA732" s="17">
        <f t="shared" ref="AA732:AA746" si="2745">+AU732</f>
        <v>0</v>
      </c>
      <c r="AB732" s="12" t="s">
        <v>65</v>
      </c>
      <c r="AC732" s="12" t="s">
        <v>65</v>
      </c>
      <c r="AD732" s="12" t="s">
        <v>65</v>
      </c>
      <c r="AE732" s="17">
        <f t="shared" ref="AE732:AE746" si="2746">+AV732</f>
        <v>0</v>
      </c>
      <c r="AF732" s="12" t="s">
        <v>65</v>
      </c>
      <c r="AG732" s="12" t="s">
        <v>65</v>
      </c>
      <c r="AO732" s="11">
        <v>0</v>
      </c>
      <c r="AP732" s="11">
        <v>-9370.8490000000002</v>
      </c>
      <c r="AQ732" s="11">
        <v>0</v>
      </c>
      <c r="AR732" s="11">
        <v>0</v>
      </c>
      <c r="AS732" s="11">
        <v>0</v>
      </c>
      <c r="AT732" s="11">
        <v>0</v>
      </c>
      <c r="AU732" s="11">
        <v>0</v>
      </c>
      <c r="AV732" s="12">
        <v>0</v>
      </c>
    </row>
    <row r="733" spans="2:48" x14ac:dyDescent="0.2">
      <c r="B733" s="4" t="s">
        <v>133</v>
      </c>
      <c r="H733" s="12" t="s">
        <v>65</v>
      </c>
      <c r="I733" s="12" t="s">
        <v>65</v>
      </c>
      <c r="J733" s="12" t="s">
        <v>65</v>
      </c>
      <c r="K733" s="17">
        <f t="shared" si="2741"/>
        <v>-159.41300000000001</v>
      </c>
      <c r="L733" s="12" t="s">
        <v>65</v>
      </c>
      <c r="M733" s="12" t="s">
        <v>65</v>
      </c>
      <c r="N733" s="12" t="s">
        <v>65</v>
      </c>
      <c r="O733" s="17">
        <f t="shared" si="2742"/>
        <v>-803.38800000000003</v>
      </c>
      <c r="P733" s="12" t="s">
        <v>65</v>
      </c>
      <c r="Q733" s="12" t="s">
        <v>65</v>
      </c>
      <c r="R733" s="12" t="s">
        <v>65</v>
      </c>
      <c r="S733" s="17">
        <f t="shared" si="2743"/>
        <v>321.42599999999999</v>
      </c>
      <c r="T733" s="12" t="s">
        <v>65</v>
      </c>
      <c r="U733" s="12" t="s">
        <v>65</v>
      </c>
      <c r="V733" s="12" t="s">
        <v>65</v>
      </c>
      <c r="W733" s="17">
        <f t="shared" si="2744"/>
        <v>55.811</v>
      </c>
      <c r="X733" s="12" t="s">
        <v>65</v>
      </c>
      <c r="Y733" s="12" t="s">
        <v>65</v>
      </c>
      <c r="Z733" s="12" t="s">
        <v>65</v>
      </c>
      <c r="AA733" s="17">
        <f t="shared" si="2745"/>
        <v>86.040999999999997</v>
      </c>
      <c r="AB733" s="12" t="s">
        <v>65</v>
      </c>
      <c r="AC733" s="12" t="s">
        <v>65</v>
      </c>
      <c r="AD733" s="12" t="s">
        <v>65</v>
      </c>
      <c r="AE733" s="17">
        <f t="shared" si="2746"/>
        <v>-3326.4209999999998</v>
      </c>
      <c r="AF733" s="12" t="s">
        <v>65</v>
      </c>
      <c r="AG733" s="12" t="s">
        <v>65</v>
      </c>
      <c r="AO733" s="11">
        <v>-8.3160000000000007</v>
      </c>
      <c r="AP733" s="11">
        <v>-77.891000000000005</v>
      </c>
      <c r="AQ733" s="11">
        <v>-159.41300000000001</v>
      </c>
      <c r="AR733" s="11">
        <v>-803.38800000000003</v>
      </c>
      <c r="AS733" s="11">
        <v>321.42599999999999</v>
      </c>
      <c r="AT733" s="11">
        <v>55.811</v>
      </c>
      <c r="AU733" s="11">
        <v>86.040999999999997</v>
      </c>
      <c r="AV733" s="12">
        <v>-3326.4209999999998</v>
      </c>
    </row>
    <row r="734" spans="2:48" x14ac:dyDescent="0.2">
      <c r="B734" s="4" t="s">
        <v>134</v>
      </c>
      <c r="H734" s="12" t="s">
        <v>65</v>
      </c>
      <c r="I734" s="12" t="s">
        <v>65</v>
      </c>
      <c r="J734" s="12" t="s">
        <v>65</v>
      </c>
      <c r="K734" s="17">
        <f t="shared" si="2741"/>
        <v>-576.12099999999998</v>
      </c>
      <c r="L734" s="12" t="s">
        <v>65</v>
      </c>
      <c r="M734" s="12" t="s">
        <v>65</v>
      </c>
      <c r="N734" s="12" t="s">
        <v>65</v>
      </c>
      <c r="O734" s="17">
        <f t="shared" si="2742"/>
        <v>-886.86300000000006</v>
      </c>
      <c r="P734" s="12" t="s">
        <v>65</v>
      </c>
      <c r="Q734" s="12" t="s">
        <v>65</v>
      </c>
      <c r="R734" s="12" t="s">
        <v>65</v>
      </c>
      <c r="S734" s="17">
        <f t="shared" si="2743"/>
        <v>-1636.5409999999999</v>
      </c>
      <c r="T734" s="12" t="s">
        <v>65</v>
      </c>
      <c r="U734" s="12" t="s">
        <v>65</v>
      </c>
      <c r="V734" s="12" t="s">
        <v>65</v>
      </c>
      <c r="W734" s="17">
        <f t="shared" si="2744"/>
        <v>-10.086</v>
      </c>
      <c r="X734" s="12" t="s">
        <v>65</v>
      </c>
      <c r="Y734" s="12" t="s">
        <v>65</v>
      </c>
      <c r="Z734" s="12" t="s">
        <v>65</v>
      </c>
      <c r="AA734" s="17">
        <f t="shared" si="2745"/>
        <v>-2068.6750000000002</v>
      </c>
      <c r="AB734" s="12" t="s">
        <v>65</v>
      </c>
      <c r="AC734" s="12" t="s">
        <v>65</v>
      </c>
      <c r="AD734" s="12" t="s">
        <v>65</v>
      </c>
      <c r="AE734" s="17">
        <f t="shared" si="2746"/>
        <v>-1096.24</v>
      </c>
      <c r="AF734" s="12" t="s">
        <v>65</v>
      </c>
      <c r="AG734" s="12" t="s">
        <v>65</v>
      </c>
      <c r="AO734" s="11">
        <v>-2.7480000000000002</v>
      </c>
      <c r="AP734" s="11">
        <v>-350.26499999999999</v>
      </c>
      <c r="AQ734" s="11">
        <v>-576.12099999999998</v>
      </c>
      <c r="AR734" s="11">
        <v>-886.86300000000006</v>
      </c>
      <c r="AS734" s="11">
        <v>-1636.5409999999999</v>
      </c>
      <c r="AT734" s="11">
        <v>-10.086</v>
      </c>
      <c r="AU734" s="11">
        <v>-2068.6750000000002</v>
      </c>
      <c r="AV734" s="12">
        <v>-1096.24</v>
      </c>
    </row>
    <row r="735" spans="2:48" x14ac:dyDescent="0.2">
      <c r="B735" s="4" t="s">
        <v>135</v>
      </c>
      <c r="H735" s="12" t="s">
        <v>65</v>
      </c>
      <c r="I735" s="12" t="s">
        <v>65</v>
      </c>
      <c r="J735" s="12" t="s">
        <v>65</v>
      </c>
      <c r="K735" s="17">
        <f t="shared" si="2741"/>
        <v>-788.577</v>
      </c>
      <c r="L735" s="12" t="s">
        <v>65</v>
      </c>
      <c r="M735" s="12" t="s">
        <v>65</v>
      </c>
      <c r="N735" s="12" t="s">
        <v>65</v>
      </c>
      <c r="O735" s="17">
        <f t="shared" si="2742"/>
        <v>12.449</v>
      </c>
      <c r="P735" s="12" t="s">
        <v>65</v>
      </c>
      <c r="Q735" s="12" t="s">
        <v>65</v>
      </c>
      <c r="R735" s="12" t="s">
        <v>65</v>
      </c>
      <c r="S735" s="17">
        <f t="shared" si="2743"/>
        <v>-4048.5360000000001</v>
      </c>
      <c r="T735" s="12" t="s">
        <v>65</v>
      </c>
      <c r="U735" s="12" t="s">
        <v>65</v>
      </c>
      <c r="V735" s="12" t="s">
        <v>65</v>
      </c>
      <c r="W735" s="17">
        <f t="shared" si="2744"/>
        <v>1744.645</v>
      </c>
      <c r="X735" s="12" t="s">
        <v>65</v>
      </c>
      <c r="Y735" s="12" t="s">
        <v>65</v>
      </c>
      <c r="Z735" s="12" t="s">
        <v>65</v>
      </c>
      <c r="AA735" s="17">
        <f t="shared" si="2745"/>
        <v>758.28200000000004</v>
      </c>
      <c r="AB735" s="12" t="s">
        <v>65</v>
      </c>
      <c r="AC735" s="12" t="s">
        <v>65</v>
      </c>
      <c r="AD735" s="12" t="s">
        <v>65</v>
      </c>
      <c r="AE735" s="17">
        <f t="shared" si="2746"/>
        <v>-2121.308</v>
      </c>
      <c r="AF735" s="12" t="s">
        <v>65</v>
      </c>
      <c r="AG735" s="12" t="s">
        <v>65</v>
      </c>
      <c r="AO735" s="11">
        <v>98.715000000000003</v>
      </c>
      <c r="AP735" s="11">
        <v>-87.614000000000004</v>
      </c>
      <c r="AQ735" s="11">
        <v>-788.577</v>
      </c>
      <c r="AR735" s="11">
        <v>12.449</v>
      </c>
      <c r="AS735" s="11">
        <v>-4048.5360000000001</v>
      </c>
      <c r="AT735" s="11">
        <v>1744.645</v>
      </c>
      <c r="AU735" s="11">
        <v>758.28200000000004</v>
      </c>
      <c r="AV735" s="12">
        <v>-2121.308</v>
      </c>
    </row>
    <row r="736" spans="2:48" x14ac:dyDescent="0.2">
      <c r="B736" s="4" t="s">
        <v>136</v>
      </c>
      <c r="H736" s="12" t="s">
        <v>65</v>
      </c>
      <c r="I736" s="12" t="s">
        <v>65</v>
      </c>
      <c r="J736" s="12" t="s">
        <v>65</v>
      </c>
      <c r="K736" s="17">
        <f t="shared" si="2741"/>
        <v>402.05599999999998</v>
      </c>
      <c r="L736" s="12" t="s">
        <v>65</v>
      </c>
      <c r="M736" s="12" t="s">
        <v>65</v>
      </c>
      <c r="N736" s="12" t="s">
        <v>65</v>
      </c>
      <c r="O736" s="17">
        <f t="shared" si="2742"/>
        <v>1024.779</v>
      </c>
      <c r="P736" s="12" t="s">
        <v>65</v>
      </c>
      <c r="Q736" s="12" t="s">
        <v>65</v>
      </c>
      <c r="R736" s="12" t="s">
        <v>65</v>
      </c>
      <c r="S736" s="17">
        <f t="shared" si="2743"/>
        <v>1882.971</v>
      </c>
      <c r="T736" s="12" t="s">
        <v>65</v>
      </c>
      <c r="U736" s="12" t="s">
        <v>65</v>
      </c>
      <c r="V736" s="12" t="s">
        <v>65</v>
      </c>
      <c r="W736" s="17">
        <f t="shared" si="2744"/>
        <v>-1422.856</v>
      </c>
      <c r="X736" s="12" t="s">
        <v>65</v>
      </c>
      <c r="Y736" s="12" t="s">
        <v>65</v>
      </c>
      <c r="Z736" s="12" t="s">
        <v>65</v>
      </c>
      <c r="AA736" s="17">
        <f t="shared" si="2745"/>
        <v>-286.61599999999999</v>
      </c>
      <c r="AB736" s="12" t="s">
        <v>65</v>
      </c>
      <c r="AC736" s="12" t="s">
        <v>65</v>
      </c>
      <c r="AD736" s="12" t="s">
        <v>65</v>
      </c>
      <c r="AE736" s="17">
        <f t="shared" si="2746"/>
        <v>-437.61500000000001</v>
      </c>
      <c r="AF736" s="12" t="s">
        <v>65</v>
      </c>
      <c r="AG736" s="12" t="s">
        <v>65</v>
      </c>
      <c r="AO736" s="11">
        <v>-42.319000000000003</v>
      </c>
      <c r="AP736" s="11">
        <v>51.081000000000003</v>
      </c>
      <c r="AQ736" s="11">
        <v>402.05599999999998</v>
      </c>
      <c r="AR736" s="11">
        <v>1024.779</v>
      </c>
      <c r="AS736" s="11">
        <v>1882.971</v>
      </c>
      <c r="AT736" s="11">
        <v>-1422.856</v>
      </c>
      <c r="AU736" s="11">
        <v>-286.61599999999999</v>
      </c>
      <c r="AV736" s="12">
        <v>-437.61500000000001</v>
      </c>
    </row>
    <row r="737" spans="2:48" x14ac:dyDescent="0.2">
      <c r="B737" s="4" t="s">
        <v>137</v>
      </c>
      <c r="H737" s="12" t="s">
        <v>65</v>
      </c>
      <c r="I737" s="12" t="s">
        <v>65</v>
      </c>
      <c r="J737" s="12" t="s">
        <v>65</v>
      </c>
      <c r="K737" s="17">
        <f t="shared" si="2741"/>
        <v>135.029</v>
      </c>
      <c r="L737" s="12" t="s">
        <v>65</v>
      </c>
      <c r="M737" s="12" t="s">
        <v>65</v>
      </c>
      <c r="N737" s="12" t="s">
        <v>65</v>
      </c>
      <c r="O737" s="17">
        <f t="shared" si="2742"/>
        <v>414.488</v>
      </c>
      <c r="P737" s="12" t="s">
        <v>65</v>
      </c>
      <c r="Q737" s="12" t="s">
        <v>65</v>
      </c>
      <c r="R737" s="12" t="s">
        <v>65</v>
      </c>
      <c r="S737" s="17">
        <f t="shared" si="2743"/>
        <v>1817.22</v>
      </c>
      <c r="T737" s="12" t="s">
        <v>65</v>
      </c>
      <c r="U737" s="12" t="s">
        <v>65</v>
      </c>
      <c r="V737" s="12" t="s">
        <v>65</v>
      </c>
      <c r="W737" s="17">
        <f t="shared" si="2744"/>
        <v>-1256.4259999999999</v>
      </c>
      <c r="X737" s="12" t="s">
        <v>65</v>
      </c>
      <c r="Y737" s="12" t="s">
        <v>65</v>
      </c>
      <c r="Z737" s="12" t="s">
        <v>65</v>
      </c>
      <c r="AA737" s="17">
        <f t="shared" si="2745"/>
        <v>222.89099999999999</v>
      </c>
      <c r="AB737" s="12" t="s">
        <v>65</v>
      </c>
      <c r="AC737" s="12" t="s">
        <v>65</v>
      </c>
      <c r="AD737" s="12" t="s">
        <v>65</v>
      </c>
      <c r="AE737" s="17">
        <f t="shared" si="2746"/>
        <v>754.95500000000004</v>
      </c>
      <c r="AF737" s="12" t="s">
        <v>65</v>
      </c>
      <c r="AG737" s="12" t="s">
        <v>65</v>
      </c>
      <c r="AO737" s="11">
        <v>-102.73099999999999</v>
      </c>
      <c r="AP737" s="11">
        <v>54.298999999999999</v>
      </c>
      <c r="AQ737" s="11">
        <v>135.029</v>
      </c>
      <c r="AR737" s="11">
        <v>414.488</v>
      </c>
      <c r="AS737" s="11">
        <v>1817.22</v>
      </c>
      <c r="AT737" s="11">
        <v>-1256.4259999999999</v>
      </c>
      <c r="AU737" s="11">
        <v>222.89099999999999</v>
      </c>
      <c r="AV737" s="12">
        <v>754.95500000000004</v>
      </c>
    </row>
    <row r="738" spans="2:48" x14ac:dyDescent="0.2">
      <c r="B738" s="4" t="s">
        <v>138</v>
      </c>
      <c r="H738" s="12" t="s">
        <v>65</v>
      </c>
      <c r="I738" s="12" t="s">
        <v>65</v>
      </c>
      <c r="J738" s="12" t="s">
        <v>65</v>
      </c>
      <c r="K738" s="17">
        <f t="shared" si="2741"/>
        <v>7437.415</v>
      </c>
      <c r="L738" s="12" t="s">
        <v>65</v>
      </c>
      <c r="M738" s="12" t="s">
        <v>65</v>
      </c>
      <c r="N738" s="12" t="s">
        <v>65</v>
      </c>
      <c r="O738" s="17">
        <f t="shared" si="2742"/>
        <v>12650.833000000001</v>
      </c>
      <c r="P738" s="12" t="s">
        <v>65</v>
      </c>
      <c r="Q738" s="12" t="s">
        <v>65</v>
      </c>
      <c r="R738" s="12" t="s">
        <v>65</v>
      </c>
      <c r="S738" s="17">
        <f t="shared" si="2743"/>
        <v>23934.151000000002</v>
      </c>
      <c r="T738" s="12" t="s">
        <v>65</v>
      </c>
      <c r="U738" s="12" t="s">
        <v>65</v>
      </c>
      <c r="V738" s="12" t="s">
        <v>65</v>
      </c>
      <c r="W738" s="17">
        <f t="shared" si="2744"/>
        <v>8686.4930000000004</v>
      </c>
      <c r="X738" s="12" t="s">
        <v>65</v>
      </c>
      <c r="Y738" s="12" t="s">
        <v>65</v>
      </c>
      <c r="Z738" s="12" t="s">
        <v>65</v>
      </c>
      <c r="AA738" s="17">
        <f t="shared" si="2745"/>
        <v>749.37300000000005</v>
      </c>
      <c r="AB738" s="12" t="s">
        <v>65</v>
      </c>
      <c r="AC738" s="12" t="s">
        <v>65</v>
      </c>
      <c r="AD738" s="12" t="s">
        <v>65</v>
      </c>
      <c r="AE738" s="17">
        <f t="shared" si="2746"/>
        <v>11623.138000000001</v>
      </c>
      <c r="AF738" s="12" t="s">
        <v>65</v>
      </c>
      <c r="AG738" s="12" t="s">
        <v>65</v>
      </c>
      <c r="AO738" s="11">
        <v>1091.6030000000001</v>
      </c>
      <c r="AP738" s="11">
        <v>8721.7209999999995</v>
      </c>
      <c r="AQ738" s="11">
        <v>7437.415</v>
      </c>
      <c r="AR738" s="11">
        <v>12650.833000000001</v>
      </c>
      <c r="AS738" s="11">
        <v>23934.151000000002</v>
      </c>
      <c r="AT738" s="11">
        <v>8686.4930000000004</v>
      </c>
      <c r="AU738" s="11">
        <v>749.37300000000005</v>
      </c>
      <c r="AV738" s="12">
        <v>11623.138000000001</v>
      </c>
    </row>
    <row r="739" spans="2:48" x14ac:dyDescent="0.2">
      <c r="B739" s="4" t="s">
        <v>139</v>
      </c>
      <c r="H739" s="12" t="s">
        <v>65</v>
      </c>
      <c r="I739" s="12" t="s">
        <v>65</v>
      </c>
      <c r="J739" s="12" t="s">
        <v>65</v>
      </c>
      <c r="K739" s="17">
        <f t="shared" si="2741"/>
        <v>1864.153</v>
      </c>
      <c r="L739" s="12" t="s">
        <v>65</v>
      </c>
      <c r="M739" s="12" t="s">
        <v>65</v>
      </c>
      <c r="N739" s="12" t="s">
        <v>65</v>
      </c>
      <c r="O739" s="17">
        <f t="shared" si="2742"/>
        <v>2648.8690000000001</v>
      </c>
      <c r="P739" s="12" t="s">
        <v>65</v>
      </c>
      <c r="Q739" s="12" t="s">
        <v>65</v>
      </c>
      <c r="R739" s="12" t="s">
        <v>65</v>
      </c>
      <c r="S739" s="17">
        <f t="shared" si="2743"/>
        <v>5849.1480000000001</v>
      </c>
      <c r="T739" s="12" t="s">
        <v>65</v>
      </c>
      <c r="U739" s="12" t="s">
        <v>65</v>
      </c>
      <c r="V739" s="12" t="s">
        <v>65</v>
      </c>
      <c r="W739" s="17">
        <f t="shared" si="2744"/>
        <v>3492.038</v>
      </c>
      <c r="X739" s="12" t="s">
        <v>65</v>
      </c>
      <c r="Y739" s="12" t="s">
        <v>65</v>
      </c>
      <c r="Z739" s="12" t="s">
        <v>65</v>
      </c>
      <c r="AA739" s="17">
        <f t="shared" si="2745"/>
        <v>7003.9979999999996</v>
      </c>
      <c r="AB739" s="12" t="s">
        <v>65</v>
      </c>
      <c r="AC739" s="12" t="s">
        <v>65</v>
      </c>
      <c r="AD739" s="12" t="s">
        <v>65</v>
      </c>
      <c r="AE739" s="17">
        <f t="shared" si="2746"/>
        <v>34258.159</v>
      </c>
      <c r="AF739" s="12" t="s">
        <v>65</v>
      </c>
      <c r="AG739" s="12" t="s">
        <v>65</v>
      </c>
      <c r="AO739" s="11">
        <v>-95.41</v>
      </c>
      <c r="AP739" s="11">
        <v>318.363</v>
      </c>
      <c r="AQ739" s="11">
        <v>1864.153</v>
      </c>
      <c r="AR739" s="11">
        <v>2648.8690000000001</v>
      </c>
      <c r="AS739" s="11">
        <v>5849.1480000000001</v>
      </c>
      <c r="AT739" s="11">
        <v>3492.038</v>
      </c>
      <c r="AU739" s="11">
        <v>7003.9979999999996</v>
      </c>
      <c r="AV739" s="12">
        <v>34258.159</v>
      </c>
    </row>
    <row r="740" spans="2:48" x14ac:dyDescent="0.2">
      <c r="B740" s="4" t="s">
        <v>140</v>
      </c>
      <c r="H740" s="12" t="s">
        <v>65</v>
      </c>
      <c r="I740" s="12" t="s">
        <v>65</v>
      </c>
      <c r="J740" s="12" t="s">
        <v>65</v>
      </c>
      <c r="K740" s="17">
        <f t="shared" si="2741"/>
        <v>2410.1880000000001</v>
      </c>
      <c r="L740" s="12" t="s">
        <v>65</v>
      </c>
      <c r="M740" s="12" t="s">
        <v>65</v>
      </c>
      <c r="N740" s="12" t="s">
        <v>65</v>
      </c>
      <c r="O740" s="17">
        <f t="shared" si="2742"/>
        <v>3652.6390000000001</v>
      </c>
      <c r="P740" s="12" t="s">
        <v>65</v>
      </c>
      <c r="Q740" s="12" t="s">
        <v>65</v>
      </c>
      <c r="R740" s="12" t="s">
        <v>65</v>
      </c>
      <c r="S740" s="17">
        <f t="shared" si="2743"/>
        <v>3085.4070000000002</v>
      </c>
      <c r="T740" s="12" t="s">
        <v>65</v>
      </c>
      <c r="U740" s="12" t="s">
        <v>65</v>
      </c>
      <c r="V740" s="12" t="s">
        <v>65</v>
      </c>
      <c r="W740" s="17">
        <f t="shared" si="2744"/>
        <v>2651.2330000000002</v>
      </c>
      <c r="X740" s="12" t="s">
        <v>65</v>
      </c>
      <c r="Y740" s="12" t="s">
        <v>65</v>
      </c>
      <c r="Z740" s="12" t="s">
        <v>65</v>
      </c>
      <c r="AA740" s="17">
        <f t="shared" si="2745"/>
        <v>1480.6769999999999</v>
      </c>
      <c r="AB740" s="12" t="s">
        <v>65</v>
      </c>
      <c r="AC740" s="12" t="s">
        <v>65</v>
      </c>
      <c r="AD740" s="12" t="s">
        <v>65</v>
      </c>
      <c r="AE740" s="17">
        <f t="shared" si="2746"/>
        <v>1820.5170000000001</v>
      </c>
      <c r="AF740" s="12" t="s">
        <v>65</v>
      </c>
      <c r="AG740" s="12" t="s">
        <v>65</v>
      </c>
      <c r="AO740" s="11">
        <v>219.47200000000001</v>
      </c>
      <c r="AP740" s="11">
        <v>1558.6130000000001</v>
      </c>
      <c r="AQ740" s="11">
        <v>2410.1880000000001</v>
      </c>
      <c r="AR740" s="11">
        <v>3652.6390000000001</v>
      </c>
      <c r="AS740" s="11">
        <v>3085.4070000000002</v>
      </c>
      <c r="AT740" s="11">
        <v>2651.2330000000002</v>
      </c>
      <c r="AU740" s="11">
        <v>1480.6769999999999</v>
      </c>
      <c r="AV740" s="12">
        <v>1820.5170000000001</v>
      </c>
    </row>
    <row r="741" spans="2:48" x14ac:dyDescent="0.2">
      <c r="B741" s="4" t="s">
        <v>141</v>
      </c>
      <c r="H741" s="12" t="s">
        <v>65</v>
      </c>
      <c r="I741" s="12" t="s">
        <v>65</v>
      </c>
      <c r="J741" s="12" t="s">
        <v>65</v>
      </c>
      <c r="K741" s="17">
        <f t="shared" si="2741"/>
        <v>0</v>
      </c>
      <c r="L741" s="12" t="s">
        <v>65</v>
      </c>
      <c r="M741" s="12" t="s">
        <v>65</v>
      </c>
      <c r="N741" s="12" t="s">
        <v>65</v>
      </c>
      <c r="O741" s="17">
        <f t="shared" si="2742"/>
        <v>-590.39400000000001</v>
      </c>
      <c r="P741" s="12" t="s">
        <v>65</v>
      </c>
      <c r="Q741" s="12" t="s">
        <v>65</v>
      </c>
      <c r="R741" s="12" t="s">
        <v>65</v>
      </c>
      <c r="S741" s="17">
        <f t="shared" si="2743"/>
        <v>0</v>
      </c>
      <c r="T741" s="12" t="s">
        <v>65</v>
      </c>
      <c r="U741" s="12" t="s">
        <v>65</v>
      </c>
      <c r="V741" s="12" t="s">
        <v>65</v>
      </c>
      <c r="W741" s="17">
        <f t="shared" si="2744"/>
        <v>0</v>
      </c>
      <c r="X741" s="12" t="s">
        <v>65</v>
      </c>
      <c r="Y741" s="12" t="s">
        <v>65</v>
      </c>
      <c r="Z741" s="12" t="s">
        <v>65</v>
      </c>
      <c r="AA741" s="17">
        <f t="shared" si="2745"/>
        <v>0</v>
      </c>
      <c r="AB741" s="12" t="s">
        <v>65</v>
      </c>
      <c r="AC741" s="12" t="s">
        <v>65</v>
      </c>
      <c r="AD741" s="12" t="s">
        <v>65</v>
      </c>
      <c r="AE741" s="17">
        <f t="shared" si="2746"/>
        <v>0</v>
      </c>
      <c r="AF741" s="12" t="s">
        <v>65</v>
      </c>
      <c r="AG741" s="12" t="s">
        <v>65</v>
      </c>
      <c r="AO741" s="11">
        <v>0</v>
      </c>
      <c r="AP741" s="11">
        <v>0</v>
      </c>
      <c r="AQ741" s="11">
        <v>0</v>
      </c>
      <c r="AR741" s="11">
        <v>-590.39400000000001</v>
      </c>
      <c r="AS741" s="11">
        <v>0</v>
      </c>
      <c r="AT741" s="11">
        <v>0</v>
      </c>
      <c r="AU741" s="11">
        <v>0</v>
      </c>
      <c r="AV741" s="12">
        <v>0</v>
      </c>
    </row>
    <row r="742" spans="2:48" x14ac:dyDescent="0.2">
      <c r="B742" s="4" t="s">
        <v>142</v>
      </c>
      <c r="H742" s="12" t="s">
        <v>65</v>
      </c>
      <c r="I742" s="12" t="s">
        <v>65</v>
      </c>
      <c r="J742" s="12" t="s">
        <v>65</v>
      </c>
      <c r="K742" s="17">
        <f t="shared" si="2741"/>
        <v>0</v>
      </c>
      <c r="L742" s="12" t="s">
        <v>65</v>
      </c>
      <c r="M742" s="12" t="s">
        <v>65</v>
      </c>
      <c r="N742" s="12" t="s">
        <v>65</v>
      </c>
      <c r="O742" s="17">
        <f t="shared" si="2742"/>
        <v>544.327</v>
      </c>
      <c r="P742" s="12" t="s">
        <v>65</v>
      </c>
      <c r="Q742" s="12" t="s">
        <v>65</v>
      </c>
      <c r="R742" s="12" t="s">
        <v>65</v>
      </c>
      <c r="S742" s="17">
        <f t="shared" si="2743"/>
        <v>-137.93600000000001</v>
      </c>
      <c r="T742" s="12" t="s">
        <v>65</v>
      </c>
      <c r="U742" s="12" t="s">
        <v>65</v>
      </c>
      <c r="V742" s="12" t="s">
        <v>65</v>
      </c>
      <c r="W742" s="17">
        <f t="shared" si="2744"/>
        <v>-354.12299999999999</v>
      </c>
      <c r="X742" s="12" t="s">
        <v>65</v>
      </c>
      <c r="Y742" s="12" t="s">
        <v>65</v>
      </c>
      <c r="Z742" s="12" t="s">
        <v>65</v>
      </c>
      <c r="AA742" s="17">
        <f t="shared" si="2745"/>
        <v>-487.06799999999998</v>
      </c>
      <c r="AB742" s="12" t="s">
        <v>65</v>
      </c>
      <c r="AC742" s="12" t="s">
        <v>65</v>
      </c>
      <c r="AD742" s="12" t="s">
        <v>65</v>
      </c>
      <c r="AE742" s="17">
        <f t="shared" si="2746"/>
        <v>-977.78800000000001</v>
      </c>
      <c r="AF742" s="12" t="s">
        <v>65</v>
      </c>
      <c r="AG742" s="12" t="s">
        <v>65</v>
      </c>
      <c r="AO742" s="11">
        <v>0</v>
      </c>
      <c r="AP742" s="11">
        <v>0</v>
      </c>
      <c r="AQ742" s="11">
        <v>0</v>
      </c>
      <c r="AR742" s="11">
        <v>544.327</v>
      </c>
      <c r="AS742" s="11">
        <v>-137.93600000000001</v>
      </c>
      <c r="AT742" s="11">
        <v>-354.12299999999999</v>
      </c>
      <c r="AU742" s="11">
        <v>-487.06799999999998</v>
      </c>
      <c r="AV742" s="12">
        <v>-977.78800000000001</v>
      </c>
    </row>
    <row r="743" spans="2:48" x14ac:dyDescent="0.2">
      <c r="B743" s="4" t="s">
        <v>185</v>
      </c>
      <c r="H743" s="12"/>
      <c r="I743" s="12"/>
      <c r="J743" s="12"/>
      <c r="K743" s="17"/>
      <c r="L743" s="12" t="s">
        <v>65</v>
      </c>
      <c r="M743" s="12" t="s">
        <v>65</v>
      </c>
      <c r="N743" s="12" t="s">
        <v>65</v>
      </c>
      <c r="O743" s="17">
        <f t="shared" ref="O743" si="2747">+AR743</f>
        <v>0</v>
      </c>
      <c r="P743" s="12" t="s">
        <v>65</v>
      </c>
      <c r="Q743" s="12" t="s">
        <v>65</v>
      </c>
      <c r="R743" s="12" t="s">
        <v>65</v>
      </c>
      <c r="S743" s="17">
        <f t="shared" ref="S743" si="2748">+AS743</f>
        <v>0</v>
      </c>
      <c r="T743" s="12" t="s">
        <v>65</v>
      </c>
      <c r="U743" s="12" t="s">
        <v>65</v>
      </c>
      <c r="V743" s="12" t="s">
        <v>65</v>
      </c>
      <c r="W743" s="17">
        <f t="shared" ref="W743" si="2749">+AT743</f>
        <v>0</v>
      </c>
      <c r="X743" s="12" t="s">
        <v>65</v>
      </c>
      <c r="Y743" s="12" t="s">
        <v>65</v>
      </c>
      <c r="Z743" s="12" t="s">
        <v>65</v>
      </c>
      <c r="AA743" s="17">
        <f t="shared" ref="AA743" si="2750">+AU743</f>
        <v>0</v>
      </c>
      <c r="AB743" s="12" t="s">
        <v>65</v>
      </c>
      <c r="AC743" s="12" t="s">
        <v>65</v>
      </c>
      <c r="AD743" s="12" t="s">
        <v>65</v>
      </c>
      <c r="AE743" s="17">
        <f t="shared" ref="AE743" si="2751">+AV743</f>
        <v>-13856.982</v>
      </c>
      <c r="AF743" s="12" t="s">
        <v>65</v>
      </c>
      <c r="AG743" s="12" t="s">
        <v>65</v>
      </c>
      <c r="AO743" s="11">
        <v>0</v>
      </c>
      <c r="AP743" s="11">
        <v>0</v>
      </c>
      <c r="AQ743" s="11">
        <v>0</v>
      </c>
      <c r="AR743" s="11">
        <v>0</v>
      </c>
      <c r="AS743" s="11">
        <v>0</v>
      </c>
      <c r="AT743" s="11">
        <v>0</v>
      </c>
      <c r="AU743" s="11">
        <v>0</v>
      </c>
      <c r="AV743" s="11">
        <v>-13856.982</v>
      </c>
    </row>
    <row r="744" spans="2:48" x14ac:dyDescent="0.2">
      <c r="B744" s="4" t="s">
        <v>143</v>
      </c>
      <c r="H744" s="12" t="s">
        <v>65</v>
      </c>
      <c r="I744" s="12" t="s">
        <v>65</v>
      </c>
      <c r="J744" s="12" t="s">
        <v>65</v>
      </c>
      <c r="K744" s="17">
        <f t="shared" si="2741"/>
        <v>0</v>
      </c>
      <c r="L744" s="12" t="s">
        <v>65</v>
      </c>
      <c r="M744" s="12" t="s">
        <v>65</v>
      </c>
      <c r="N744" s="12" t="s">
        <v>65</v>
      </c>
      <c r="O744" s="17">
        <f t="shared" si="2742"/>
        <v>-69.471000000000004</v>
      </c>
      <c r="P744" s="12" t="s">
        <v>65</v>
      </c>
      <c r="Q744" s="12" t="s">
        <v>65</v>
      </c>
      <c r="R744" s="12" t="s">
        <v>65</v>
      </c>
      <c r="S744" s="17">
        <f t="shared" si="2743"/>
        <v>-13.182</v>
      </c>
      <c r="T744" s="12" t="s">
        <v>65</v>
      </c>
      <c r="U744" s="12" t="s">
        <v>65</v>
      </c>
      <c r="V744" s="12" t="s">
        <v>65</v>
      </c>
      <c r="W744" s="17">
        <f t="shared" si="2744"/>
        <v>-23.102</v>
      </c>
      <c r="X744" s="12" t="s">
        <v>65</v>
      </c>
      <c r="Y744" s="12" t="s">
        <v>65</v>
      </c>
      <c r="Z744" s="12" t="s">
        <v>65</v>
      </c>
      <c r="AA744" s="17">
        <f t="shared" si="2745"/>
        <v>-34.491999999999997</v>
      </c>
      <c r="AB744" s="12" t="s">
        <v>65</v>
      </c>
      <c r="AC744" s="12" t="s">
        <v>65</v>
      </c>
      <c r="AD744" s="12" t="s">
        <v>65</v>
      </c>
      <c r="AE744" s="17">
        <f t="shared" si="2746"/>
        <v>-184.154</v>
      </c>
      <c r="AF744" s="12" t="s">
        <v>65</v>
      </c>
      <c r="AG744" s="12" t="s">
        <v>65</v>
      </c>
      <c r="AO744" s="11">
        <v>0</v>
      </c>
      <c r="AP744" s="11">
        <v>0</v>
      </c>
      <c r="AQ744" s="11">
        <v>0</v>
      </c>
      <c r="AR744" s="11">
        <v>-69.471000000000004</v>
      </c>
      <c r="AS744" s="11">
        <v>-13.182</v>
      </c>
      <c r="AT744" s="11">
        <v>-23.102</v>
      </c>
      <c r="AU744" s="11">
        <v>-34.491999999999997</v>
      </c>
      <c r="AV744" s="12">
        <v>-184.154</v>
      </c>
    </row>
    <row r="745" spans="2:48" ht="13.5" x14ac:dyDescent="0.35">
      <c r="B745" s="4" t="s">
        <v>144</v>
      </c>
      <c r="H745" s="23" t="s">
        <v>65</v>
      </c>
      <c r="I745" s="23" t="s">
        <v>65</v>
      </c>
      <c r="J745" s="23" t="s">
        <v>65</v>
      </c>
      <c r="K745" s="36">
        <f t="shared" si="2741"/>
        <v>0</v>
      </c>
      <c r="L745" s="23" t="s">
        <v>65</v>
      </c>
      <c r="M745" s="23" t="s">
        <v>65</v>
      </c>
      <c r="N745" s="23" t="s">
        <v>65</v>
      </c>
      <c r="O745" s="36">
        <f t="shared" si="2742"/>
        <v>7.3890000000000002</v>
      </c>
      <c r="P745" s="23" t="s">
        <v>65</v>
      </c>
      <c r="Q745" s="23" t="s">
        <v>65</v>
      </c>
      <c r="R745" s="23" t="s">
        <v>65</v>
      </c>
      <c r="S745" s="36">
        <f t="shared" si="2743"/>
        <v>-4.4710000000000001</v>
      </c>
      <c r="T745" s="23" t="s">
        <v>65</v>
      </c>
      <c r="U745" s="23" t="s">
        <v>65</v>
      </c>
      <c r="V745" s="23" t="s">
        <v>65</v>
      </c>
      <c r="W745" s="36">
        <f t="shared" si="2744"/>
        <v>-1.9219999999999999</v>
      </c>
      <c r="X745" s="23" t="s">
        <v>65</v>
      </c>
      <c r="Y745" s="23" t="s">
        <v>65</v>
      </c>
      <c r="Z745" s="23" t="s">
        <v>65</v>
      </c>
      <c r="AA745" s="36">
        <f t="shared" si="2745"/>
        <v>-0.996</v>
      </c>
      <c r="AB745" s="23" t="s">
        <v>65</v>
      </c>
      <c r="AC745" s="23" t="s">
        <v>65</v>
      </c>
      <c r="AD745" s="23" t="s">
        <v>65</v>
      </c>
      <c r="AE745" s="36">
        <f t="shared" si="2746"/>
        <v>0</v>
      </c>
      <c r="AF745" s="23" t="s">
        <v>65</v>
      </c>
      <c r="AG745" s="23" t="s">
        <v>65</v>
      </c>
      <c r="AO745" s="13">
        <v>0</v>
      </c>
      <c r="AP745" s="13">
        <v>0</v>
      </c>
      <c r="AQ745" s="13">
        <v>0</v>
      </c>
      <c r="AR745" s="13">
        <v>7.3890000000000002</v>
      </c>
      <c r="AS745" s="13">
        <v>-4.4710000000000001</v>
      </c>
      <c r="AT745" s="13">
        <v>-1.9219999999999999</v>
      </c>
      <c r="AU745" s="13">
        <v>-0.996</v>
      </c>
      <c r="AV745" s="23">
        <v>0</v>
      </c>
    </row>
    <row r="746" spans="2:48" s="1" customFormat="1" x14ac:dyDescent="0.2">
      <c r="B746" s="43" t="s">
        <v>173</v>
      </c>
      <c r="H746" s="39">
        <v>628.92399999999964</v>
      </c>
      <c r="I746" s="39">
        <v>989.82799999999997</v>
      </c>
      <c r="J746" s="39">
        <v>1239.57</v>
      </c>
      <c r="K746" s="49">
        <f t="shared" si="2741"/>
        <v>7767.9269999999997</v>
      </c>
      <c r="L746" s="39">
        <v>-1543.251</v>
      </c>
      <c r="M746" s="39">
        <v>2604.7310000000002</v>
      </c>
      <c r="N746" s="39">
        <v>5222.9629999999997</v>
      </c>
      <c r="O746" s="49">
        <f t="shared" si="2742"/>
        <v>14820.975999999999</v>
      </c>
      <c r="P746" s="39">
        <v>-567.07000000000005</v>
      </c>
      <c r="Q746" s="39">
        <v>4928.2659999999996</v>
      </c>
      <c r="R746" s="39">
        <v>13250.058000000001</v>
      </c>
      <c r="S746" s="49">
        <f t="shared" si="2743"/>
        <v>28196.627</v>
      </c>
      <c r="T746" s="39">
        <v>-3724.547</v>
      </c>
      <c r="U746" s="39">
        <v>3646.6680000000001</v>
      </c>
      <c r="V746" s="39">
        <v>12383.236000000001</v>
      </c>
      <c r="W746" s="49">
        <f t="shared" si="2744"/>
        <v>28783.010999999999</v>
      </c>
      <c r="X746" s="39">
        <v>-9068.0959999999995</v>
      </c>
      <c r="Y746" s="39">
        <v>10305.775</v>
      </c>
      <c r="Z746" s="39">
        <v>21957.598000000002</v>
      </c>
      <c r="AA746" s="49">
        <f t="shared" si="2745"/>
        <v>48507.86</v>
      </c>
      <c r="AB746" s="39">
        <v>1338.0219999999999</v>
      </c>
      <c r="AC746" s="39">
        <v>24734.003000000001</v>
      </c>
      <c r="AD746" s="39">
        <v>57271.86</v>
      </c>
      <c r="AE746" s="49">
        <f t="shared" si="2746"/>
        <v>94162.531000000003</v>
      </c>
      <c r="AF746" s="39">
        <v>21067.179</v>
      </c>
      <c r="AG746" s="39">
        <v>43792.639999999999</v>
      </c>
      <c r="AO746" s="49">
        <f t="shared" ref="AO746" si="2752">IFERROR(AO716+SUM(AO717:AO730)+SUM(AO732:AO745),"n/a")</f>
        <v>879.77700000000027</v>
      </c>
      <c r="AP746" s="49">
        <f t="shared" ref="AP746" si="2753">IFERROR(AP716+SUM(AP717:AP730)+SUM(AP732:AP745),"n/a")</f>
        <v>315.47900000000192</v>
      </c>
      <c r="AQ746" s="49">
        <f t="shared" ref="AQ746" si="2754">IFERROR(AQ716+SUM(AQ717:AQ730)+SUM(AQ732:AQ745),"n/a")</f>
        <v>7767.9269999999997</v>
      </c>
      <c r="AR746" s="49">
        <f t="shared" ref="AR746" si="2755">IFERROR(AR716+SUM(AR717:AR730)+SUM(AR732:AR745),"n/a")</f>
        <v>14820.975999999999</v>
      </c>
      <c r="AS746" s="49">
        <f t="shared" ref="AS746" si="2756">IFERROR(AS716+SUM(AS717:AS730)+SUM(AS732:AS745),"n/a")</f>
        <v>28196.627</v>
      </c>
      <c r="AT746" s="49">
        <f t="shared" ref="AT746" si="2757">IFERROR(AT716+SUM(AT717:AT730)+SUM(AT732:AT745),"n/a")</f>
        <v>28783.010999999999</v>
      </c>
      <c r="AU746" s="49">
        <f t="shared" ref="AU746:AV746" si="2758">IFERROR(AU716+SUM(AU717:AU730)+SUM(AU732:AU745),"n/a")</f>
        <v>48507.86</v>
      </c>
      <c r="AV746" s="49">
        <f t="shared" si="2758"/>
        <v>94162.531000000003</v>
      </c>
    </row>
    <row r="747" spans="2:48" x14ac:dyDescent="0.2">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O747" s="11"/>
      <c r="AP747" s="11"/>
      <c r="AQ747" s="11"/>
      <c r="AR747" s="11"/>
      <c r="AS747" s="11"/>
      <c r="AT747" s="11"/>
      <c r="AU747" s="11"/>
      <c r="AV747" s="11"/>
    </row>
    <row r="748" spans="2:48" x14ac:dyDescent="0.2">
      <c r="B748" s="1" t="s">
        <v>174</v>
      </c>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O748" s="11"/>
      <c r="AP748" s="11"/>
      <c r="AQ748" s="11"/>
      <c r="AR748" s="11"/>
      <c r="AS748" s="11"/>
      <c r="AT748" s="11"/>
      <c r="AU748" s="11"/>
      <c r="AV748" s="11"/>
    </row>
    <row r="749" spans="2:48" x14ac:dyDescent="0.2">
      <c r="B749" t="s">
        <v>145</v>
      </c>
      <c r="H749" s="12" t="s">
        <v>65</v>
      </c>
      <c r="I749" s="12" t="s">
        <v>65</v>
      </c>
      <c r="J749" s="12" t="s">
        <v>65</v>
      </c>
      <c r="K749" s="17">
        <f t="shared" ref="K749:K762" si="2759">+AQ749</f>
        <v>-7516.37</v>
      </c>
      <c r="L749" s="12" t="s">
        <v>65</v>
      </c>
      <c r="M749" s="12" t="s">
        <v>65</v>
      </c>
      <c r="N749" s="12" t="s">
        <v>65</v>
      </c>
      <c r="O749" s="17">
        <f t="shared" ref="O749:O763" si="2760">+AR749</f>
        <v>-52451.614999999998</v>
      </c>
      <c r="P749" s="12" t="s">
        <v>65</v>
      </c>
      <c r="Q749" s="12" t="s">
        <v>65</v>
      </c>
      <c r="R749" s="12" t="s">
        <v>65</v>
      </c>
      <c r="S749" s="17">
        <f t="shared" ref="S749:S763" si="2761">+AS749</f>
        <v>-86438.067999999999</v>
      </c>
      <c r="T749" s="12" t="s">
        <v>65</v>
      </c>
      <c r="U749" s="12" t="s">
        <v>65</v>
      </c>
      <c r="V749" s="12" t="s">
        <v>65</v>
      </c>
      <c r="W749" s="17">
        <f t="shared" ref="W749:W763" si="2762">+AT749</f>
        <v>-116639.55</v>
      </c>
      <c r="X749" s="12" t="s">
        <v>65</v>
      </c>
      <c r="Y749" s="12" t="s">
        <v>65</v>
      </c>
      <c r="Z749" s="12" t="s">
        <v>65</v>
      </c>
      <c r="AA749" s="17">
        <f t="shared" ref="AA749:AA763" si="2763">+AU749</f>
        <v>-160414.45300000001</v>
      </c>
      <c r="AB749" s="12" t="s">
        <v>65</v>
      </c>
      <c r="AC749" s="12" t="s">
        <v>65</v>
      </c>
      <c r="AD749" s="12" t="s">
        <v>65</v>
      </c>
      <c r="AE749" s="17">
        <f t="shared" ref="AE749:AE763" si="2764">+AV749</f>
        <v>-147131.67300000001</v>
      </c>
      <c r="AF749" s="12" t="s">
        <v>65</v>
      </c>
      <c r="AG749" s="12" t="s">
        <v>65</v>
      </c>
      <c r="AO749" s="11">
        <v>-320</v>
      </c>
      <c r="AP749" s="11">
        <v>-1393</v>
      </c>
      <c r="AQ749" s="11">
        <v>-7516.37</v>
      </c>
      <c r="AR749" s="11">
        <v>-52451.614999999998</v>
      </c>
      <c r="AS749" s="11">
        <v>-86438.067999999999</v>
      </c>
      <c r="AT749" s="11">
        <v>-116639.55</v>
      </c>
      <c r="AU749" s="11">
        <v>-160414.45300000001</v>
      </c>
      <c r="AV749" s="12">
        <v>-147131.67300000001</v>
      </c>
    </row>
    <row r="750" spans="2:48" x14ac:dyDescent="0.2">
      <c r="B750" t="s">
        <v>146</v>
      </c>
      <c r="H750" s="12" t="s">
        <v>65</v>
      </c>
      <c r="I750" s="12" t="s">
        <v>65</v>
      </c>
      <c r="J750" s="12" t="s">
        <v>65</v>
      </c>
      <c r="K750" s="17">
        <f t="shared" si="2759"/>
        <v>50</v>
      </c>
      <c r="L750" s="12" t="s">
        <v>65</v>
      </c>
      <c r="M750" s="12" t="s">
        <v>65</v>
      </c>
      <c r="N750" s="12" t="s">
        <v>65</v>
      </c>
      <c r="O750" s="17">
        <f t="shared" si="2760"/>
        <v>24797.63</v>
      </c>
      <c r="P750" s="12" t="s">
        <v>65</v>
      </c>
      <c r="Q750" s="12" t="s">
        <v>65</v>
      </c>
      <c r="R750" s="12" t="s">
        <v>65</v>
      </c>
      <c r="S750" s="17">
        <f t="shared" si="2761"/>
        <v>55083.39</v>
      </c>
      <c r="T750" s="12" t="s">
        <v>65</v>
      </c>
      <c r="U750" s="12" t="s">
        <v>65</v>
      </c>
      <c r="V750" s="12" t="s">
        <v>65</v>
      </c>
      <c r="W750" s="17">
        <f t="shared" si="2762"/>
        <v>97547.038</v>
      </c>
      <c r="X750" s="12" t="s">
        <v>65</v>
      </c>
      <c r="Y750" s="12" t="s">
        <v>65</v>
      </c>
      <c r="Z750" s="12" t="s">
        <v>65</v>
      </c>
      <c r="AA750" s="17">
        <f t="shared" si="2763"/>
        <v>141928.351</v>
      </c>
      <c r="AB750" s="12" t="s">
        <v>65</v>
      </c>
      <c r="AC750" s="12" t="s">
        <v>65</v>
      </c>
      <c r="AD750" s="12" t="s">
        <v>65</v>
      </c>
      <c r="AE750" s="17">
        <f t="shared" si="2764"/>
        <v>130317.231</v>
      </c>
      <c r="AF750" s="12" t="s">
        <v>65</v>
      </c>
      <c r="AG750" s="12" t="s">
        <v>65</v>
      </c>
      <c r="AO750" s="11">
        <v>30</v>
      </c>
      <c r="AP750" s="11">
        <v>1633</v>
      </c>
      <c r="AQ750" s="11">
        <v>50</v>
      </c>
      <c r="AR750" s="11">
        <v>24797.63</v>
      </c>
      <c r="AS750" s="11">
        <v>55083.39</v>
      </c>
      <c r="AT750" s="11">
        <v>97547.038</v>
      </c>
      <c r="AU750" s="11">
        <v>141928.351</v>
      </c>
      <c r="AV750" s="12">
        <v>130317.231</v>
      </c>
    </row>
    <row r="751" spans="2:48" x14ac:dyDescent="0.2">
      <c r="B751" t="s">
        <v>147</v>
      </c>
      <c r="H751" s="12" t="s">
        <v>65</v>
      </c>
      <c r="I751" s="12" t="s">
        <v>65</v>
      </c>
      <c r="J751" s="12" t="s">
        <v>65</v>
      </c>
      <c r="K751" s="17">
        <f t="shared" si="2759"/>
        <v>0</v>
      </c>
      <c r="L751" s="12" t="s">
        <v>65</v>
      </c>
      <c r="M751" s="12" t="s">
        <v>65</v>
      </c>
      <c r="N751" s="12" t="s">
        <v>65</v>
      </c>
      <c r="O751" s="17">
        <f t="shared" si="2760"/>
        <v>0</v>
      </c>
      <c r="P751" s="12" t="s">
        <v>65</v>
      </c>
      <c r="Q751" s="12" t="s">
        <v>65</v>
      </c>
      <c r="R751" s="12" t="s">
        <v>65</v>
      </c>
      <c r="S751" s="17">
        <f t="shared" si="2761"/>
        <v>-6722.2280000000001</v>
      </c>
      <c r="T751" s="12" t="s">
        <v>65</v>
      </c>
      <c r="U751" s="12" t="s">
        <v>65</v>
      </c>
      <c r="V751" s="12" t="s">
        <v>65</v>
      </c>
      <c r="W751" s="17">
        <f t="shared" si="2762"/>
        <v>-13628.052</v>
      </c>
      <c r="X751" s="12" t="s">
        <v>65</v>
      </c>
      <c r="Y751" s="12" t="s">
        <v>65</v>
      </c>
      <c r="Z751" s="12" t="s">
        <v>65</v>
      </c>
      <c r="AA751" s="17">
        <f t="shared" si="2763"/>
        <v>-6795.8379999999997</v>
      </c>
      <c r="AB751" s="12" t="s">
        <v>65</v>
      </c>
      <c r="AC751" s="12" t="s">
        <v>65</v>
      </c>
      <c r="AD751" s="12" t="s">
        <v>65</v>
      </c>
      <c r="AE751" s="17">
        <f t="shared" si="2764"/>
        <v>-25051.222000000002</v>
      </c>
      <c r="AF751" s="12" t="s">
        <v>65</v>
      </c>
      <c r="AG751" s="12" t="s">
        <v>65</v>
      </c>
      <c r="AO751" s="11">
        <v>0</v>
      </c>
      <c r="AP751" s="11">
        <v>0</v>
      </c>
      <c r="AQ751" s="11">
        <v>0</v>
      </c>
      <c r="AR751" s="11">
        <v>0</v>
      </c>
      <c r="AS751" s="11">
        <v>-6722.2280000000001</v>
      </c>
      <c r="AT751" s="11">
        <v>-13628.052</v>
      </c>
      <c r="AU751" s="11">
        <v>-6795.8379999999997</v>
      </c>
      <c r="AV751" s="12">
        <v>-25051.222000000002</v>
      </c>
    </row>
    <row r="752" spans="2:48" x14ac:dyDescent="0.2">
      <c r="B752" t="s">
        <v>148</v>
      </c>
      <c r="H752" s="12" t="s">
        <v>65</v>
      </c>
      <c r="I752" s="12" t="s">
        <v>65</v>
      </c>
      <c r="J752" s="12" t="s">
        <v>65</v>
      </c>
      <c r="K752" s="17">
        <f t="shared" si="2759"/>
        <v>-184.637</v>
      </c>
      <c r="L752" s="12" t="s">
        <v>65</v>
      </c>
      <c r="M752" s="12" t="s">
        <v>65</v>
      </c>
      <c r="N752" s="12" t="s">
        <v>65</v>
      </c>
      <c r="O752" s="17">
        <f t="shared" si="2760"/>
        <v>-214.1</v>
      </c>
      <c r="P752" s="12" t="s">
        <v>65</v>
      </c>
      <c r="Q752" s="12" t="s">
        <v>65</v>
      </c>
      <c r="R752" s="12" t="s">
        <v>65</v>
      </c>
      <c r="S752" s="17">
        <f t="shared" si="2761"/>
        <v>0</v>
      </c>
      <c r="T752" s="12" t="s">
        <v>65</v>
      </c>
      <c r="U752" s="12" t="s">
        <v>65</v>
      </c>
      <c r="V752" s="12" t="s">
        <v>65</v>
      </c>
      <c r="W752" s="17">
        <f t="shared" si="2762"/>
        <v>0</v>
      </c>
      <c r="X752" s="12" t="s">
        <v>65</v>
      </c>
      <c r="Y752" s="12" t="s">
        <v>65</v>
      </c>
      <c r="Z752" s="12" t="s">
        <v>65</v>
      </c>
      <c r="AA752" s="17">
        <f t="shared" si="2763"/>
        <v>0</v>
      </c>
      <c r="AB752" s="12" t="s">
        <v>65</v>
      </c>
      <c r="AC752" s="12" t="s">
        <v>65</v>
      </c>
      <c r="AD752" s="12" t="s">
        <v>65</v>
      </c>
      <c r="AE752" s="17">
        <f t="shared" si="2764"/>
        <v>0</v>
      </c>
      <c r="AF752" s="12" t="s">
        <v>65</v>
      </c>
      <c r="AG752" s="12" t="s">
        <v>65</v>
      </c>
      <c r="AO752" s="11">
        <v>-15</v>
      </c>
      <c r="AP752" s="11">
        <v>0</v>
      </c>
      <c r="AQ752" s="11">
        <v>-184.637</v>
      </c>
      <c r="AR752" s="11">
        <v>-214.1</v>
      </c>
      <c r="AS752" s="11">
        <v>0</v>
      </c>
      <c r="AT752" s="11">
        <v>0</v>
      </c>
      <c r="AU752" s="11">
        <v>0</v>
      </c>
      <c r="AV752" s="12">
        <v>0</v>
      </c>
    </row>
    <row r="753" spans="2:48" x14ac:dyDescent="0.2">
      <c r="B753" t="s">
        <v>149</v>
      </c>
      <c r="H753" s="12" t="s">
        <v>65</v>
      </c>
      <c r="I753" s="12" t="s">
        <v>65</v>
      </c>
      <c r="J753" s="12" t="s">
        <v>65</v>
      </c>
      <c r="K753" s="17">
        <f t="shared" si="2759"/>
        <v>5</v>
      </c>
      <c r="L753" s="12" t="s">
        <v>65</v>
      </c>
      <c r="M753" s="12" t="s">
        <v>65</v>
      </c>
      <c r="N753" s="12" t="s">
        <v>65</v>
      </c>
      <c r="O753" s="17">
        <f t="shared" si="2760"/>
        <v>0</v>
      </c>
      <c r="P753" s="12" t="s">
        <v>65</v>
      </c>
      <c r="Q753" s="12" t="s">
        <v>65</v>
      </c>
      <c r="R753" s="12" t="s">
        <v>65</v>
      </c>
      <c r="S753" s="17">
        <f t="shared" si="2761"/>
        <v>0</v>
      </c>
      <c r="T753" s="12" t="s">
        <v>65</v>
      </c>
      <c r="U753" s="12" t="s">
        <v>65</v>
      </c>
      <c r="V753" s="12" t="s">
        <v>65</v>
      </c>
      <c r="W753" s="17">
        <f t="shared" si="2762"/>
        <v>0</v>
      </c>
      <c r="X753" s="12" t="s">
        <v>65</v>
      </c>
      <c r="Y753" s="12" t="s">
        <v>65</v>
      </c>
      <c r="Z753" s="12" t="s">
        <v>65</v>
      </c>
      <c r="AA753" s="17">
        <f t="shared" si="2763"/>
        <v>7137.8140000000003</v>
      </c>
      <c r="AB753" s="12" t="s">
        <v>65</v>
      </c>
      <c r="AC753" s="12" t="s">
        <v>65</v>
      </c>
      <c r="AD753" s="12" t="s">
        <v>65</v>
      </c>
      <c r="AE753" s="17">
        <f t="shared" si="2764"/>
        <v>0</v>
      </c>
      <c r="AF753" s="12" t="s">
        <v>65</v>
      </c>
      <c r="AG753" s="12" t="s">
        <v>65</v>
      </c>
      <c r="AO753" s="11">
        <v>0</v>
      </c>
      <c r="AP753" s="11">
        <v>0</v>
      </c>
      <c r="AQ753" s="11">
        <v>5</v>
      </c>
      <c r="AR753" s="11">
        <v>0</v>
      </c>
      <c r="AS753" s="11">
        <v>0</v>
      </c>
      <c r="AT753" s="11">
        <v>0</v>
      </c>
      <c r="AU753" s="11">
        <v>7137.8140000000003</v>
      </c>
      <c r="AV753" s="12">
        <v>0</v>
      </c>
    </row>
    <row r="754" spans="2:48" x14ac:dyDescent="0.2">
      <c r="B754" t="s">
        <v>150</v>
      </c>
      <c r="H754" s="12" t="s">
        <v>65</v>
      </c>
      <c r="I754" s="12" t="s">
        <v>65</v>
      </c>
      <c r="J754" s="12" t="s">
        <v>65</v>
      </c>
      <c r="K754" s="17">
        <f t="shared" si="2759"/>
        <v>0</v>
      </c>
      <c r="L754" s="12" t="s">
        <v>65</v>
      </c>
      <c r="M754" s="12" t="s">
        <v>65</v>
      </c>
      <c r="N754" s="12" t="s">
        <v>65</v>
      </c>
      <c r="O754" s="17">
        <f t="shared" si="2760"/>
        <v>0</v>
      </c>
      <c r="P754" s="12" t="s">
        <v>65</v>
      </c>
      <c r="Q754" s="12" t="s">
        <v>65</v>
      </c>
      <c r="R754" s="12" t="s">
        <v>65</v>
      </c>
      <c r="S754" s="17">
        <f t="shared" si="2761"/>
        <v>0</v>
      </c>
      <c r="T754" s="12" t="s">
        <v>65</v>
      </c>
      <c r="U754" s="12" t="s">
        <v>65</v>
      </c>
      <c r="V754" s="12" t="s">
        <v>65</v>
      </c>
      <c r="W754" s="17">
        <f t="shared" si="2762"/>
        <v>0</v>
      </c>
      <c r="X754" s="12" t="s">
        <v>65</v>
      </c>
      <c r="Y754" s="12" t="s">
        <v>65</v>
      </c>
      <c r="Z754" s="12" t="s">
        <v>65</v>
      </c>
      <c r="AA754" s="17">
        <f t="shared" si="2763"/>
        <v>-3581.8679999999999</v>
      </c>
      <c r="AB754" s="12" t="s">
        <v>65</v>
      </c>
      <c r="AC754" s="12" t="s">
        <v>65</v>
      </c>
      <c r="AD754" s="12" t="s">
        <v>65</v>
      </c>
      <c r="AE754" s="17">
        <f t="shared" si="2764"/>
        <v>-17318.332999999999</v>
      </c>
      <c r="AF754" s="12" t="s">
        <v>65</v>
      </c>
      <c r="AG754" s="12" t="s">
        <v>65</v>
      </c>
      <c r="AO754" s="11">
        <v>0</v>
      </c>
      <c r="AP754" s="11">
        <v>0</v>
      </c>
      <c r="AQ754" s="11">
        <v>0</v>
      </c>
      <c r="AR754" s="11">
        <v>0</v>
      </c>
      <c r="AS754" s="11">
        <v>0</v>
      </c>
      <c r="AT754" s="11">
        <v>0</v>
      </c>
      <c r="AU754" s="11">
        <v>-3581.8679999999999</v>
      </c>
      <c r="AV754" s="12">
        <v>-17318.332999999999</v>
      </c>
    </row>
    <row r="755" spans="2:48" x14ac:dyDescent="0.2">
      <c r="B755" t="s">
        <v>447</v>
      </c>
      <c r="H755" s="12"/>
      <c r="I755" s="12"/>
      <c r="J755" s="12"/>
      <c r="K755" s="17"/>
      <c r="L755" s="12" t="s">
        <v>65</v>
      </c>
      <c r="M755" s="12" t="s">
        <v>65</v>
      </c>
      <c r="N755" s="12" t="s">
        <v>65</v>
      </c>
      <c r="O755" s="17">
        <f t="shared" ref="O755" si="2765">+AR755</f>
        <v>0</v>
      </c>
      <c r="P755" s="12" t="s">
        <v>65</v>
      </c>
      <c r="Q755" s="12" t="s">
        <v>65</v>
      </c>
      <c r="R755" s="12" t="s">
        <v>65</v>
      </c>
      <c r="S755" s="17">
        <f t="shared" ref="S755" si="2766">+AS755</f>
        <v>0</v>
      </c>
      <c r="T755" s="12" t="s">
        <v>65</v>
      </c>
      <c r="U755" s="12" t="s">
        <v>65</v>
      </c>
      <c r="V755" s="12" t="s">
        <v>65</v>
      </c>
      <c r="W755" s="17">
        <f t="shared" ref="W755" si="2767">+AT755</f>
        <v>0</v>
      </c>
      <c r="X755" s="12" t="s">
        <v>65</v>
      </c>
      <c r="Y755" s="12" t="s">
        <v>65</v>
      </c>
      <c r="Z755" s="12" t="s">
        <v>65</v>
      </c>
      <c r="AA755" s="17">
        <f t="shared" ref="AA755" si="2768">+AU755</f>
        <v>0</v>
      </c>
      <c r="AB755" s="12" t="s">
        <v>65</v>
      </c>
      <c r="AC755" s="12" t="s">
        <v>65</v>
      </c>
      <c r="AD755" s="12" t="s">
        <v>65</v>
      </c>
      <c r="AE755" s="17">
        <f t="shared" ref="AE755" si="2769">+AV755</f>
        <v>4206.3590000000004</v>
      </c>
      <c r="AF755" s="12" t="s">
        <v>65</v>
      </c>
      <c r="AG755" s="12" t="s">
        <v>65</v>
      </c>
      <c r="AO755" s="11">
        <v>0</v>
      </c>
      <c r="AP755" s="11">
        <v>0</v>
      </c>
      <c r="AQ755" s="11">
        <v>0</v>
      </c>
      <c r="AR755" s="11">
        <v>0</v>
      </c>
      <c r="AS755" s="11">
        <v>0</v>
      </c>
      <c r="AT755" s="11">
        <v>0</v>
      </c>
      <c r="AU755" s="11">
        <v>0</v>
      </c>
      <c r="AV755" s="11">
        <v>4206.3590000000004</v>
      </c>
    </row>
    <row r="756" spans="2:48" x14ac:dyDescent="0.2">
      <c r="B756" t="s">
        <v>151</v>
      </c>
      <c r="H756" s="12" t="s">
        <v>65</v>
      </c>
      <c r="I756" s="12" t="s">
        <v>65</v>
      </c>
      <c r="J756" s="12" t="s">
        <v>65</v>
      </c>
      <c r="K756" s="17">
        <f t="shared" si="2759"/>
        <v>-27.331</v>
      </c>
      <c r="L756" s="12" t="s">
        <v>65</v>
      </c>
      <c r="M756" s="12" t="s">
        <v>65</v>
      </c>
      <c r="N756" s="12" t="s">
        <v>65</v>
      </c>
      <c r="O756" s="17">
        <f t="shared" si="2760"/>
        <v>-27.436</v>
      </c>
      <c r="P756" s="12" t="s">
        <v>65</v>
      </c>
      <c r="Q756" s="12" t="s">
        <v>65</v>
      </c>
      <c r="R756" s="12" t="s">
        <v>65</v>
      </c>
      <c r="S756" s="17">
        <f t="shared" si="2761"/>
        <v>-43.045999999999999</v>
      </c>
      <c r="T756" s="12" t="s">
        <v>65</v>
      </c>
      <c r="U756" s="12" t="s">
        <v>65</v>
      </c>
      <c r="V756" s="12" t="s">
        <v>65</v>
      </c>
      <c r="W756" s="17">
        <f t="shared" si="2762"/>
        <v>-3287.232</v>
      </c>
      <c r="X756" s="12" t="s">
        <v>65</v>
      </c>
      <c r="Y756" s="12" t="s">
        <v>65</v>
      </c>
      <c r="Z756" s="12" t="s">
        <v>65</v>
      </c>
      <c r="AA756" s="17">
        <f t="shared" si="2763"/>
        <v>-635.71600000000001</v>
      </c>
      <c r="AB756" s="12" t="s">
        <v>65</v>
      </c>
      <c r="AC756" s="12" t="s">
        <v>65</v>
      </c>
      <c r="AD756" s="12" t="s">
        <v>65</v>
      </c>
      <c r="AE756" s="17">
        <f t="shared" si="2764"/>
        <v>-583.87900000000002</v>
      </c>
      <c r="AF756" s="12" t="s">
        <v>65</v>
      </c>
      <c r="AG756" s="12" t="s">
        <v>65</v>
      </c>
      <c r="AO756" s="11">
        <v>-2.3010000000000002</v>
      </c>
      <c r="AP756" s="11">
        <v>-8.9209999999999994</v>
      </c>
      <c r="AQ756" s="11">
        <v>-27.331</v>
      </c>
      <c r="AR756" s="11">
        <v>-27.436</v>
      </c>
      <c r="AS756" s="11">
        <v>-43.045999999999999</v>
      </c>
      <c r="AT756" s="11">
        <v>-3287.232</v>
      </c>
      <c r="AU756" s="11">
        <v>-635.71600000000001</v>
      </c>
      <c r="AV756" s="12">
        <v>-583.87900000000002</v>
      </c>
    </row>
    <row r="757" spans="2:48" x14ac:dyDescent="0.2">
      <c r="B757" t="s">
        <v>152</v>
      </c>
      <c r="H757" s="12" t="s">
        <v>65</v>
      </c>
      <c r="I757" s="12" t="s">
        <v>65</v>
      </c>
      <c r="J757" s="12" t="s">
        <v>65</v>
      </c>
      <c r="K757" s="17">
        <f t="shared" si="2759"/>
        <v>3.9E-2</v>
      </c>
      <c r="L757" s="12" t="s">
        <v>65</v>
      </c>
      <c r="M757" s="12" t="s">
        <v>65</v>
      </c>
      <c r="N757" s="12" t="s">
        <v>65</v>
      </c>
      <c r="O757" s="17">
        <f t="shared" si="2760"/>
        <v>0.47499999999999998</v>
      </c>
      <c r="P757" s="12" t="s">
        <v>65</v>
      </c>
      <c r="Q757" s="12" t="s">
        <v>65</v>
      </c>
      <c r="R757" s="12" t="s">
        <v>65</v>
      </c>
      <c r="S757" s="17">
        <f t="shared" si="2761"/>
        <v>5.0999999999999997E-2</v>
      </c>
      <c r="T757" s="12" t="s">
        <v>65</v>
      </c>
      <c r="U757" s="12" t="s">
        <v>65</v>
      </c>
      <c r="V757" s="12" t="s">
        <v>65</v>
      </c>
      <c r="W757" s="17">
        <f t="shared" si="2762"/>
        <v>0.39400000000000002</v>
      </c>
      <c r="X757" s="12" t="s">
        <v>65</v>
      </c>
      <c r="Y757" s="12" t="s">
        <v>65</v>
      </c>
      <c r="Z757" s="12" t="s">
        <v>65</v>
      </c>
      <c r="AA757" s="17">
        <f t="shared" si="2763"/>
        <v>0.04</v>
      </c>
      <c r="AB757" s="12" t="s">
        <v>65</v>
      </c>
      <c r="AC757" s="12" t="s">
        <v>65</v>
      </c>
      <c r="AD757" s="12" t="s">
        <v>65</v>
      </c>
      <c r="AE757" s="17">
        <f t="shared" si="2764"/>
        <v>0.45</v>
      </c>
      <c r="AF757" s="12" t="s">
        <v>65</v>
      </c>
      <c r="AG757" s="12" t="s">
        <v>65</v>
      </c>
      <c r="AO757" s="11">
        <v>0</v>
      </c>
      <c r="AP757" s="11">
        <v>0.36199999999999999</v>
      </c>
      <c r="AQ757" s="11">
        <v>3.9E-2</v>
      </c>
      <c r="AR757" s="11">
        <v>0.47499999999999998</v>
      </c>
      <c r="AS757" s="11">
        <v>5.0999999999999997E-2</v>
      </c>
      <c r="AT757" s="11">
        <v>0.39400000000000002</v>
      </c>
      <c r="AU757" s="11">
        <v>0.04</v>
      </c>
      <c r="AV757" s="12">
        <v>0.45</v>
      </c>
    </row>
    <row r="758" spans="2:48" x14ac:dyDescent="0.2">
      <c r="B758" t="s">
        <v>153</v>
      </c>
      <c r="H758" s="12" t="s">
        <v>65</v>
      </c>
      <c r="I758" s="12" t="s">
        <v>65</v>
      </c>
      <c r="J758" s="12" t="s">
        <v>65</v>
      </c>
      <c r="K758" s="17">
        <f t="shared" si="2759"/>
        <v>159.79</v>
      </c>
      <c r="L758" s="12" t="s">
        <v>65</v>
      </c>
      <c r="M758" s="12" t="s">
        <v>65</v>
      </c>
      <c r="N758" s="12" t="s">
        <v>65</v>
      </c>
      <c r="O758" s="17">
        <f t="shared" si="2760"/>
        <v>0</v>
      </c>
      <c r="P758" s="12" t="s">
        <v>65</v>
      </c>
      <c r="Q758" s="12" t="s">
        <v>65</v>
      </c>
      <c r="R758" s="12" t="s">
        <v>65</v>
      </c>
      <c r="S758" s="17">
        <f t="shared" si="2761"/>
        <v>0</v>
      </c>
      <c r="T758" s="12" t="s">
        <v>65</v>
      </c>
      <c r="U758" s="12" t="s">
        <v>65</v>
      </c>
      <c r="V758" s="12" t="s">
        <v>65</v>
      </c>
      <c r="W758" s="17">
        <f t="shared" si="2762"/>
        <v>0</v>
      </c>
      <c r="X758" s="12" t="s">
        <v>65</v>
      </c>
      <c r="Y758" s="12" t="s">
        <v>65</v>
      </c>
      <c r="Z758" s="12" t="s">
        <v>65</v>
      </c>
      <c r="AA758" s="17">
        <f t="shared" si="2763"/>
        <v>0</v>
      </c>
      <c r="AB758" s="12" t="s">
        <v>65</v>
      </c>
      <c r="AC758" s="12" t="s">
        <v>65</v>
      </c>
      <c r="AD758" s="12" t="s">
        <v>65</v>
      </c>
      <c r="AE758" s="17">
        <f t="shared" si="2764"/>
        <v>0</v>
      </c>
      <c r="AF758" s="12" t="s">
        <v>65</v>
      </c>
      <c r="AG758" s="12" t="s">
        <v>65</v>
      </c>
      <c r="AO758" s="11">
        <v>0</v>
      </c>
      <c r="AP758" s="11">
        <v>0</v>
      </c>
      <c r="AQ758" s="11">
        <v>159.79</v>
      </c>
      <c r="AR758" s="11">
        <v>0</v>
      </c>
      <c r="AS758" s="11">
        <v>0</v>
      </c>
      <c r="AT758" s="11">
        <v>0</v>
      </c>
      <c r="AU758" s="11">
        <v>0</v>
      </c>
      <c r="AV758" s="12">
        <v>0</v>
      </c>
    </row>
    <row r="759" spans="2:48" x14ac:dyDescent="0.2">
      <c r="B759" t="s">
        <v>154</v>
      </c>
      <c r="H759" s="12" t="s">
        <v>65</v>
      </c>
      <c r="I759" s="12" t="s">
        <v>65</v>
      </c>
      <c r="J759" s="12" t="s">
        <v>65</v>
      </c>
      <c r="K759" s="17">
        <f t="shared" si="2759"/>
        <v>-35</v>
      </c>
      <c r="L759" s="12" t="s">
        <v>65</v>
      </c>
      <c r="M759" s="12" t="s">
        <v>65</v>
      </c>
      <c r="N759" s="12" t="s">
        <v>65</v>
      </c>
      <c r="O759" s="17">
        <f t="shared" si="2760"/>
        <v>35</v>
      </c>
      <c r="P759" s="12" t="s">
        <v>65</v>
      </c>
      <c r="Q759" s="12" t="s">
        <v>65</v>
      </c>
      <c r="R759" s="12" t="s">
        <v>65</v>
      </c>
      <c r="S759" s="17">
        <f t="shared" si="2761"/>
        <v>-238</v>
      </c>
      <c r="T759" s="12" t="s">
        <v>65</v>
      </c>
      <c r="U759" s="12" t="s">
        <v>65</v>
      </c>
      <c r="V759" s="12" t="s">
        <v>65</v>
      </c>
      <c r="W759" s="17">
        <f t="shared" si="2762"/>
        <v>0</v>
      </c>
      <c r="X759" s="12" t="s">
        <v>65</v>
      </c>
      <c r="Y759" s="12" t="s">
        <v>65</v>
      </c>
      <c r="Z759" s="12" t="s">
        <v>65</v>
      </c>
      <c r="AA759" s="17">
        <f t="shared" si="2763"/>
        <v>0</v>
      </c>
      <c r="AB759" s="12" t="s">
        <v>65</v>
      </c>
      <c r="AC759" s="12" t="s">
        <v>65</v>
      </c>
      <c r="AD759" s="12" t="s">
        <v>65</v>
      </c>
      <c r="AE759" s="17">
        <f t="shared" si="2764"/>
        <v>0</v>
      </c>
      <c r="AF759" s="12" t="s">
        <v>65</v>
      </c>
      <c r="AG759" s="12" t="s">
        <v>65</v>
      </c>
      <c r="AO759" s="11">
        <v>0</v>
      </c>
      <c r="AP759" s="11">
        <v>0</v>
      </c>
      <c r="AQ759" s="11">
        <v>-35</v>
      </c>
      <c r="AR759" s="11">
        <v>35</v>
      </c>
      <c r="AS759" s="11">
        <v>-238</v>
      </c>
      <c r="AT759" s="11">
        <v>0</v>
      </c>
      <c r="AU759" s="11">
        <v>0</v>
      </c>
      <c r="AV759" s="12">
        <v>0</v>
      </c>
    </row>
    <row r="760" spans="2:48" x14ac:dyDescent="0.2">
      <c r="B760" t="s">
        <v>155</v>
      </c>
      <c r="H760" s="12" t="s">
        <v>65</v>
      </c>
      <c r="I760" s="12" t="s">
        <v>65</v>
      </c>
      <c r="J760" s="12" t="s">
        <v>65</v>
      </c>
      <c r="K760" s="17">
        <f t="shared" si="2759"/>
        <v>0</v>
      </c>
      <c r="L760" s="12" t="s">
        <v>65</v>
      </c>
      <c r="M760" s="12" t="s">
        <v>65</v>
      </c>
      <c r="N760" s="12" t="s">
        <v>65</v>
      </c>
      <c r="O760" s="17">
        <f t="shared" si="2760"/>
        <v>0</v>
      </c>
      <c r="P760" s="12" t="s">
        <v>65</v>
      </c>
      <c r="Q760" s="12" t="s">
        <v>65</v>
      </c>
      <c r="R760" s="12" t="s">
        <v>65</v>
      </c>
      <c r="S760" s="17">
        <f t="shared" si="2761"/>
        <v>0</v>
      </c>
      <c r="T760" s="12" t="s">
        <v>65</v>
      </c>
      <c r="U760" s="12" t="s">
        <v>65</v>
      </c>
      <c r="V760" s="12" t="s">
        <v>65</v>
      </c>
      <c r="W760" s="17">
        <f t="shared" si="2762"/>
        <v>0</v>
      </c>
      <c r="X760" s="12" t="s">
        <v>65</v>
      </c>
      <c r="Y760" s="12" t="s">
        <v>65</v>
      </c>
      <c r="Z760" s="12" t="s">
        <v>65</v>
      </c>
      <c r="AA760" s="17">
        <f t="shared" si="2763"/>
        <v>0</v>
      </c>
      <c r="AB760" s="12" t="s">
        <v>65</v>
      </c>
      <c r="AC760" s="12" t="s">
        <v>65</v>
      </c>
      <c r="AD760" s="12" t="s">
        <v>65</v>
      </c>
      <c r="AE760" s="17">
        <f t="shared" si="2764"/>
        <v>0</v>
      </c>
      <c r="AF760" s="12" t="s">
        <v>65</v>
      </c>
      <c r="AG760" s="12" t="s">
        <v>65</v>
      </c>
      <c r="AO760" s="11">
        <v>0</v>
      </c>
      <c r="AP760" s="11">
        <v>0</v>
      </c>
      <c r="AQ760" s="11">
        <v>0</v>
      </c>
      <c r="AR760" s="11">
        <v>0</v>
      </c>
      <c r="AS760" s="11">
        <v>0</v>
      </c>
      <c r="AT760" s="11">
        <v>0</v>
      </c>
      <c r="AU760" s="11">
        <v>0</v>
      </c>
      <c r="AV760" s="12">
        <v>0</v>
      </c>
    </row>
    <row r="761" spans="2:48" x14ac:dyDescent="0.2">
      <c r="B761" t="s">
        <v>156</v>
      </c>
      <c r="H761" s="12" t="s">
        <v>65</v>
      </c>
      <c r="I761" s="12" t="s">
        <v>65</v>
      </c>
      <c r="J761" s="12" t="s">
        <v>65</v>
      </c>
      <c r="K761" s="17">
        <f t="shared" si="2759"/>
        <v>0</v>
      </c>
      <c r="L761" s="12" t="s">
        <v>65</v>
      </c>
      <c r="M761" s="12" t="s">
        <v>65</v>
      </c>
      <c r="N761" s="12" t="s">
        <v>65</v>
      </c>
      <c r="O761" s="17">
        <f t="shared" si="2760"/>
        <v>-459.63200000000001</v>
      </c>
      <c r="P761" s="12" t="s">
        <v>65</v>
      </c>
      <c r="Q761" s="12" t="s">
        <v>65</v>
      </c>
      <c r="R761" s="12" t="s">
        <v>65</v>
      </c>
      <c r="S761" s="17">
        <f t="shared" si="2761"/>
        <v>0</v>
      </c>
      <c r="T761" s="12" t="s">
        <v>65</v>
      </c>
      <c r="U761" s="12" t="s">
        <v>65</v>
      </c>
      <c r="V761" s="12" t="s">
        <v>65</v>
      </c>
      <c r="W761" s="17">
        <f t="shared" si="2762"/>
        <v>0</v>
      </c>
      <c r="X761" s="12" t="s">
        <v>65</v>
      </c>
      <c r="Y761" s="12" t="s">
        <v>65</v>
      </c>
      <c r="Z761" s="12" t="s">
        <v>65</v>
      </c>
      <c r="AA761" s="17">
        <f t="shared" si="2763"/>
        <v>0</v>
      </c>
      <c r="AB761" s="12" t="s">
        <v>65</v>
      </c>
      <c r="AC761" s="12" t="s">
        <v>65</v>
      </c>
      <c r="AD761" s="12" t="s">
        <v>65</v>
      </c>
      <c r="AE761" s="17">
        <f t="shared" si="2764"/>
        <v>0</v>
      </c>
      <c r="AF761" s="12" t="s">
        <v>65</v>
      </c>
      <c r="AG761" s="12" t="s">
        <v>65</v>
      </c>
      <c r="AO761" s="11">
        <v>0</v>
      </c>
      <c r="AP761" s="11">
        <v>-159.79</v>
      </c>
      <c r="AQ761" s="11"/>
      <c r="AR761" s="11">
        <v>-459.63200000000001</v>
      </c>
      <c r="AS761" s="11">
        <v>0</v>
      </c>
      <c r="AT761" s="11">
        <v>0</v>
      </c>
      <c r="AU761" s="11">
        <v>0</v>
      </c>
      <c r="AV761" s="12">
        <v>0</v>
      </c>
    </row>
    <row r="762" spans="2:48" ht="13.5" x14ac:dyDescent="0.35">
      <c r="B762" t="s">
        <v>97</v>
      </c>
      <c r="H762" s="23" t="s">
        <v>65</v>
      </c>
      <c r="I762" s="23" t="s">
        <v>65</v>
      </c>
      <c r="J762" s="23" t="s">
        <v>65</v>
      </c>
      <c r="K762" s="36">
        <f t="shared" si="2759"/>
        <v>0</v>
      </c>
      <c r="L762" s="23" t="s">
        <v>65</v>
      </c>
      <c r="M762" s="23" t="s">
        <v>65</v>
      </c>
      <c r="N762" s="23" t="s">
        <v>65</v>
      </c>
      <c r="O762" s="36">
        <f t="shared" si="2760"/>
        <v>0</v>
      </c>
      <c r="P762" s="23" t="s">
        <v>65</v>
      </c>
      <c r="Q762" s="23" t="s">
        <v>65</v>
      </c>
      <c r="R762" s="23" t="s">
        <v>65</v>
      </c>
      <c r="S762" s="36">
        <f t="shared" si="2761"/>
        <v>0</v>
      </c>
      <c r="T762" s="23" t="s">
        <v>65</v>
      </c>
      <c r="U762" s="23" t="s">
        <v>65</v>
      </c>
      <c r="V762" s="23" t="s">
        <v>65</v>
      </c>
      <c r="W762" s="36">
        <f t="shared" si="2762"/>
        <v>445.03699999999998</v>
      </c>
      <c r="X762" s="23" t="s">
        <v>65</v>
      </c>
      <c r="Y762" s="23" t="s">
        <v>65</v>
      </c>
      <c r="Z762" s="23" t="s">
        <v>65</v>
      </c>
      <c r="AA762" s="36">
        <f t="shared" si="2763"/>
        <v>0</v>
      </c>
      <c r="AB762" s="23" t="s">
        <v>65</v>
      </c>
      <c r="AC762" s="23" t="s">
        <v>65</v>
      </c>
      <c r="AD762" s="23" t="s">
        <v>65</v>
      </c>
      <c r="AE762" s="36">
        <f t="shared" si="2764"/>
        <v>129.78899999999999</v>
      </c>
      <c r="AF762" s="23" t="s">
        <v>65</v>
      </c>
      <c r="AG762" s="23" t="s">
        <v>65</v>
      </c>
      <c r="AO762" s="13">
        <v>0</v>
      </c>
      <c r="AP762" s="13">
        <v>0</v>
      </c>
      <c r="AQ762" s="13">
        <v>0</v>
      </c>
      <c r="AR762" s="13">
        <v>0</v>
      </c>
      <c r="AS762" s="13">
        <v>0</v>
      </c>
      <c r="AT762" s="13">
        <v>445.03699999999998</v>
      </c>
      <c r="AU762" s="13">
        <v>0</v>
      </c>
      <c r="AV762" s="23">
        <v>129.78899999999999</v>
      </c>
    </row>
    <row r="763" spans="2:48" s="1" customFormat="1" x14ac:dyDescent="0.2">
      <c r="B763" s="38" t="s">
        <v>175</v>
      </c>
      <c r="H763" s="39">
        <v>-801.55600000000004</v>
      </c>
      <c r="I763" s="39">
        <v>-1092.7059999999999</v>
      </c>
      <c r="J763" s="39">
        <v>-7309.8739999999998</v>
      </c>
      <c r="K763" s="49">
        <f t="shared" ref="K763" si="2770">+AQ763</f>
        <v>-7548.509</v>
      </c>
      <c r="L763" s="39">
        <v>457.47300000000001</v>
      </c>
      <c r="M763" s="39">
        <v>-681.95</v>
      </c>
      <c r="N763" s="39">
        <v>-16857.806</v>
      </c>
      <c r="O763" s="49">
        <f t="shared" si="2760"/>
        <v>-28319.678</v>
      </c>
      <c r="P763" s="39">
        <v>-1584.192</v>
      </c>
      <c r="Q763" s="39">
        <v>-11280.01</v>
      </c>
      <c r="R763" s="39">
        <v>-11735.064</v>
      </c>
      <c r="S763" s="49">
        <f t="shared" si="2761"/>
        <v>-38357.901000000005</v>
      </c>
      <c r="T763" s="39">
        <v>-5621.0469999999996</v>
      </c>
      <c r="U763" s="39">
        <v>-9105.1029999999992</v>
      </c>
      <c r="V763" s="39">
        <v>-22869.86</v>
      </c>
      <c r="W763" s="49">
        <f t="shared" si="2762"/>
        <v>-35562.365000000005</v>
      </c>
      <c r="X763" s="39">
        <v>-4852.0889999999999</v>
      </c>
      <c r="Y763" s="39">
        <v>-13445.36</v>
      </c>
      <c r="Z763" s="39">
        <v>-13801.754000000001</v>
      </c>
      <c r="AA763" s="49">
        <f t="shared" si="2763"/>
        <v>-22361.670000000009</v>
      </c>
      <c r="AB763" s="39">
        <v>-22620.246999999999</v>
      </c>
      <c r="AC763" s="39">
        <v>-34140.107000000004</v>
      </c>
      <c r="AD763" s="39">
        <v>-38960.607000000004</v>
      </c>
      <c r="AE763" s="49">
        <f t="shared" si="2764"/>
        <v>-55431.278000000013</v>
      </c>
      <c r="AF763" s="39">
        <v>-28290.120999999999</v>
      </c>
      <c r="AG763" s="39">
        <v>-42622.1</v>
      </c>
      <c r="AO763" s="48">
        <f>SUM(AO749:AO762)</f>
        <v>-307.30099999999999</v>
      </c>
      <c r="AP763" s="48">
        <f t="shared" ref="AP763:AV763" si="2771">SUM(AP749:AP762)</f>
        <v>71.65100000000001</v>
      </c>
      <c r="AQ763" s="48">
        <f t="shared" si="2771"/>
        <v>-7548.509</v>
      </c>
      <c r="AR763" s="48">
        <f t="shared" si="2771"/>
        <v>-28319.678</v>
      </c>
      <c r="AS763" s="48">
        <f t="shared" si="2771"/>
        <v>-38357.901000000005</v>
      </c>
      <c r="AT763" s="48">
        <f t="shared" si="2771"/>
        <v>-35562.365000000005</v>
      </c>
      <c r="AU763" s="48">
        <f t="shared" si="2771"/>
        <v>-22361.670000000009</v>
      </c>
      <c r="AV763" s="48">
        <f t="shared" si="2771"/>
        <v>-55431.278000000013</v>
      </c>
    </row>
    <row r="764" spans="2:48" x14ac:dyDescent="0.2">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O764" s="11"/>
      <c r="AP764" s="11"/>
      <c r="AQ764" s="11"/>
      <c r="AR764" s="11"/>
      <c r="AS764" s="11"/>
      <c r="AT764" s="11"/>
      <c r="AU764" s="11"/>
      <c r="AV764" s="11"/>
    </row>
    <row r="765" spans="2:48" x14ac:dyDescent="0.2">
      <c r="B765" s="1" t="s">
        <v>176</v>
      </c>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O765" s="11"/>
      <c r="AP765" s="11"/>
      <c r="AQ765" s="11"/>
      <c r="AR765" s="11"/>
      <c r="AS765" s="11"/>
      <c r="AT765" s="11"/>
      <c r="AU765" s="11"/>
      <c r="AV765" s="11"/>
    </row>
    <row r="766" spans="2:48" x14ac:dyDescent="0.2">
      <c r="B766" t="s">
        <v>157</v>
      </c>
      <c r="H766" s="12" t="s">
        <v>65</v>
      </c>
      <c r="I766" s="12" t="s">
        <v>65</v>
      </c>
      <c r="J766" s="12" t="s">
        <v>65</v>
      </c>
      <c r="K766" s="17">
        <f t="shared" ref="K766:K781" si="2772">+AQ766</f>
        <v>0</v>
      </c>
      <c r="L766" s="12" t="s">
        <v>65</v>
      </c>
      <c r="M766" s="12" t="s">
        <v>65</v>
      </c>
      <c r="N766" s="12" t="s">
        <v>65</v>
      </c>
      <c r="O766" s="17">
        <f t="shared" ref="O766:O782" si="2773">+AR766</f>
        <v>0</v>
      </c>
      <c r="P766" s="12" t="s">
        <v>65</v>
      </c>
      <c r="Q766" s="12" t="s">
        <v>65</v>
      </c>
      <c r="R766" s="12" t="s">
        <v>65</v>
      </c>
      <c r="S766" s="17">
        <f t="shared" ref="S766:S782" si="2774">+AS766</f>
        <v>0</v>
      </c>
      <c r="T766" s="12" t="s">
        <v>65</v>
      </c>
      <c r="U766" s="12" t="s">
        <v>65</v>
      </c>
      <c r="V766" s="12" t="s">
        <v>65</v>
      </c>
      <c r="W766" s="17">
        <f t="shared" ref="W766:W782" si="2775">+AT766</f>
        <v>0</v>
      </c>
      <c r="X766" s="12" t="s">
        <v>65</v>
      </c>
      <c r="Y766" s="12" t="s">
        <v>65</v>
      </c>
      <c r="Z766" s="12" t="s">
        <v>65</v>
      </c>
      <c r="AA766" s="17">
        <f t="shared" ref="AA766:AA782" si="2776">+AU766</f>
        <v>0</v>
      </c>
      <c r="AB766" s="12" t="s">
        <v>65</v>
      </c>
      <c r="AC766" s="12" t="s">
        <v>65</v>
      </c>
      <c r="AD766" s="12" t="s">
        <v>65</v>
      </c>
      <c r="AE766" s="17">
        <f t="shared" ref="AE766:AE782" si="2777">+AV766</f>
        <v>0</v>
      </c>
      <c r="AF766" s="12" t="s">
        <v>65</v>
      </c>
      <c r="AG766" s="12" t="s">
        <v>65</v>
      </c>
      <c r="AO766" s="11">
        <v>-18.326000000000001</v>
      </c>
      <c r="AP766" s="11">
        <v>0</v>
      </c>
      <c r="AQ766" s="11">
        <v>0</v>
      </c>
      <c r="AR766" s="11">
        <v>0</v>
      </c>
      <c r="AS766" s="11">
        <v>0</v>
      </c>
      <c r="AT766" s="11">
        <v>0</v>
      </c>
      <c r="AU766" s="11">
        <v>0</v>
      </c>
      <c r="AV766" s="12">
        <v>0</v>
      </c>
    </row>
    <row r="767" spans="2:48" x14ac:dyDescent="0.2">
      <c r="B767" t="s">
        <v>158</v>
      </c>
      <c r="H767" s="12" t="s">
        <v>65</v>
      </c>
      <c r="I767" s="12" t="s">
        <v>65</v>
      </c>
      <c r="J767" s="12" t="s">
        <v>65</v>
      </c>
      <c r="K767" s="17">
        <f t="shared" si="2772"/>
        <v>5824.5680000000002</v>
      </c>
      <c r="L767" s="12" t="s">
        <v>65</v>
      </c>
      <c r="M767" s="12" t="s">
        <v>65</v>
      </c>
      <c r="N767" s="12" t="s">
        <v>65</v>
      </c>
      <c r="O767" s="17">
        <f t="shared" si="2773"/>
        <v>0</v>
      </c>
      <c r="P767" s="12" t="s">
        <v>65</v>
      </c>
      <c r="Q767" s="12" t="s">
        <v>65</v>
      </c>
      <c r="R767" s="12" t="s">
        <v>65</v>
      </c>
      <c r="S767" s="17">
        <f t="shared" si="2774"/>
        <v>0</v>
      </c>
      <c r="T767" s="12" t="s">
        <v>65</v>
      </c>
      <c r="U767" s="12" t="s">
        <v>65</v>
      </c>
      <c r="V767" s="12" t="s">
        <v>65</v>
      </c>
      <c r="W767" s="17">
        <f t="shared" si="2775"/>
        <v>0</v>
      </c>
      <c r="X767" s="12" t="s">
        <v>65</v>
      </c>
      <c r="Y767" s="12" t="s">
        <v>65</v>
      </c>
      <c r="Z767" s="12" t="s">
        <v>65</v>
      </c>
      <c r="AA767" s="17">
        <f t="shared" si="2776"/>
        <v>0</v>
      </c>
      <c r="AB767" s="12" t="s">
        <v>65</v>
      </c>
      <c r="AC767" s="12" t="s">
        <v>65</v>
      </c>
      <c r="AD767" s="12" t="s">
        <v>65</v>
      </c>
      <c r="AE767" s="17">
        <f t="shared" si="2777"/>
        <v>0</v>
      </c>
      <c r="AF767" s="12" t="s">
        <v>65</v>
      </c>
      <c r="AG767" s="12" t="s">
        <v>65</v>
      </c>
      <c r="AO767" s="11">
        <v>511.911</v>
      </c>
      <c r="AP767" s="11">
        <v>1446.9059999999999</v>
      </c>
      <c r="AQ767" s="11">
        <v>5824.5680000000002</v>
      </c>
      <c r="AR767" s="11">
        <v>0</v>
      </c>
      <c r="AS767" s="11">
        <v>0</v>
      </c>
      <c r="AT767" s="11">
        <v>0</v>
      </c>
      <c r="AU767" s="11">
        <v>0</v>
      </c>
      <c r="AV767" s="12">
        <v>0</v>
      </c>
    </row>
    <row r="768" spans="2:48" x14ac:dyDescent="0.2">
      <c r="B768" t="s">
        <v>448</v>
      </c>
      <c r="H768" s="12"/>
      <c r="I768" s="12"/>
      <c r="J768" s="12"/>
      <c r="K768" s="17"/>
      <c r="L768" s="12" t="s">
        <v>65</v>
      </c>
      <c r="M768" s="12" t="s">
        <v>65</v>
      </c>
      <c r="N768" s="12" t="s">
        <v>65</v>
      </c>
      <c r="O768" s="17">
        <f t="shared" ref="O768" si="2778">+AR768</f>
        <v>0</v>
      </c>
      <c r="P768" s="12" t="s">
        <v>65</v>
      </c>
      <c r="Q768" s="12" t="s">
        <v>65</v>
      </c>
      <c r="R768" s="12" t="s">
        <v>65</v>
      </c>
      <c r="S768" s="17">
        <f t="shared" ref="S768" si="2779">+AS768</f>
        <v>0</v>
      </c>
      <c r="T768" s="12" t="s">
        <v>65</v>
      </c>
      <c r="U768" s="12" t="s">
        <v>65</v>
      </c>
      <c r="V768" s="12" t="s">
        <v>65</v>
      </c>
      <c r="W768" s="17">
        <f t="shared" ref="W768" si="2780">+AT768</f>
        <v>0</v>
      </c>
      <c r="X768" s="12" t="s">
        <v>65</v>
      </c>
      <c r="Y768" s="12" t="s">
        <v>65</v>
      </c>
      <c r="Z768" s="12" t="s">
        <v>65</v>
      </c>
      <c r="AA768" s="17">
        <f t="shared" ref="AA768" si="2781">+AU768</f>
        <v>0</v>
      </c>
      <c r="AB768" s="12" t="s">
        <v>65</v>
      </c>
      <c r="AC768" s="12" t="s">
        <v>65</v>
      </c>
      <c r="AD768" s="12" t="s">
        <v>65</v>
      </c>
      <c r="AE768" s="17">
        <f t="shared" ref="AE768" si="2782">+AV768</f>
        <v>-8968.8169999999991</v>
      </c>
      <c r="AF768" s="12" t="s">
        <v>65</v>
      </c>
      <c r="AG768" s="12" t="s">
        <v>65</v>
      </c>
      <c r="AO768" s="11">
        <v>0</v>
      </c>
      <c r="AP768" s="11">
        <v>0</v>
      </c>
      <c r="AQ768" s="11">
        <v>0</v>
      </c>
      <c r="AR768" s="11">
        <v>0</v>
      </c>
      <c r="AS768" s="11">
        <v>0</v>
      </c>
      <c r="AT768" s="11">
        <v>0</v>
      </c>
      <c r="AU768" s="11">
        <v>0</v>
      </c>
      <c r="AV768" s="11">
        <v>-8968.8169999999991</v>
      </c>
    </row>
    <row r="769" spans="2:48" x14ac:dyDescent="0.2">
      <c r="B769" t="s">
        <v>159</v>
      </c>
      <c r="H769" s="12" t="s">
        <v>65</v>
      </c>
      <c r="I769" s="12" t="s">
        <v>65</v>
      </c>
      <c r="J769" s="12" t="s">
        <v>65</v>
      </c>
      <c r="K769" s="17">
        <f t="shared" si="2772"/>
        <v>-3.8420000000000001</v>
      </c>
      <c r="L769" s="12" t="s">
        <v>65</v>
      </c>
      <c r="M769" s="12" t="s">
        <v>65</v>
      </c>
      <c r="N769" s="12" t="s">
        <v>65</v>
      </c>
      <c r="O769" s="17">
        <f t="shared" si="2773"/>
        <v>0</v>
      </c>
      <c r="P769" s="12" t="s">
        <v>65</v>
      </c>
      <c r="Q769" s="12" t="s">
        <v>65</v>
      </c>
      <c r="R769" s="12" t="s">
        <v>65</v>
      </c>
      <c r="S769" s="17">
        <f t="shared" si="2774"/>
        <v>0</v>
      </c>
      <c r="T769" s="12" t="s">
        <v>65</v>
      </c>
      <c r="U769" s="12" t="s">
        <v>65</v>
      </c>
      <c r="V769" s="12" t="s">
        <v>65</v>
      </c>
      <c r="W769" s="17">
        <f t="shared" si="2775"/>
        <v>0</v>
      </c>
      <c r="X769" s="12" t="s">
        <v>65</v>
      </c>
      <c r="Y769" s="12" t="s">
        <v>65</v>
      </c>
      <c r="Z769" s="12" t="s">
        <v>65</v>
      </c>
      <c r="AA769" s="17">
        <f t="shared" si="2776"/>
        <v>0</v>
      </c>
      <c r="AB769" s="12" t="s">
        <v>65</v>
      </c>
      <c r="AC769" s="12" t="s">
        <v>65</v>
      </c>
      <c r="AD769" s="12" t="s">
        <v>65</v>
      </c>
      <c r="AE769" s="17">
        <f t="shared" si="2777"/>
        <v>0</v>
      </c>
      <c r="AF769" s="12" t="s">
        <v>65</v>
      </c>
      <c r="AG769" s="12" t="s">
        <v>65</v>
      </c>
      <c r="AO769" s="11">
        <v>-7.0469999999999997</v>
      </c>
      <c r="AP769" s="11">
        <v>-15.369</v>
      </c>
      <c r="AQ769" s="11">
        <v>-3.8420000000000001</v>
      </c>
      <c r="AR769" s="11">
        <v>0</v>
      </c>
      <c r="AS769" s="11">
        <v>0</v>
      </c>
      <c r="AT769" s="11">
        <v>0</v>
      </c>
      <c r="AU769" s="11">
        <v>0</v>
      </c>
      <c r="AV769" s="12">
        <v>0</v>
      </c>
    </row>
    <row r="770" spans="2:48" x14ac:dyDescent="0.2">
      <c r="B770" t="s">
        <v>160</v>
      </c>
      <c r="H770" s="12" t="s">
        <v>65</v>
      </c>
      <c r="I770" s="12" t="s">
        <v>65</v>
      </c>
      <c r="J770" s="12" t="s">
        <v>65</v>
      </c>
      <c r="K770" s="17">
        <f t="shared" si="2772"/>
        <v>-356.31299999999999</v>
      </c>
      <c r="L770" s="12" t="s">
        <v>65</v>
      </c>
      <c r="M770" s="12" t="s">
        <v>65</v>
      </c>
      <c r="N770" s="12" t="s">
        <v>65</v>
      </c>
      <c r="O770" s="17">
        <f t="shared" si="2773"/>
        <v>0</v>
      </c>
      <c r="P770" s="12" t="s">
        <v>65</v>
      </c>
      <c r="Q770" s="12" t="s">
        <v>65</v>
      </c>
      <c r="R770" s="12" t="s">
        <v>65</v>
      </c>
      <c r="S770" s="17">
        <f t="shared" si="2774"/>
        <v>0</v>
      </c>
      <c r="T770" s="12" t="s">
        <v>65</v>
      </c>
      <c r="U770" s="12" t="s">
        <v>65</v>
      </c>
      <c r="V770" s="12" t="s">
        <v>65</v>
      </c>
      <c r="W770" s="17">
        <f t="shared" si="2775"/>
        <v>0</v>
      </c>
      <c r="X770" s="12" t="s">
        <v>65</v>
      </c>
      <c r="Y770" s="12" t="s">
        <v>65</v>
      </c>
      <c r="Z770" s="12" t="s">
        <v>65</v>
      </c>
      <c r="AA770" s="17">
        <f t="shared" si="2776"/>
        <v>0</v>
      </c>
      <c r="AB770" s="12" t="s">
        <v>65</v>
      </c>
      <c r="AC770" s="12" t="s">
        <v>65</v>
      </c>
      <c r="AD770" s="12" t="s">
        <v>65</v>
      </c>
      <c r="AE770" s="17">
        <f t="shared" si="2777"/>
        <v>0</v>
      </c>
      <c r="AF770" s="12" t="s">
        <v>65</v>
      </c>
      <c r="AG770" s="12" t="s">
        <v>65</v>
      </c>
      <c r="AO770" s="11">
        <v>0</v>
      </c>
      <c r="AP770" s="11">
        <v>0</v>
      </c>
      <c r="AQ770" s="11">
        <v>-356.31299999999999</v>
      </c>
      <c r="AR770" s="11">
        <v>0</v>
      </c>
      <c r="AS770" s="11">
        <v>0</v>
      </c>
      <c r="AT770" s="11">
        <v>0</v>
      </c>
      <c r="AU770" s="11">
        <v>0</v>
      </c>
      <c r="AV770" s="12">
        <v>0</v>
      </c>
    </row>
    <row r="771" spans="2:48" x14ac:dyDescent="0.2">
      <c r="B771" t="s">
        <v>161</v>
      </c>
      <c r="H771" s="12" t="s">
        <v>65</v>
      </c>
      <c r="I771" s="12" t="s">
        <v>65</v>
      </c>
      <c r="J771" s="12" t="s">
        <v>65</v>
      </c>
      <c r="K771" s="17">
        <f t="shared" si="2772"/>
        <v>0</v>
      </c>
      <c r="L771" s="12" t="s">
        <v>65</v>
      </c>
      <c r="M771" s="12" t="s">
        <v>65</v>
      </c>
      <c r="N771" s="12" t="s">
        <v>65</v>
      </c>
      <c r="O771" s="17">
        <f t="shared" si="2773"/>
        <v>8194.5969999999998</v>
      </c>
      <c r="P771" s="12" t="s">
        <v>65</v>
      </c>
      <c r="Q771" s="12" t="s">
        <v>65</v>
      </c>
      <c r="R771" s="12" t="s">
        <v>65</v>
      </c>
      <c r="S771" s="17">
        <f t="shared" si="2774"/>
        <v>26805.437999999998</v>
      </c>
      <c r="T771" s="12" t="s">
        <v>65</v>
      </c>
      <c r="U771" s="12" t="s">
        <v>65</v>
      </c>
      <c r="V771" s="12" t="s">
        <v>65</v>
      </c>
      <c r="W771" s="17">
        <f t="shared" si="2775"/>
        <v>0</v>
      </c>
      <c r="X771" s="12" t="s">
        <v>65</v>
      </c>
      <c r="Y771" s="12" t="s">
        <v>65</v>
      </c>
      <c r="Z771" s="12" t="s">
        <v>65</v>
      </c>
      <c r="AA771" s="17">
        <f t="shared" si="2776"/>
        <v>0</v>
      </c>
      <c r="AB771" s="12" t="s">
        <v>65</v>
      </c>
      <c r="AC771" s="12" t="s">
        <v>65</v>
      </c>
      <c r="AD771" s="12" t="s">
        <v>65</v>
      </c>
      <c r="AE771" s="17">
        <f t="shared" si="2777"/>
        <v>0</v>
      </c>
      <c r="AF771" s="12" t="s">
        <v>65</v>
      </c>
      <c r="AG771" s="12" t="s">
        <v>65</v>
      </c>
      <c r="AO771" s="11">
        <v>0</v>
      </c>
      <c r="AP771" s="11">
        <v>0</v>
      </c>
      <c r="AQ771" s="11">
        <v>0</v>
      </c>
      <c r="AR771" s="11">
        <v>8194.5969999999998</v>
      </c>
      <c r="AS771" s="11">
        <v>26805.437999999998</v>
      </c>
      <c r="AT771" s="11">
        <v>0</v>
      </c>
      <c r="AU771" s="11">
        <v>0</v>
      </c>
      <c r="AV771" s="12">
        <v>0</v>
      </c>
    </row>
    <row r="772" spans="2:48" x14ac:dyDescent="0.2">
      <c r="B772" t="s">
        <v>162</v>
      </c>
      <c r="H772" s="12" t="s">
        <v>65</v>
      </c>
      <c r="I772" s="12" t="s">
        <v>65</v>
      </c>
      <c r="J772" s="12" t="s">
        <v>65</v>
      </c>
      <c r="K772" s="17">
        <f t="shared" si="2772"/>
        <v>0</v>
      </c>
      <c r="L772" s="12" t="s">
        <v>65</v>
      </c>
      <c r="M772" s="12" t="s">
        <v>65</v>
      </c>
      <c r="N772" s="12" t="s">
        <v>65</v>
      </c>
      <c r="O772" s="17">
        <f t="shared" si="2773"/>
        <v>0</v>
      </c>
      <c r="P772" s="12" t="s">
        <v>65</v>
      </c>
      <c r="Q772" s="12" t="s">
        <v>65</v>
      </c>
      <c r="R772" s="12" t="s">
        <v>65</v>
      </c>
      <c r="S772" s="17">
        <f t="shared" si="2774"/>
        <v>11063.339</v>
      </c>
      <c r="T772" s="12" t="s">
        <v>65</v>
      </c>
      <c r="U772" s="12" t="s">
        <v>65</v>
      </c>
      <c r="V772" s="12" t="s">
        <v>65</v>
      </c>
      <c r="W772" s="17">
        <f t="shared" si="2775"/>
        <v>0</v>
      </c>
      <c r="X772" s="12" t="s">
        <v>65</v>
      </c>
      <c r="Y772" s="12" t="s">
        <v>65</v>
      </c>
      <c r="Z772" s="12" t="s">
        <v>65</v>
      </c>
      <c r="AA772" s="17">
        <f t="shared" si="2776"/>
        <v>0</v>
      </c>
      <c r="AB772" s="12" t="s">
        <v>65</v>
      </c>
      <c r="AC772" s="12" t="s">
        <v>65</v>
      </c>
      <c r="AD772" s="12" t="s">
        <v>65</v>
      </c>
      <c r="AE772" s="17">
        <f t="shared" si="2777"/>
        <v>0</v>
      </c>
      <c r="AF772" s="12" t="s">
        <v>65</v>
      </c>
      <c r="AG772" s="12" t="s">
        <v>65</v>
      </c>
      <c r="AO772" s="11">
        <v>0</v>
      </c>
      <c r="AP772" s="11">
        <v>0</v>
      </c>
      <c r="AQ772" s="11">
        <v>0</v>
      </c>
      <c r="AR772" s="11"/>
      <c r="AS772" s="11">
        <v>11063.339</v>
      </c>
      <c r="AT772" s="11">
        <v>0</v>
      </c>
      <c r="AU772" s="11">
        <v>0</v>
      </c>
      <c r="AV772" s="12">
        <v>0</v>
      </c>
    </row>
    <row r="773" spans="2:48" x14ac:dyDescent="0.2">
      <c r="B773" t="s">
        <v>163</v>
      </c>
      <c r="H773" s="12" t="s">
        <v>65</v>
      </c>
      <c r="I773" s="12" t="s">
        <v>65</v>
      </c>
      <c r="J773" s="12" t="s">
        <v>65</v>
      </c>
      <c r="K773" s="17">
        <f t="shared" si="2772"/>
        <v>0</v>
      </c>
      <c r="L773" s="12" t="s">
        <v>65</v>
      </c>
      <c r="M773" s="12" t="s">
        <v>65</v>
      </c>
      <c r="N773" s="12" t="s">
        <v>65</v>
      </c>
      <c r="O773" s="17">
        <f t="shared" si="2773"/>
        <v>-200.76900000000001</v>
      </c>
      <c r="P773" s="12" t="s">
        <v>65</v>
      </c>
      <c r="Q773" s="12" t="s">
        <v>65</v>
      </c>
      <c r="R773" s="12" t="s">
        <v>65</v>
      </c>
      <c r="S773" s="17">
        <f t="shared" si="2774"/>
        <v>0</v>
      </c>
      <c r="T773" s="12" t="s">
        <v>65</v>
      </c>
      <c r="U773" s="12" t="s">
        <v>65</v>
      </c>
      <c r="V773" s="12" t="s">
        <v>65</v>
      </c>
      <c r="W773" s="17">
        <f t="shared" si="2775"/>
        <v>0</v>
      </c>
      <c r="X773" s="12" t="s">
        <v>65</v>
      </c>
      <c r="Y773" s="12" t="s">
        <v>65</v>
      </c>
      <c r="Z773" s="12" t="s">
        <v>65</v>
      </c>
      <c r="AA773" s="17">
        <f t="shared" si="2776"/>
        <v>0</v>
      </c>
      <c r="AB773" s="12" t="s">
        <v>65</v>
      </c>
      <c r="AC773" s="12" t="s">
        <v>65</v>
      </c>
      <c r="AD773" s="12" t="s">
        <v>65</v>
      </c>
      <c r="AE773" s="17">
        <f t="shared" si="2777"/>
        <v>0</v>
      </c>
      <c r="AF773" s="12" t="s">
        <v>65</v>
      </c>
      <c r="AG773" s="12" t="s">
        <v>65</v>
      </c>
      <c r="AO773" s="11">
        <v>0</v>
      </c>
      <c r="AP773" s="11">
        <v>0</v>
      </c>
      <c r="AQ773" s="11">
        <v>0</v>
      </c>
      <c r="AR773" s="11">
        <v>-200.76900000000001</v>
      </c>
      <c r="AS773" s="11">
        <v>0</v>
      </c>
      <c r="AT773" s="11">
        <v>0</v>
      </c>
      <c r="AU773" s="11">
        <v>0</v>
      </c>
      <c r="AV773" s="12">
        <v>0</v>
      </c>
    </row>
    <row r="774" spans="2:48" x14ac:dyDescent="0.2">
      <c r="B774" t="s">
        <v>164</v>
      </c>
      <c r="H774" s="12" t="s">
        <v>65</v>
      </c>
      <c r="I774" s="12" t="s">
        <v>65</v>
      </c>
      <c r="J774" s="12" t="s">
        <v>65</v>
      </c>
      <c r="K774" s="17">
        <f t="shared" si="2772"/>
        <v>0</v>
      </c>
      <c r="L774" s="12" t="s">
        <v>65</v>
      </c>
      <c r="M774" s="12" t="s">
        <v>65</v>
      </c>
      <c r="N774" s="12" t="s">
        <v>65</v>
      </c>
      <c r="O774" s="17">
        <f t="shared" si="2773"/>
        <v>7073.1009999999997</v>
      </c>
      <c r="P774" s="12" t="s">
        <v>65</v>
      </c>
      <c r="Q774" s="12" t="s">
        <v>65</v>
      </c>
      <c r="R774" s="12" t="s">
        <v>65</v>
      </c>
      <c r="S774" s="17">
        <f t="shared" si="2774"/>
        <v>13024.199000000001</v>
      </c>
      <c r="T774" s="12" t="s">
        <v>65</v>
      </c>
      <c r="U774" s="12" t="s">
        <v>65</v>
      </c>
      <c r="V774" s="12" t="s">
        <v>65</v>
      </c>
      <c r="W774" s="17">
        <f t="shared" si="2775"/>
        <v>0</v>
      </c>
      <c r="X774" s="12" t="s">
        <v>65</v>
      </c>
      <c r="Y774" s="12" t="s">
        <v>65</v>
      </c>
      <c r="Z774" s="12" t="s">
        <v>65</v>
      </c>
      <c r="AA774" s="17">
        <f t="shared" si="2776"/>
        <v>0</v>
      </c>
      <c r="AB774" s="12" t="s">
        <v>65</v>
      </c>
      <c r="AC774" s="12" t="s">
        <v>65</v>
      </c>
      <c r="AD774" s="12" t="s">
        <v>65</v>
      </c>
      <c r="AE774" s="17">
        <f t="shared" si="2777"/>
        <v>0</v>
      </c>
      <c r="AF774" s="12" t="s">
        <v>65</v>
      </c>
      <c r="AG774" s="12" t="s">
        <v>65</v>
      </c>
      <c r="AO774" s="11">
        <v>0</v>
      </c>
      <c r="AP774" s="11">
        <v>0</v>
      </c>
      <c r="AQ774" s="11">
        <v>0</v>
      </c>
      <c r="AR774" s="11">
        <v>7073.1009999999997</v>
      </c>
      <c r="AS774" s="11">
        <v>13024.199000000001</v>
      </c>
      <c r="AT774" s="11">
        <v>0</v>
      </c>
      <c r="AU774" s="11">
        <v>0</v>
      </c>
      <c r="AV774" s="12">
        <v>0</v>
      </c>
    </row>
    <row r="775" spans="2:48" x14ac:dyDescent="0.2">
      <c r="B775" t="s">
        <v>165</v>
      </c>
      <c r="H775" s="12" t="s">
        <v>65</v>
      </c>
      <c r="I775" s="12" t="s">
        <v>65</v>
      </c>
      <c r="J775" s="12" t="s">
        <v>65</v>
      </c>
      <c r="K775" s="17">
        <f t="shared" si="2772"/>
        <v>0</v>
      </c>
      <c r="L775" s="12" t="s">
        <v>65</v>
      </c>
      <c r="M775" s="12" t="s">
        <v>65</v>
      </c>
      <c r="N775" s="12" t="s">
        <v>65</v>
      </c>
      <c r="O775" s="17">
        <f t="shared" si="2773"/>
        <v>-109.22</v>
      </c>
      <c r="P775" s="12" t="s">
        <v>65</v>
      </c>
      <c r="Q775" s="12" t="s">
        <v>65</v>
      </c>
      <c r="R775" s="12" t="s">
        <v>65</v>
      </c>
      <c r="S775" s="17">
        <f t="shared" si="2774"/>
        <v>0</v>
      </c>
      <c r="T775" s="12" t="s">
        <v>65</v>
      </c>
      <c r="U775" s="12" t="s">
        <v>65</v>
      </c>
      <c r="V775" s="12" t="s">
        <v>65</v>
      </c>
      <c r="W775" s="17">
        <f t="shared" si="2775"/>
        <v>0</v>
      </c>
      <c r="X775" s="12" t="s">
        <v>65</v>
      </c>
      <c r="Y775" s="12" t="s">
        <v>65</v>
      </c>
      <c r="Z775" s="12" t="s">
        <v>65</v>
      </c>
      <c r="AA775" s="17">
        <f t="shared" si="2776"/>
        <v>0</v>
      </c>
      <c r="AB775" s="12" t="s">
        <v>65</v>
      </c>
      <c r="AC775" s="12" t="s">
        <v>65</v>
      </c>
      <c r="AD775" s="12" t="s">
        <v>65</v>
      </c>
      <c r="AE775" s="17">
        <f t="shared" si="2777"/>
        <v>0</v>
      </c>
      <c r="AF775" s="12" t="s">
        <v>65</v>
      </c>
      <c r="AG775" s="12" t="s">
        <v>65</v>
      </c>
      <c r="AO775" s="11">
        <v>0</v>
      </c>
      <c r="AP775" s="11">
        <v>0</v>
      </c>
      <c r="AQ775" s="11">
        <v>0</v>
      </c>
      <c r="AR775" s="11">
        <v>-109.22</v>
      </c>
      <c r="AS775" s="11">
        <v>0</v>
      </c>
      <c r="AT775" s="11">
        <v>0</v>
      </c>
      <c r="AU775" s="11">
        <v>0</v>
      </c>
      <c r="AV775" s="12">
        <v>0</v>
      </c>
    </row>
    <row r="776" spans="2:48" x14ac:dyDescent="0.2">
      <c r="B776" t="s">
        <v>166</v>
      </c>
      <c r="H776" s="12" t="s">
        <v>65</v>
      </c>
      <c r="I776" s="12" t="s">
        <v>65</v>
      </c>
      <c r="J776" s="12" t="s">
        <v>65</v>
      </c>
      <c r="K776" s="17">
        <f t="shared" si="2772"/>
        <v>0</v>
      </c>
      <c r="L776" s="12" t="s">
        <v>65</v>
      </c>
      <c r="M776" s="12" t="s">
        <v>65</v>
      </c>
      <c r="N776" s="12" t="s">
        <v>65</v>
      </c>
      <c r="O776" s="17">
        <f t="shared" si="2773"/>
        <v>897.02200000000005</v>
      </c>
      <c r="P776" s="12" t="s">
        <v>65</v>
      </c>
      <c r="Q776" s="12" t="s">
        <v>65</v>
      </c>
      <c r="R776" s="12" t="s">
        <v>65</v>
      </c>
      <c r="S776" s="17">
        <f t="shared" si="2774"/>
        <v>1828.923</v>
      </c>
      <c r="T776" s="12" t="s">
        <v>65</v>
      </c>
      <c r="U776" s="12" t="s">
        <v>65</v>
      </c>
      <c r="V776" s="12" t="s">
        <v>65</v>
      </c>
      <c r="W776" s="17">
        <f t="shared" si="2775"/>
        <v>0</v>
      </c>
      <c r="X776" s="12" t="s">
        <v>65</v>
      </c>
      <c r="Y776" s="12" t="s">
        <v>65</v>
      </c>
      <c r="Z776" s="12" t="s">
        <v>65</v>
      </c>
      <c r="AA776" s="17">
        <f t="shared" si="2776"/>
        <v>0</v>
      </c>
      <c r="AB776" s="12" t="s">
        <v>65</v>
      </c>
      <c r="AC776" s="12" t="s">
        <v>65</v>
      </c>
      <c r="AD776" s="12" t="s">
        <v>65</v>
      </c>
      <c r="AE776" s="17">
        <f t="shared" si="2777"/>
        <v>0</v>
      </c>
      <c r="AF776" s="12" t="s">
        <v>65</v>
      </c>
      <c r="AG776" s="12" t="s">
        <v>65</v>
      </c>
      <c r="AO776" s="11">
        <v>0</v>
      </c>
      <c r="AP776" s="11">
        <v>0</v>
      </c>
      <c r="AQ776" s="11">
        <v>0</v>
      </c>
      <c r="AR776" s="11">
        <v>897.02200000000005</v>
      </c>
      <c r="AS776" s="11">
        <v>1828.923</v>
      </c>
      <c r="AT776" s="11">
        <v>0</v>
      </c>
      <c r="AU776" s="11">
        <v>0</v>
      </c>
      <c r="AV776" s="12">
        <v>0</v>
      </c>
    </row>
    <row r="777" spans="2:48" x14ac:dyDescent="0.2">
      <c r="B777" t="s">
        <v>167</v>
      </c>
      <c r="H777" s="12" t="s">
        <v>65</v>
      </c>
      <c r="I777" s="12" t="s">
        <v>65</v>
      </c>
      <c r="J777" s="12" t="s">
        <v>65</v>
      </c>
      <c r="K777" s="17">
        <f t="shared" si="2772"/>
        <v>0</v>
      </c>
      <c r="L777" s="12" t="s">
        <v>65</v>
      </c>
      <c r="M777" s="12" t="s">
        <v>65</v>
      </c>
      <c r="N777" s="12" t="s">
        <v>65</v>
      </c>
      <c r="O777" s="17">
        <f t="shared" si="2773"/>
        <v>0</v>
      </c>
      <c r="P777" s="12" t="s">
        <v>65</v>
      </c>
      <c r="Q777" s="12" t="s">
        <v>65</v>
      </c>
      <c r="R777" s="12" t="s">
        <v>65</v>
      </c>
      <c r="S777" s="17">
        <f t="shared" si="2774"/>
        <v>-922.89700000000005</v>
      </c>
      <c r="T777" s="12" t="s">
        <v>65</v>
      </c>
      <c r="U777" s="12" t="s">
        <v>65</v>
      </c>
      <c r="V777" s="12" t="s">
        <v>65</v>
      </c>
      <c r="W777" s="17">
        <f t="shared" si="2775"/>
        <v>-1875.472</v>
      </c>
      <c r="X777" s="12" t="s">
        <v>65</v>
      </c>
      <c r="Y777" s="12" t="s">
        <v>65</v>
      </c>
      <c r="Z777" s="12" t="s">
        <v>65</v>
      </c>
      <c r="AA777" s="17">
        <f t="shared" si="2776"/>
        <v>0</v>
      </c>
      <c r="AB777" s="12" t="s">
        <v>65</v>
      </c>
      <c r="AC777" s="12" t="s">
        <v>65</v>
      </c>
      <c r="AD777" s="12" t="s">
        <v>65</v>
      </c>
      <c r="AE777" s="17">
        <f t="shared" si="2777"/>
        <v>0</v>
      </c>
      <c r="AF777" s="12" t="s">
        <v>65</v>
      </c>
      <c r="AG777" s="12" t="s">
        <v>65</v>
      </c>
      <c r="AO777" s="11">
        <v>0</v>
      </c>
      <c r="AP777" s="11">
        <v>0</v>
      </c>
      <c r="AQ777" s="11">
        <v>0</v>
      </c>
      <c r="AR777" s="11">
        <v>0</v>
      </c>
      <c r="AS777" s="11">
        <v>-922.89700000000005</v>
      </c>
      <c r="AT777" s="11">
        <v>-1875.472</v>
      </c>
      <c r="AU777" s="11">
        <v>0</v>
      </c>
      <c r="AV777" s="12">
        <v>0</v>
      </c>
    </row>
    <row r="778" spans="2:48" x14ac:dyDescent="0.2">
      <c r="B778" t="s">
        <v>168</v>
      </c>
      <c r="H778" s="12" t="s">
        <v>65</v>
      </c>
      <c r="I778" s="12" t="s">
        <v>65</v>
      </c>
      <c r="J778" s="12" t="s">
        <v>65</v>
      </c>
      <c r="K778" s="17">
        <f t="shared" si="2772"/>
        <v>0</v>
      </c>
      <c r="L778" s="12" t="s">
        <v>65</v>
      </c>
      <c r="M778" s="12" t="s">
        <v>65</v>
      </c>
      <c r="N778" s="12" t="s">
        <v>65</v>
      </c>
      <c r="O778" s="17">
        <f t="shared" si="2773"/>
        <v>0</v>
      </c>
      <c r="P778" s="12" t="s">
        <v>65</v>
      </c>
      <c r="Q778" s="12" t="s">
        <v>65</v>
      </c>
      <c r="R778" s="12" t="s">
        <v>65</v>
      </c>
      <c r="S778" s="17">
        <f t="shared" si="2774"/>
        <v>0</v>
      </c>
      <c r="T778" s="12" t="s">
        <v>65</v>
      </c>
      <c r="U778" s="12" t="s">
        <v>65</v>
      </c>
      <c r="V778" s="12" t="s">
        <v>65</v>
      </c>
      <c r="W778" s="17">
        <f t="shared" si="2775"/>
        <v>0</v>
      </c>
      <c r="X778" s="12" t="s">
        <v>65</v>
      </c>
      <c r="Y778" s="12" t="s">
        <v>65</v>
      </c>
      <c r="Z778" s="12" t="s">
        <v>65</v>
      </c>
      <c r="AA778" s="17">
        <f t="shared" si="2776"/>
        <v>0</v>
      </c>
      <c r="AB778" s="12" t="s">
        <v>65</v>
      </c>
      <c r="AC778" s="12" t="s">
        <v>65</v>
      </c>
      <c r="AD778" s="12" t="s">
        <v>65</v>
      </c>
      <c r="AE778" s="17">
        <f t="shared" si="2777"/>
        <v>0</v>
      </c>
      <c r="AF778" s="12" t="s">
        <v>65</v>
      </c>
      <c r="AG778" s="12" t="s">
        <v>65</v>
      </c>
      <c r="AO778" s="11">
        <v>0</v>
      </c>
      <c r="AP778" s="11">
        <v>-32.677</v>
      </c>
      <c r="AQ778" s="11">
        <v>0</v>
      </c>
      <c r="AR778" s="11">
        <v>0</v>
      </c>
      <c r="AS778" s="11">
        <v>0</v>
      </c>
      <c r="AT778" s="11">
        <v>0</v>
      </c>
      <c r="AU778" s="11">
        <v>0</v>
      </c>
      <c r="AV778" s="12">
        <v>0</v>
      </c>
    </row>
    <row r="779" spans="2:48" x14ac:dyDescent="0.2">
      <c r="B779" t="s">
        <v>169</v>
      </c>
      <c r="H779" s="12" t="s">
        <v>65</v>
      </c>
      <c r="I779" s="12" t="s">
        <v>65</v>
      </c>
      <c r="J779" s="12" t="s">
        <v>65</v>
      </c>
      <c r="K779" s="17">
        <f t="shared" si="2772"/>
        <v>0</v>
      </c>
      <c r="L779" s="12" t="s">
        <v>65</v>
      </c>
      <c r="M779" s="12" t="s">
        <v>65</v>
      </c>
      <c r="N779" s="12" t="s">
        <v>65</v>
      </c>
      <c r="O779" s="17">
        <f t="shared" si="2773"/>
        <v>0</v>
      </c>
      <c r="P779" s="12" t="s">
        <v>65</v>
      </c>
      <c r="Q779" s="12" t="s">
        <v>65</v>
      </c>
      <c r="R779" s="12" t="s">
        <v>65</v>
      </c>
      <c r="S779" s="17">
        <f t="shared" si="2774"/>
        <v>0</v>
      </c>
      <c r="T779" s="12" t="s">
        <v>65</v>
      </c>
      <c r="U779" s="12" t="s">
        <v>65</v>
      </c>
      <c r="V779" s="12" t="s">
        <v>65</v>
      </c>
      <c r="W779" s="17">
        <f t="shared" si="2775"/>
        <v>0</v>
      </c>
      <c r="X779" s="12" t="s">
        <v>65</v>
      </c>
      <c r="Y779" s="12" t="s">
        <v>65</v>
      </c>
      <c r="Z779" s="12" t="s">
        <v>65</v>
      </c>
      <c r="AA779" s="17">
        <f t="shared" si="2776"/>
        <v>0</v>
      </c>
      <c r="AB779" s="12" t="s">
        <v>65</v>
      </c>
      <c r="AC779" s="12" t="s">
        <v>65</v>
      </c>
      <c r="AD779" s="12" t="s">
        <v>65</v>
      </c>
      <c r="AE779" s="17">
        <f t="shared" si="2777"/>
        <v>0</v>
      </c>
      <c r="AF779" s="12" t="s">
        <v>65</v>
      </c>
      <c r="AG779" s="12" t="s">
        <v>65</v>
      </c>
      <c r="AO779" s="11">
        <v>0</v>
      </c>
      <c r="AP779" s="11">
        <v>0</v>
      </c>
      <c r="AQ779" s="11">
        <v>0</v>
      </c>
      <c r="AR779" s="11">
        <v>0</v>
      </c>
      <c r="AS779" s="11">
        <v>0</v>
      </c>
      <c r="AT779" s="11">
        <v>0</v>
      </c>
      <c r="AU779" s="11">
        <v>0</v>
      </c>
      <c r="AV779" s="12">
        <v>0</v>
      </c>
    </row>
    <row r="780" spans="2:48" x14ac:dyDescent="0.2">
      <c r="B780" t="s">
        <v>170</v>
      </c>
      <c r="H780" s="12" t="s">
        <v>65</v>
      </c>
      <c r="I780" s="12" t="s">
        <v>65</v>
      </c>
      <c r="J780" s="12" t="s">
        <v>65</v>
      </c>
      <c r="K780" s="17">
        <f t="shared" si="2772"/>
        <v>11879.944</v>
      </c>
      <c r="L780" s="12" t="s">
        <v>65</v>
      </c>
      <c r="M780" s="12" t="s">
        <v>65</v>
      </c>
      <c r="N780" s="12" t="s">
        <v>65</v>
      </c>
      <c r="O780" s="17">
        <f t="shared" si="2773"/>
        <v>0</v>
      </c>
      <c r="P780" s="12" t="s">
        <v>65</v>
      </c>
      <c r="Q780" s="12" t="s">
        <v>65</v>
      </c>
      <c r="R780" s="12" t="s">
        <v>65</v>
      </c>
      <c r="S780" s="17">
        <f t="shared" si="2774"/>
        <v>0</v>
      </c>
      <c r="T780" s="12" t="s">
        <v>65</v>
      </c>
      <c r="U780" s="12" t="s">
        <v>65</v>
      </c>
      <c r="V780" s="12" t="s">
        <v>65</v>
      </c>
      <c r="W780" s="17">
        <f t="shared" si="2775"/>
        <v>0</v>
      </c>
      <c r="X780" s="12" t="s">
        <v>65</v>
      </c>
      <c r="Y780" s="12" t="s">
        <v>65</v>
      </c>
      <c r="Z780" s="12" t="s">
        <v>65</v>
      </c>
      <c r="AA780" s="17">
        <f t="shared" si="2776"/>
        <v>0</v>
      </c>
      <c r="AB780" s="12" t="s">
        <v>65</v>
      </c>
      <c r="AC780" s="12" t="s">
        <v>65</v>
      </c>
      <c r="AD780" s="12" t="s">
        <v>65</v>
      </c>
      <c r="AE780" s="17">
        <f t="shared" si="2777"/>
        <v>0</v>
      </c>
      <c r="AF780" s="12" t="s">
        <v>65</v>
      </c>
      <c r="AG780" s="12" t="s">
        <v>65</v>
      </c>
      <c r="AO780" s="11">
        <v>0</v>
      </c>
      <c r="AP780" s="11">
        <v>0</v>
      </c>
      <c r="AQ780" s="11">
        <v>11879.944</v>
      </c>
      <c r="AR780" s="11">
        <v>0</v>
      </c>
      <c r="AS780" s="11">
        <v>0</v>
      </c>
      <c r="AT780" s="11">
        <v>0</v>
      </c>
      <c r="AU780" s="11">
        <v>0</v>
      </c>
      <c r="AV780" s="12">
        <v>0</v>
      </c>
    </row>
    <row r="781" spans="2:48" ht="13.5" x14ac:dyDescent="0.35">
      <c r="B781" t="s">
        <v>97</v>
      </c>
      <c r="H781" s="23" t="s">
        <v>65</v>
      </c>
      <c r="I781" s="23" t="s">
        <v>65</v>
      </c>
      <c r="J781" s="23" t="s">
        <v>65</v>
      </c>
      <c r="K781" s="36">
        <f t="shared" si="2772"/>
        <v>0</v>
      </c>
      <c r="L781" s="23" t="s">
        <v>65</v>
      </c>
      <c r="M781" s="23" t="s">
        <v>65</v>
      </c>
      <c r="N781" s="23" t="s">
        <v>65</v>
      </c>
      <c r="O781" s="36">
        <f t="shared" si="2773"/>
        <v>0</v>
      </c>
      <c r="P781" s="23" t="s">
        <v>65</v>
      </c>
      <c r="Q781" s="23" t="s">
        <v>65</v>
      </c>
      <c r="R781" s="23" t="s">
        <v>65</v>
      </c>
      <c r="S781" s="36">
        <f t="shared" si="2774"/>
        <v>-6.0000000000000001E-3</v>
      </c>
      <c r="T781" s="23" t="s">
        <v>65</v>
      </c>
      <c r="U781" s="23" t="s">
        <v>65</v>
      </c>
      <c r="V781" s="23" t="s">
        <v>65</v>
      </c>
      <c r="W781" s="36">
        <f t="shared" si="2775"/>
        <v>0.318</v>
      </c>
      <c r="X781" s="23" t="s">
        <v>65</v>
      </c>
      <c r="Y781" s="23" t="s">
        <v>65</v>
      </c>
      <c r="Z781" s="23" t="s">
        <v>65</v>
      </c>
      <c r="AA781" s="36">
        <f t="shared" si="2776"/>
        <v>10.079000000000001</v>
      </c>
      <c r="AB781" s="23" t="s">
        <v>65</v>
      </c>
      <c r="AC781" s="23" t="s">
        <v>65</v>
      </c>
      <c r="AD781" s="23" t="s">
        <v>65</v>
      </c>
      <c r="AE781" s="36">
        <f t="shared" si="2777"/>
        <v>8.1910000000000007</v>
      </c>
      <c r="AF781" s="23" t="s">
        <v>65</v>
      </c>
      <c r="AG781" s="23" t="s">
        <v>65</v>
      </c>
      <c r="AO781" s="13">
        <v>0</v>
      </c>
      <c r="AP781" s="13">
        <v>0</v>
      </c>
      <c r="AQ781" s="13">
        <v>0</v>
      </c>
      <c r="AR781" s="13">
        <v>0</v>
      </c>
      <c r="AS781" s="13">
        <v>-6.0000000000000001E-3</v>
      </c>
      <c r="AT781" s="13">
        <v>0.318</v>
      </c>
      <c r="AU781" s="13">
        <v>10.079000000000001</v>
      </c>
      <c r="AV781" s="23">
        <v>8.1910000000000007</v>
      </c>
    </row>
    <row r="782" spans="2:48" s="1" customFormat="1" x14ac:dyDescent="0.2">
      <c r="B782" s="38" t="s">
        <v>177</v>
      </c>
      <c r="H782" s="39">
        <v>5824.5680000000002</v>
      </c>
      <c r="I782" s="39">
        <v>5820.7790000000005</v>
      </c>
      <c r="J782" s="39">
        <v>17358.293000000001</v>
      </c>
      <c r="K782" s="49">
        <f t="shared" ref="K782" si="2783">+AQ782</f>
        <v>17344.357</v>
      </c>
      <c r="L782" s="39">
        <v>7993.8280000000004</v>
      </c>
      <c r="M782" s="39">
        <v>7993.8280000000004</v>
      </c>
      <c r="N782" s="39">
        <v>14960.832</v>
      </c>
      <c r="O782" s="49">
        <f t="shared" si="2773"/>
        <v>15854.731000000002</v>
      </c>
      <c r="P782" s="39">
        <v>1205.472</v>
      </c>
      <c r="Q782" s="39">
        <v>9624.2129999999997</v>
      </c>
      <c r="R782" s="39">
        <v>9624.2129999999997</v>
      </c>
      <c r="S782" s="49">
        <f t="shared" si="2774"/>
        <v>51798.996000000006</v>
      </c>
      <c r="T782" s="39">
        <v>-1238.874</v>
      </c>
      <c r="U782" s="39">
        <v>-1875.4929999999999</v>
      </c>
      <c r="V782" s="39">
        <v>-1875.347</v>
      </c>
      <c r="W782" s="49">
        <f t="shared" si="2775"/>
        <v>-1875.154</v>
      </c>
      <c r="X782" s="39">
        <v>4.2999999999999997E-2</v>
      </c>
      <c r="Y782" s="39">
        <v>0.311</v>
      </c>
      <c r="Z782" s="39">
        <v>0.56899999999999995</v>
      </c>
      <c r="AA782" s="49">
        <f t="shared" si="2776"/>
        <v>10.079000000000001</v>
      </c>
      <c r="AB782" s="39">
        <v>5.2999999999999999E-2</v>
      </c>
      <c r="AC782" s="39">
        <v>7.2859999999999996</v>
      </c>
      <c r="AD782" s="39">
        <v>7.6710000000000003</v>
      </c>
      <c r="AE782" s="49">
        <f t="shared" si="2777"/>
        <v>-8960.6259999999984</v>
      </c>
      <c r="AF782" s="39">
        <v>0.03</v>
      </c>
      <c r="AG782" s="39">
        <v>0.72799999999999998</v>
      </c>
      <c r="AO782" s="48">
        <f>SUM(AO766:AO781)</f>
        <v>486.53799999999995</v>
      </c>
      <c r="AP782" s="48">
        <f t="shared" ref="AP782:AV782" si="2784">SUM(AP766:AP781)</f>
        <v>1398.8600000000001</v>
      </c>
      <c r="AQ782" s="48">
        <f t="shared" si="2784"/>
        <v>17344.357</v>
      </c>
      <c r="AR782" s="48">
        <f t="shared" si="2784"/>
        <v>15854.731000000002</v>
      </c>
      <c r="AS782" s="48">
        <f t="shared" si="2784"/>
        <v>51798.996000000006</v>
      </c>
      <c r="AT782" s="48">
        <f t="shared" si="2784"/>
        <v>-1875.154</v>
      </c>
      <c r="AU782" s="48">
        <f t="shared" si="2784"/>
        <v>10.079000000000001</v>
      </c>
      <c r="AV782" s="48">
        <f t="shared" si="2784"/>
        <v>-8960.6259999999984</v>
      </c>
    </row>
    <row r="783" spans="2:48" x14ac:dyDescent="0.2">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O783" s="11"/>
      <c r="AP783" s="11"/>
      <c r="AQ783" s="11"/>
      <c r="AR783" s="11"/>
      <c r="AS783" s="11"/>
      <c r="AT783" s="11"/>
      <c r="AU783" s="11"/>
      <c r="AV783" s="11"/>
    </row>
    <row r="784" spans="2:48" ht="13.5" x14ac:dyDescent="0.35">
      <c r="B784" t="s">
        <v>179</v>
      </c>
      <c r="H784" s="13">
        <v>-75.799000000000007</v>
      </c>
      <c r="I784" s="13">
        <v>254.821</v>
      </c>
      <c r="J784" s="13">
        <v>613.87699999999995</v>
      </c>
      <c r="K784" s="36">
        <f t="shared" ref="K784:K785" si="2785">+AQ784</f>
        <v>546.91</v>
      </c>
      <c r="L784" s="13">
        <v>-228.49700000000001</v>
      </c>
      <c r="M784" s="13">
        <v>207.87100000000001</v>
      </c>
      <c r="N784" s="13">
        <v>500.40199999999999</v>
      </c>
      <c r="O784" s="36">
        <f>+AR784</f>
        <v>450.142</v>
      </c>
      <c r="P784" s="13">
        <v>99.058000000000007</v>
      </c>
      <c r="Q784" s="13">
        <v>59.564</v>
      </c>
      <c r="R784" s="13">
        <v>43.695999999999998</v>
      </c>
      <c r="S784" s="36">
        <f>+AS784</f>
        <v>-139.94300000000001</v>
      </c>
      <c r="T784" s="13">
        <v>51.55</v>
      </c>
      <c r="U784" s="13">
        <v>-140.863</v>
      </c>
      <c r="V784" s="13">
        <v>-118.703</v>
      </c>
      <c r="W784" s="36">
        <f>+AT784</f>
        <v>-145.15700000000001</v>
      </c>
      <c r="X784" s="13">
        <v>10.163</v>
      </c>
      <c r="Y784" s="13">
        <v>-40.676000000000002</v>
      </c>
      <c r="Z784" s="13">
        <v>209.55099999999999</v>
      </c>
      <c r="AA784" s="36">
        <f>+AU784</f>
        <v>100.17700000000001</v>
      </c>
      <c r="AB784" s="13">
        <v>-348.245</v>
      </c>
      <c r="AC784" s="13">
        <v>532.86</v>
      </c>
      <c r="AD784" s="13">
        <v>733.91800000000001</v>
      </c>
      <c r="AE784" s="36">
        <f>+AV784</f>
        <v>-291.13900000000001</v>
      </c>
      <c r="AF784" s="13">
        <v>147.92400000000001</v>
      </c>
      <c r="AG784" s="13">
        <v>240.744</v>
      </c>
      <c r="AO784" s="13">
        <v>20.396999999999998</v>
      </c>
      <c r="AP784" s="13">
        <v>-47.680999999999997</v>
      </c>
      <c r="AQ784" s="13">
        <v>546.91</v>
      </c>
      <c r="AR784" s="13">
        <v>450.142</v>
      </c>
      <c r="AS784" s="13">
        <v>-139.94300000000001</v>
      </c>
      <c r="AT784" s="13">
        <v>-145.15700000000001</v>
      </c>
      <c r="AU784" s="13">
        <v>100.17700000000001</v>
      </c>
      <c r="AV784" s="13">
        <v>-291.13900000000001</v>
      </c>
    </row>
    <row r="785" spans="2:54" s="1" customFormat="1" x14ac:dyDescent="0.2">
      <c r="B785" s="38" t="s">
        <v>178</v>
      </c>
      <c r="H785" s="48">
        <f>+H746+H763+H782+H784</f>
        <v>5576.1369999999997</v>
      </c>
      <c r="I785" s="48">
        <f t="shared" ref="I785:AD785" si="2786">+I746+I763+I782+I784</f>
        <v>5972.7220000000007</v>
      </c>
      <c r="J785" s="48">
        <f t="shared" si="2786"/>
        <v>11901.866000000002</v>
      </c>
      <c r="K785" s="49">
        <f t="shared" si="2785"/>
        <v>18110.685000000001</v>
      </c>
      <c r="L785" s="48">
        <f t="shared" si="2786"/>
        <v>6679.5529999999999</v>
      </c>
      <c r="M785" s="48">
        <f t="shared" si="2786"/>
        <v>10124.48</v>
      </c>
      <c r="N785" s="48">
        <f t="shared" si="2786"/>
        <v>3826.3909999999996</v>
      </c>
      <c r="O785" s="49">
        <f>+AR785</f>
        <v>2806.1710000000003</v>
      </c>
      <c r="P785" s="48">
        <f t="shared" si="2786"/>
        <v>-846.7320000000002</v>
      </c>
      <c r="Q785" s="48">
        <f t="shared" si="2786"/>
        <v>3332.032999999999</v>
      </c>
      <c r="R785" s="48">
        <f t="shared" si="2786"/>
        <v>11182.903</v>
      </c>
      <c r="S785" s="49">
        <f>+AS785</f>
        <v>41497.779000000002</v>
      </c>
      <c r="T785" s="48">
        <f t="shared" si="2786"/>
        <v>-10532.918</v>
      </c>
      <c r="U785" s="48">
        <f t="shared" si="2786"/>
        <v>-7474.7910000000002</v>
      </c>
      <c r="V785" s="48">
        <f t="shared" si="2786"/>
        <v>-12480.673999999999</v>
      </c>
      <c r="W785" s="49">
        <f>+AT785</f>
        <v>-8799.6650000000063</v>
      </c>
      <c r="X785" s="48">
        <f t="shared" si="2786"/>
        <v>-13909.978999999999</v>
      </c>
      <c r="Y785" s="48">
        <f t="shared" si="2786"/>
        <v>-3179.9500000000007</v>
      </c>
      <c r="Z785" s="48">
        <f t="shared" si="2786"/>
        <v>8365.9640000000018</v>
      </c>
      <c r="AA785" s="49">
        <f>+AU785</f>
        <v>26256.445999999993</v>
      </c>
      <c r="AB785" s="48">
        <f t="shared" si="2786"/>
        <v>-21630.416999999998</v>
      </c>
      <c r="AC785" s="48">
        <f t="shared" si="2786"/>
        <v>-8865.9580000000024</v>
      </c>
      <c r="AD785" s="48">
        <f t="shared" si="2786"/>
        <v>19052.841999999997</v>
      </c>
      <c r="AE785" s="49">
        <f>+AV785</f>
        <v>29479.487999999994</v>
      </c>
      <c r="AF785" s="48">
        <f t="shared" ref="AF785:AG785" si="2787">+AF746+AF763+AF782+AF784</f>
        <v>-7074.9879999999994</v>
      </c>
      <c r="AG785" s="48">
        <f t="shared" si="2787"/>
        <v>1412.0120000000009</v>
      </c>
      <c r="AO785" s="48">
        <f t="shared" ref="AO785:AV785" si="2788">+AO746+AO763+AO782+AO784</f>
        <v>1079.4110000000003</v>
      </c>
      <c r="AP785" s="48">
        <f t="shared" si="2788"/>
        <v>1738.309000000002</v>
      </c>
      <c r="AQ785" s="48">
        <f t="shared" si="2788"/>
        <v>18110.685000000001</v>
      </c>
      <c r="AR785" s="48">
        <f t="shared" si="2788"/>
        <v>2806.1710000000003</v>
      </c>
      <c r="AS785" s="48">
        <f t="shared" si="2788"/>
        <v>41497.779000000002</v>
      </c>
      <c r="AT785" s="48">
        <f t="shared" si="2788"/>
        <v>-8799.6650000000063</v>
      </c>
      <c r="AU785" s="48">
        <f t="shared" si="2788"/>
        <v>26256.445999999993</v>
      </c>
      <c r="AV785" s="48">
        <f t="shared" si="2788"/>
        <v>29479.487999999994</v>
      </c>
    </row>
    <row r="787" spans="2:54" x14ac:dyDescent="0.2">
      <c r="B787" s="6" t="s">
        <v>182</v>
      </c>
      <c r="C787" s="5"/>
    </row>
    <row r="789" spans="2:54" x14ac:dyDescent="0.2">
      <c r="B789" s="24" t="s">
        <v>208</v>
      </c>
    </row>
    <row r="790" spans="2:54" x14ac:dyDescent="0.2">
      <c r="B790" s="1" t="s">
        <v>183</v>
      </c>
      <c r="I790" s="11"/>
      <c r="J790" s="11"/>
      <c r="K790" s="11"/>
      <c r="L790" s="11"/>
      <c r="M790" s="272"/>
      <c r="N790" s="11"/>
      <c r="O790" s="11"/>
      <c r="P790" s="11"/>
      <c r="Q790" s="272"/>
      <c r="R790" s="11"/>
      <c r="S790" s="11"/>
      <c r="T790" s="272"/>
      <c r="U790" s="272"/>
      <c r="V790" s="272"/>
      <c r="W790" s="272"/>
      <c r="X790" s="272"/>
      <c r="Y790" s="272"/>
      <c r="Z790" s="272"/>
      <c r="AA790" s="272"/>
      <c r="AB790" s="272"/>
      <c r="AC790" s="272"/>
      <c r="AD790" s="272"/>
      <c r="AE790" s="272"/>
      <c r="AF790" s="272"/>
      <c r="AG790" s="272"/>
      <c r="AP790" s="33"/>
    </row>
    <row r="791" spans="2:54" x14ac:dyDescent="0.2">
      <c r="B791" t="s">
        <v>184</v>
      </c>
      <c r="H791" s="11">
        <v>8634.2890000000007</v>
      </c>
      <c r="I791" s="11">
        <v>9030.8739999999998</v>
      </c>
      <c r="J791" s="11">
        <v>14960.018</v>
      </c>
      <c r="K791" s="11">
        <v>14160.322</v>
      </c>
      <c r="L791" s="11">
        <v>22501.690999999999</v>
      </c>
      <c r="M791" s="11">
        <v>23851.94</v>
      </c>
      <c r="N791" s="11">
        <v>15694.045</v>
      </c>
      <c r="O791" s="11">
        <v>5768.1859999999997</v>
      </c>
      <c r="P791" s="11">
        <v>5526.7359999999999</v>
      </c>
      <c r="Q791" s="11">
        <v>4209.6229999999996</v>
      </c>
      <c r="R791" s="11">
        <v>5715.6760000000004</v>
      </c>
      <c r="S791" s="11">
        <v>22421.188999999998</v>
      </c>
      <c r="T791" s="11">
        <v>17012.977999999999</v>
      </c>
      <c r="U791" s="11">
        <v>19154.776999999998</v>
      </c>
      <c r="V791" s="11">
        <v>11132.800999999999</v>
      </c>
      <c r="W791" s="11">
        <v>6426.7150000000001</v>
      </c>
      <c r="X791" s="11">
        <v>7404.9920000000002</v>
      </c>
      <c r="Y791" s="11">
        <v>13057.463</v>
      </c>
      <c r="Z791" s="11">
        <v>25601.546999999999</v>
      </c>
      <c r="AA791" s="11">
        <v>34326.192000000003</v>
      </c>
      <c r="AB791" s="11">
        <v>19771.264999999999</v>
      </c>
      <c r="AC791" s="11">
        <v>31379.326000000001</v>
      </c>
      <c r="AD791" s="11">
        <v>54939.760999999999</v>
      </c>
      <c r="AE791" s="11">
        <v>59794.468999999997</v>
      </c>
      <c r="AF791" s="11">
        <v>55591.887999999999</v>
      </c>
      <c r="AG791" s="11">
        <v>56756.328999999998</v>
      </c>
      <c r="AH791" s="11"/>
      <c r="AI791" s="11"/>
      <c r="AJ791" s="11"/>
      <c r="AK791" s="11"/>
      <c r="AL791" s="11"/>
      <c r="AM791" s="11"/>
      <c r="AN791" s="11"/>
      <c r="AO791" s="11">
        <v>1319.8430000000001</v>
      </c>
      <c r="AP791" s="11">
        <v>3058.152</v>
      </c>
      <c r="AQ791" s="11">
        <v>14160.322</v>
      </c>
      <c r="AR791" s="11">
        <v>5768.1859999999997</v>
      </c>
      <c r="AS791" s="11">
        <v>22421.188999999998</v>
      </c>
      <c r="AT791" s="11">
        <v>6426.7150000000001</v>
      </c>
      <c r="AU791" s="11">
        <v>34326.192000000003</v>
      </c>
      <c r="AV791" s="11">
        <v>59794.468999999997</v>
      </c>
      <c r="AZ791" s="11"/>
      <c r="BA791" s="11"/>
    </row>
    <row r="792" spans="2:54" x14ac:dyDescent="0.2">
      <c r="B792" t="s">
        <v>132</v>
      </c>
      <c r="H792" s="11">
        <v>8058.3980000000001</v>
      </c>
      <c r="I792" s="11">
        <v>8785.1380000000008</v>
      </c>
      <c r="J792" s="11">
        <v>10166.808999999999</v>
      </c>
      <c r="K792" s="11">
        <v>16379.364</v>
      </c>
      <c r="L792" s="11">
        <v>14717.548000000001</v>
      </c>
      <c r="M792" s="11">
        <v>16812.225999999999</v>
      </c>
      <c r="N792" s="11">
        <v>18672.031999999999</v>
      </c>
      <c r="O792" s="11">
        <v>27577.670999999998</v>
      </c>
      <c r="P792" s="11">
        <v>26972.388999999999</v>
      </c>
      <c r="Q792" s="11">
        <v>32468.267</v>
      </c>
      <c r="R792" s="11">
        <v>38813.084000000003</v>
      </c>
      <c r="S792" s="11">
        <v>52422.447</v>
      </c>
      <c r="T792" s="11">
        <v>47297.74</v>
      </c>
      <c r="U792" s="11">
        <v>48214.067999999999</v>
      </c>
      <c r="V792" s="11">
        <v>51230.161</v>
      </c>
      <c r="W792" s="11">
        <v>59617.256000000001</v>
      </c>
      <c r="X792" s="11">
        <v>44729</v>
      </c>
      <c r="Y792" s="11">
        <v>49806.557999999997</v>
      </c>
      <c r="Z792" s="11">
        <v>48808.387999999999</v>
      </c>
      <c r="AA792" s="11">
        <v>57974.224999999999</v>
      </c>
      <c r="AB792" s="11">
        <v>50898.735000000001</v>
      </c>
      <c r="AC792" s="11">
        <v>52055.133000000002</v>
      </c>
      <c r="AD792" s="11">
        <v>56413.498</v>
      </c>
      <c r="AE792" s="11">
        <v>61985.436000000002</v>
      </c>
      <c r="AF792" s="11">
        <v>59113.029000000002</v>
      </c>
      <c r="AG792" s="11">
        <v>59360.6</v>
      </c>
      <c r="AH792" s="11"/>
      <c r="AI792" s="11"/>
      <c r="AJ792" s="11"/>
      <c r="AK792" s="11"/>
      <c r="AL792" s="11"/>
      <c r="AM792" s="11"/>
      <c r="AN792" s="11"/>
      <c r="AO792" s="11">
        <v>0</v>
      </c>
      <c r="AP792" s="11">
        <v>9370.8490000000002</v>
      </c>
      <c r="AQ792" s="11">
        <v>16379.364</v>
      </c>
      <c r="AR792" s="11">
        <v>27577.670999999998</v>
      </c>
      <c r="AS792" s="11">
        <v>52422.447</v>
      </c>
      <c r="AT792" s="11">
        <v>59617.256000000001</v>
      </c>
      <c r="AU792" s="11">
        <v>57974.224999999999</v>
      </c>
      <c r="AV792" s="11">
        <v>61985.436000000002</v>
      </c>
      <c r="AZ792" s="11"/>
      <c r="BA792" s="11"/>
    </row>
    <row r="793" spans="2:54" x14ac:dyDescent="0.2">
      <c r="B793" t="s">
        <v>133</v>
      </c>
      <c r="H793" s="11">
        <v>113.52500000000001</v>
      </c>
      <c r="I793" s="11">
        <v>94.442999999999998</v>
      </c>
      <c r="J793" s="11">
        <v>126.456</v>
      </c>
      <c r="K793" s="11">
        <v>247.58600000000001</v>
      </c>
      <c r="L793" s="11">
        <v>317.209</v>
      </c>
      <c r="M793" s="11">
        <v>452.26600000000002</v>
      </c>
      <c r="N793" s="11">
        <v>524.43600000000004</v>
      </c>
      <c r="O793" s="11">
        <v>1050.9739999999999</v>
      </c>
      <c r="P793" s="11">
        <v>679.52200000000005</v>
      </c>
      <c r="Q793" s="11">
        <v>429.375</v>
      </c>
      <c r="R793" s="11">
        <v>531.00900000000001</v>
      </c>
      <c r="S793" s="11">
        <v>729.548</v>
      </c>
      <c r="T793" s="11">
        <v>699.20299999999997</v>
      </c>
      <c r="U793" s="11">
        <v>686.32600000000002</v>
      </c>
      <c r="V793" s="11">
        <v>667.62300000000005</v>
      </c>
      <c r="W793" s="11">
        <v>673.73699999999997</v>
      </c>
      <c r="X793" s="11">
        <v>600.52700000000004</v>
      </c>
      <c r="Y793" s="11">
        <v>617.72400000000005</v>
      </c>
      <c r="Z793" s="11">
        <v>476.32900000000001</v>
      </c>
      <c r="AA793" s="11">
        <v>587.69600000000003</v>
      </c>
      <c r="AB793" s="11">
        <v>693.11099999999999</v>
      </c>
      <c r="AC793" s="11">
        <v>1559.7650000000001</v>
      </c>
      <c r="AD793" s="11">
        <v>2547.134</v>
      </c>
      <c r="AE793" s="11">
        <v>3914.1170000000002</v>
      </c>
      <c r="AF793" s="11">
        <v>4769.0479999999998</v>
      </c>
      <c r="AG793" s="11">
        <v>5491.1310000000003</v>
      </c>
      <c r="AH793" s="11"/>
      <c r="AI793" s="11"/>
      <c r="AJ793" s="11"/>
      <c r="AK793" s="11"/>
      <c r="AL793" s="11"/>
      <c r="AM793" s="11"/>
      <c r="AN793" s="11"/>
      <c r="AO793" s="11">
        <v>10.282</v>
      </c>
      <c r="AP793" s="11">
        <v>88.173000000000002</v>
      </c>
      <c r="AQ793" s="11">
        <v>247.58600000000001</v>
      </c>
      <c r="AR793" s="11">
        <v>1050.9739999999999</v>
      </c>
      <c r="AS793" s="11">
        <v>729.548</v>
      </c>
      <c r="AT793" s="11">
        <v>673.73699999999997</v>
      </c>
      <c r="AU793" s="11">
        <v>587.69600000000003</v>
      </c>
      <c r="AV793" s="11">
        <v>3914.1170000000002</v>
      </c>
      <c r="AZ793" s="11"/>
      <c r="BA793" s="11"/>
    </row>
    <row r="794" spans="2:54" x14ac:dyDescent="0.2">
      <c r="B794" t="s">
        <v>134</v>
      </c>
      <c r="H794" s="11">
        <v>515.49699999999996</v>
      </c>
      <c r="I794" s="11">
        <v>588.07799999999997</v>
      </c>
      <c r="J794" s="11">
        <v>693.91899999999998</v>
      </c>
      <c r="K794" s="11">
        <v>1019.033</v>
      </c>
      <c r="L794" s="11">
        <v>1081.9359999999999</v>
      </c>
      <c r="M794" s="11">
        <v>1043.258</v>
      </c>
      <c r="N794" s="11">
        <v>1253.49</v>
      </c>
      <c r="O794" s="11">
        <v>2365.5279999999998</v>
      </c>
      <c r="P794" s="11">
        <v>1948.3920000000001</v>
      </c>
      <c r="Q794" s="11">
        <v>2428.172</v>
      </c>
      <c r="R794" s="11">
        <v>3449.1260000000002</v>
      </c>
      <c r="S794" s="11">
        <v>4240.0690000000004</v>
      </c>
      <c r="T794" s="11">
        <v>4131.1790000000001</v>
      </c>
      <c r="U794" s="11">
        <v>3644.8679999999999</v>
      </c>
      <c r="V794" s="11">
        <v>3896.7530000000002</v>
      </c>
      <c r="W794" s="11">
        <v>4250.1549999999997</v>
      </c>
      <c r="X794" s="11">
        <v>3587.3490000000002</v>
      </c>
      <c r="Y794" s="11">
        <v>4110.1620000000003</v>
      </c>
      <c r="Z794" s="11">
        <v>4680.2809999999999</v>
      </c>
      <c r="AA794" s="11">
        <v>6318.83</v>
      </c>
      <c r="AB794" s="11">
        <v>4896.5169999999998</v>
      </c>
      <c r="AC794" s="11">
        <v>5097.4260000000004</v>
      </c>
      <c r="AD794" s="11">
        <v>6138.625</v>
      </c>
      <c r="AE794" s="11">
        <v>7428.07</v>
      </c>
      <c r="AF794" s="11">
        <v>6973.8339999999998</v>
      </c>
      <c r="AG794" s="11">
        <v>5989.4110000000001</v>
      </c>
      <c r="AH794" s="11"/>
      <c r="AI794" s="11"/>
      <c r="AJ794" s="11"/>
      <c r="AK794" s="11"/>
      <c r="AL794" s="11"/>
      <c r="AM794" s="11"/>
      <c r="AN794" s="11"/>
      <c r="AO794" s="11">
        <v>92.647000000000006</v>
      </c>
      <c r="AP794" s="11">
        <v>442.91199999999998</v>
      </c>
      <c r="AQ794" s="11">
        <v>1019.033</v>
      </c>
      <c r="AR794" s="11">
        <v>2365.5279999999998</v>
      </c>
      <c r="AS794" s="11">
        <v>4240.0690000000004</v>
      </c>
      <c r="AT794" s="11">
        <v>4250.1549999999997</v>
      </c>
      <c r="AU794" s="11">
        <v>6318.83</v>
      </c>
      <c r="AV794" s="11">
        <v>7428.07</v>
      </c>
      <c r="AZ794" s="10"/>
      <c r="BA794" s="10"/>
      <c r="BB794" s="33"/>
    </row>
    <row r="795" spans="2:54" x14ac:dyDescent="0.2">
      <c r="B795" t="s">
        <v>185</v>
      </c>
      <c r="H795" s="11">
        <v>850</v>
      </c>
      <c r="I795" s="11">
        <v>1300</v>
      </c>
      <c r="J795" s="11">
        <v>7511.28</v>
      </c>
      <c r="K795" s="11">
        <v>7630.6890000000003</v>
      </c>
      <c r="L795" s="11">
        <v>6919.5479999999998</v>
      </c>
      <c r="M795" s="11">
        <v>7935.4210000000003</v>
      </c>
      <c r="N795" s="11">
        <v>24560.778999999999</v>
      </c>
      <c r="O795" s="11">
        <v>35288.826999999997</v>
      </c>
      <c r="P795" s="11">
        <v>37048.472000000002</v>
      </c>
      <c r="Q795" s="11">
        <v>44801.078000000001</v>
      </c>
      <c r="R795" s="11">
        <v>39859.089</v>
      </c>
      <c r="S795" s="11">
        <v>64551.093999999997</v>
      </c>
      <c r="T795" s="11">
        <v>66342.812999999995</v>
      </c>
      <c r="U795" s="11">
        <v>73026.501999999993</v>
      </c>
      <c r="V795" s="11">
        <v>86785.027000000002</v>
      </c>
      <c r="W795" s="11">
        <v>86516.618000000002</v>
      </c>
      <c r="X795" s="11">
        <v>87815.868000000002</v>
      </c>
      <c r="Y795" s="11">
        <v>106322.57799999999</v>
      </c>
      <c r="Z795" s="11">
        <v>112207.94899999999</v>
      </c>
      <c r="AA795" s="11">
        <v>115112.554</v>
      </c>
      <c r="AB795" s="11">
        <v>137263.55300000001</v>
      </c>
      <c r="AC795" s="11">
        <v>148129.26</v>
      </c>
      <c r="AD795" s="11">
        <v>147906.90400000001</v>
      </c>
      <c r="AE795" s="11">
        <v>157415.36499999999</v>
      </c>
      <c r="AF795" s="11">
        <v>186539.73199999999</v>
      </c>
      <c r="AG795" s="11">
        <v>228170.85</v>
      </c>
      <c r="AH795" s="11"/>
      <c r="AI795" s="11"/>
      <c r="AJ795" s="11"/>
      <c r="AK795" s="11"/>
      <c r="AL795" s="11"/>
      <c r="AM795" s="11"/>
      <c r="AN795" s="11"/>
      <c r="AO795" s="11">
        <v>290</v>
      </c>
      <c r="AP795" s="11">
        <v>50</v>
      </c>
      <c r="AQ795" s="11">
        <v>7630.6890000000003</v>
      </c>
      <c r="AR795" s="11">
        <v>35288.826999999997</v>
      </c>
      <c r="AS795" s="11">
        <v>64551.093999999997</v>
      </c>
      <c r="AT795" s="11">
        <v>86516.618000000002</v>
      </c>
      <c r="AU795" s="11">
        <v>115112.554</v>
      </c>
      <c r="AV795" s="11">
        <v>157415.36499999999</v>
      </c>
      <c r="BA795" s="10"/>
    </row>
    <row r="796" spans="2:54" ht="13.5" x14ac:dyDescent="0.35">
      <c r="B796" t="s">
        <v>135</v>
      </c>
      <c r="H796" s="13">
        <v>210.85</v>
      </c>
      <c r="I796" s="13">
        <v>673.40499999999997</v>
      </c>
      <c r="J796" s="13">
        <v>784.94500000000005</v>
      </c>
      <c r="K796" s="13">
        <v>953.98900000000003</v>
      </c>
      <c r="L796" s="13">
        <v>1268.8420000000001</v>
      </c>
      <c r="M796" s="13">
        <v>1210.6479999999999</v>
      </c>
      <c r="N796" s="13">
        <v>884.60199999999998</v>
      </c>
      <c r="O796" s="13">
        <v>950.27700000000004</v>
      </c>
      <c r="P796" s="13">
        <v>914.60299999999995</v>
      </c>
      <c r="Q796" s="13">
        <v>1245.451</v>
      </c>
      <c r="R796" s="13">
        <v>1802.585</v>
      </c>
      <c r="S796" s="13">
        <v>5159.5309999999999</v>
      </c>
      <c r="T796" s="13">
        <v>4152.8230000000003</v>
      </c>
      <c r="U796" s="13">
        <v>2847.3980000000001</v>
      </c>
      <c r="V796" s="13">
        <v>3380.9209999999998</v>
      </c>
      <c r="W796" s="13">
        <v>3424.6869999999999</v>
      </c>
      <c r="X796" s="13">
        <v>2027.2249999999999</v>
      </c>
      <c r="Y796" s="13">
        <v>1531.816</v>
      </c>
      <c r="Z796" s="13">
        <v>1795.8019999999999</v>
      </c>
      <c r="AA796" s="13">
        <v>2298.3789999999999</v>
      </c>
      <c r="AB796" s="13">
        <v>2287.7420000000002</v>
      </c>
      <c r="AC796" s="13">
        <v>2985.2629999999999</v>
      </c>
      <c r="AD796" s="13">
        <v>3629.8939999999998</v>
      </c>
      <c r="AE796" s="13">
        <v>4213.0150000000003</v>
      </c>
      <c r="AF796" s="13">
        <v>3482.4319999999998</v>
      </c>
      <c r="AG796" s="13">
        <v>3957.931</v>
      </c>
      <c r="AH796" s="13"/>
      <c r="AI796" s="13"/>
      <c r="AJ796" s="13"/>
      <c r="AK796" s="13"/>
      <c r="AL796" s="13"/>
      <c r="AM796" s="13"/>
      <c r="AN796" s="13"/>
      <c r="AO796" s="13">
        <v>40.731000000000002</v>
      </c>
      <c r="AP796" s="13">
        <v>127.742</v>
      </c>
      <c r="AQ796" s="13">
        <v>953.98900000000003</v>
      </c>
      <c r="AR796" s="13">
        <v>950.27700000000004</v>
      </c>
      <c r="AS796" s="13">
        <v>5159.5309999999999</v>
      </c>
      <c r="AT796" s="13">
        <v>3424.6869999999999</v>
      </c>
      <c r="AU796" s="13">
        <v>2298.3789999999999</v>
      </c>
      <c r="AV796" s="13">
        <v>4213.0150000000003</v>
      </c>
    </row>
    <row r="797" spans="2:54" s="1" customFormat="1" x14ac:dyDescent="0.2">
      <c r="B797" s="38" t="s">
        <v>205</v>
      </c>
      <c r="H797" s="42">
        <f>SUM(H791:H796)</f>
        <v>18382.559000000001</v>
      </c>
      <c r="I797" s="42">
        <f t="shared" ref="I797:AE797" si="2789">SUM(I791:I796)</f>
        <v>20471.938000000002</v>
      </c>
      <c r="J797" s="42">
        <f t="shared" si="2789"/>
        <v>34243.426999999996</v>
      </c>
      <c r="K797" s="42">
        <f t="shared" si="2789"/>
        <v>40390.983</v>
      </c>
      <c r="L797" s="42">
        <f t="shared" si="2789"/>
        <v>46806.774000000005</v>
      </c>
      <c r="M797" s="42">
        <f t="shared" si="2789"/>
        <v>51305.759000000005</v>
      </c>
      <c r="N797" s="42">
        <f t="shared" si="2789"/>
        <v>61589.383999999991</v>
      </c>
      <c r="O797" s="42">
        <f t="shared" si="2789"/>
        <v>73001.462999999989</v>
      </c>
      <c r="P797" s="42">
        <f t="shared" si="2789"/>
        <v>73090.114000000001</v>
      </c>
      <c r="Q797" s="42">
        <f t="shared" si="2789"/>
        <v>85581.966</v>
      </c>
      <c r="R797" s="42">
        <f t="shared" si="2789"/>
        <v>90170.569000000003</v>
      </c>
      <c r="S797" s="42">
        <f t="shared" si="2789"/>
        <v>149523.878</v>
      </c>
      <c r="T797" s="42">
        <f t="shared" si="2789"/>
        <v>139636.736</v>
      </c>
      <c r="U797" s="42">
        <f t="shared" si="2789"/>
        <v>147573.93899999998</v>
      </c>
      <c r="V797" s="42">
        <f t="shared" si="2789"/>
        <v>157093.28599999999</v>
      </c>
      <c r="W797" s="42">
        <f t="shared" si="2789"/>
        <v>160909.16800000001</v>
      </c>
      <c r="X797" s="42">
        <f t="shared" si="2789"/>
        <v>146164.96100000001</v>
      </c>
      <c r="Y797" s="42">
        <f t="shared" si="2789"/>
        <v>175446.30099999998</v>
      </c>
      <c r="Z797" s="42">
        <f t="shared" si="2789"/>
        <v>193570.296</v>
      </c>
      <c r="AA797" s="42">
        <f t="shared" si="2789"/>
        <v>216617.87599999999</v>
      </c>
      <c r="AB797" s="42">
        <f t="shared" si="2789"/>
        <v>215810.92300000001</v>
      </c>
      <c r="AC797" s="42">
        <f t="shared" si="2789"/>
        <v>241206.17300000004</v>
      </c>
      <c r="AD797" s="42">
        <f t="shared" si="2789"/>
        <v>271575.81599999999</v>
      </c>
      <c r="AE797" s="42">
        <f t="shared" si="2789"/>
        <v>294750.47200000001</v>
      </c>
      <c r="AF797" s="42">
        <f t="shared" ref="AF797:AG797" si="2790">SUM(AF791:AF796)</f>
        <v>316469.96299999993</v>
      </c>
      <c r="AG797" s="42">
        <f t="shared" si="2790"/>
        <v>359726.25199999998</v>
      </c>
      <c r="AO797" s="42">
        <f t="shared" ref="AO797" si="2791">SUM(AO791:AO796)</f>
        <v>1753.5029999999999</v>
      </c>
      <c r="AP797" s="42">
        <f t="shared" ref="AP797" si="2792">SUM(AP791:AP796)</f>
        <v>13137.828000000001</v>
      </c>
      <c r="AQ797" s="42">
        <f t="shared" ref="AQ797" si="2793">SUM(AQ791:AQ796)</f>
        <v>40390.983</v>
      </c>
      <c r="AR797" s="42">
        <f t="shared" ref="AR797" si="2794">SUM(AR791:AR796)</f>
        <v>73001.462999999989</v>
      </c>
      <c r="AS797" s="42">
        <f t="shared" ref="AS797" si="2795">SUM(AS791:AS796)</f>
        <v>149523.878</v>
      </c>
      <c r="AT797" s="42">
        <f t="shared" ref="AT797" si="2796">SUM(AT791:AT796)</f>
        <v>160909.16800000001</v>
      </c>
      <c r="AU797" s="42">
        <f t="shared" ref="AU797:AV797" si="2797">SUM(AU791:AU796)</f>
        <v>216617.87599999999</v>
      </c>
      <c r="AV797" s="42">
        <f t="shared" si="2797"/>
        <v>294750.47200000001</v>
      </c>
    </row>
    <row r="799" spans="2:54" x14ac:dyDescent="0.2">
      <c r="B799" s="1" t="s">
        <v>186</v>
      </c>
    </row>
    <row r="800" spans="2:54" x14ac:dyDescent="0.2">
      <c r="B800" t="s">
        <v>187</v>
      </c>
      <c r="H800" s="11">
        <v>0</v>
      </c>
      <c r="I800" s="11">
        <v>0</v>
      </c>
      <c r="J800" s="11">
        <v>0</v>
      </c>
      <c r="K800" s="11">
        <v>0</v>
      </c>
      <c r="L800" s="11">
        <v>0</v>
      </c>
      <c r="M800" s="11">
        <v>0</v>
      </c>
      <c r="N800" s="11">
        <v>0</v>
      </c>
      <c r="O800" s="11">
        <v>0</v>
      </c>
      <c r="P800" s="11">
        <v>0</v>
      </c>
      <c r="Q800" s="11">
        <v>0</v>
      </c>
      <c r="R800" s="11">
        <v>0</v>
      </c>
      <c r="S800" s="11">
        <v>0</v>
      </c>
      <c r="T800" s="11">
        <v>0</v>
      </c>
      <c r="U800" s="11">
        <v>0</v>
      </c>
      <c r="V800" s="11">
        <v>0</v>
      </c>
      <c r="W800" s="11">
        <v>0</v>
      </c>
      <c r="X800" s="11">
        <v>0</v>
      </c>
      <c r="Y800" s="11">
        <v>0</v>
      </c>
      <c r="Z800" s="11">
        <v>0</v>
      </c>
      <c r="AA800" s="11">
        <v>0</v>
      </c>
      <c r="AB800" s="11">
        <v>0</v>
      </c>
      <c r="AC800" s="11">
        <v>0</v>
      </c>
      <c r="AD800" s="11">
        <v>0</v>
      </c>
      <c r="AE800" s="11">
        <v>0</v>
      </c>
      <c r="AF800" s="11">
        <v>0</v>
      </c>
      <c r="AG800" s="11">
        <v>0</v>
      </c>
      <c r="AH800" s="11"/>
      <c r="AI800" s="11"/>
      <c r="AJ800" s="11"/>
      <c r="AK800" s="11"/>
      <c r="AL800" s="11"/>
      <c r="AM800" s="11"/>
      <c r="AN800" s="11"/>
      <c r="AO800" s="11">
        <v>15</v>
      </c>
      <c r="AP800" s="11">
        <v>5</v>
      </c>
      <c r="AQ800" s="11">
        <v>0</v>
      </c>
      <c r="AR800" s="11">
        <v>0</v>
      </c>
      <c r="AS800" s="11">
        <v>0</v>
      </c>
      <c r="AT800" s="11">
        <v>0</v>
      </c>
      <c r="AU800" s="11">
        <v>0</v>
      </c>
      <c r="AV800" s="11">
        <v>0</v>
      </c>
    </row>
    <row r="801" spans="2:48" x14ac:dyDescent="0.2">
      <c r="B801" t="s">
        <v>188</v>
      </c>
      <c r="H801" s="11">
        <v>9.8970000000000002</v>
      </c>
      <c r="I801" s="11">
        <v>14.875999999999999</v>
      </c>
      <c r="J801" s="11">
        <v>19.11</v>
      </c>
      <c r="K801" s="11">
        <v>29.074999999999999</v>
      </c>
      <c r="L801" s="11">
        <v>36.088999999999999</v>
      </c>
      <c r="M801" s="11">
        <v>33.408999999999999</v>
      </c>
      <c r="N801" s="11">
        <v>38.152999999999999</v>
      </c>
      <c r="O801" s="11">
        <v>41.273000000000003</v>
      </c>
      <c r="P801" s="11">
        <v>41.353000000000002</v>
      </c>
      <c r="Q801" s="11">
        <v>47.524999999999999</v>
      </c>
      <c r="R801" s="11">
        <v>46.509</v>
      </c>
      <c r="S801" s="11">
        <v>202.85300000000001</v>
      </c>
      <c r="T801" s="11">
        <v>227.917</v>
      </c>
      <c r="U801" s="11">
        <v>247.114</v>
      </c>
      <c r="V801" s="11">
        <v>2219.9969999999998</v>
      </c>
      <c r="W801" s="11">
        <v>2203.3229999999999</v>
      </c>
      <c r="X801" s="11">
        <v>1746.7460000000001</v>
      </c>
      <c r="Y801" s="11">
        <v>1450.866</v>
      </c>
      <c r="Z801" s="11">
        <v>1148.01</v>
      </c>
      <c r="AA801" s="11">
        <v>1044.847</v>
      </c>
      <c r="AB801" s="11">
        <v>948.09500000000003</v>
      </c>
      <c r="AC801" s="11">
        <v>1064.374</v>
      </c>
      <c r="AD801" s="11">
        <v>1065.18</v>
      </c>
      <c r="AE801" s="11">
        <v>979.59699999999998</v>
      </c>
      <c r="AF801" s="11">
        <v>881.00800000000004</v>
      </c>
      <c r="AG801" s="11">
        <v>863.49400000000003</v>
      </c>
      <c r="AH801" s="11"/>
      <c r="AI801" s="11"/>
      <c r="AJ801" s="11"/>
      <c r="AK801" s="11"/>
      <c r="AL801" s="11"/>
      <c r="AM801" s="11"/>
      <c r="AN801" s="11"/>
      <c r="AO801" s="11">
        <v>2.2480000000000002</v>
      </c>
      <c r="AP801" s="11">
        <v>9.2789999999999999</v>
      </c>
      <c r="AQ801" s="11">
        <v>29.074999999999999</v>
      </c>
      <c r="AR801" s="11">
        <v>41.273000000000003</v>
      </c>
      <c r="AS801" s="11">
        <v>202.85300000000001</v>
      </c>
      <c r="AT801" s="11">
        <v>2203.3229999999999</v>
      </c>
      <c r="AU801" s="11">
        <v>1044.847</v>
      </c>
      <c r="AV801" s="11">
        <v>979.59699999999998</v>
      </c>
    </row>
    <row r="802" spans="2:48" x14ac:dyDescent="0.2">
      <c r="B802" t="s">
        <v>189</v>
      </c>
      <c r="H802" s="11">
        <v>2789.3539999999998</v>
      </c>
      <c r="I802" s="11">
        <v>2786.69</v>
      </c>
      <c r="J802" s="11">
        <v>2741.32</v>
      </c>
      <c r="K802" s="11">
        <v>2579.3380000000002</v>
      </c>
      <c r="L802" s="11">
        <v>2381.2469999999998</v>
      </c>
      <c r="M802" s="11">
        <v>2277.009</v>
      </c>
      <c r="N802" s="11">
        <v>2182.2959999999998</v>
      </c>
      <c r="O802" s="11">
        <v>1994.2919999999999</v>
      </c>
      <c r="P802" s="11">
        <v>1866.5319999999999</v>
      </c>
      <c r="Q802" s="11">
        <v>1706.2909999999999</v>
      </c>
      <c r="R802" s="11">
        <v>1486.9590000000001</v>
      </c>
      <c r="S802" s="11">
        <v>1276.751</v>
      </c>
      <c r="T802" s="11">
        <v>1169.499</v>
      </c>
      <c r="U802" s="11">
        <v>1004.58</v>
      </c>
      <c r="V802" s="11">
        <v>860.61</v>
      </c>
      <c r="W802" s="11">
        <v>701.22</v>
      </c>
      <c r="X802" s="11">
        <v>556.76</v>
      </c>
      <c r="Y802" s="11">
        <v>435.84100000000001</v>
      </c>
      <c r="Z802" s="11">
        <v>297.85599999999999</v>
      </c>
      <c r="AA802" s="11">
        <v>134.00200000000001</v>
      </c>
      <c r="AB802" s="11">
        <v>23.402999999999999</v>
      </c>
      <c r="AC802" s="11">
        <v>22.651</v>
      </c>
      <c r="AD802" s="11">
        <v>21.9</v>
      </c>
      <c r="AE802" s="11">
        <v>21.148</v>
      </c>
      <c r="AF802" s="11">
        <v>21.994</v>
      </c>
      <c r="AG802" s="11">
        <v>21.056000000000001</v>
      </c>
      <c r="AH802" s="11"/>
      <c r="AI802" s="11"/>
      <c r="AJ802" s="11"/>
      <c r="AK802" s="11"/>
      <c r="AL802" s="11"/>
      <c r="AM802" s="11"/>
      <c r="AN802" s="11"/>
      <c r="AO802" s="11">
        <v>0</v>
      </c>
      <c r="AP802" s="11">
        <v>0</v>
      </c>
      <c r="AQ802" s="11">
        <v>2579.3380000000002</v>
      </c>
      <c r="AR802" s="11">
        <v>1994.2919999999999</v>
      </c>
      <c r="AS802" s="11">
        <v>1276.751</v>
      </c>
      <c r="AT802" s="11">
        <v>701.22</v>
      </c>
      <c r="AU802" s="11">
        <v>134.00200000000001</v>
      </c>
      <c r="AV802" s="11">
        <v>21.148</v>
      </c>
    </row>
    <row r="803" spans="2:48" x14ac:dyDescent="0.2">
      <c r="B803" t="s">
        <v>141</v>
      </c>
      <c r="H803" s="11">
        <v>0</v>
      </c>
      <c r="I803" s="11">
        <v>0</v>
      </c>
      <c r="J803" s="11">
        <v>0</v>
      </c>
      <c r="K803" s="11">
        <v>0</v>
      </c>
      <c r="L803" s="11">
        <v>218.83600000000001</v>
      </c>
      <c r="M803" s="11">
        <v>307.73500000000001</v>
      </c>
      <c r="N803" s="11">
        <v>316.23899999999998</v>
      </c>
      <c r="O803" s="11">
        <v>517.18799999999999</v>
      </c>
      <c r="P803" s="11">
        <v>486.89400000000001</v>
      </c>
      <c r="Q803" s="11">
        <v>514.92600000000004</v>
      </c>
      <c r="R803" s="11">
        <v>534.07600000000002</v>
      </c>
      <c r="S803" s="11">
        <v>629.827</v>
      </c>
      <c r="T803" s="11">
        <v>651.70100000000002</v>
      </c>
      <c r="U803" s="11">
        <v>689.97</v>
      </c>
      <c r="V803" s="11">
        <v>747.17100000000005</v>
      </c>
      <c r="W803" s="11">
        <v>938.53700000000003</v>
      </c>
      <c r="X803" s="11">
        <v>831.82600000000002</v>
      </c>
      <c r="Y803" s="11">
        <v>882.3</v>
      </c>
      <c r="Z803" s="11">
        <v>1235.4349999999999</v>
      </c>
      <c r="AA803" s="11">
        <v>1416.0809999999999</v>
      </c>
      <c r="AB803" s="11">
        <v>1640.3610000000001</v>
      </c>
      <c r="AC803" s="11">
        <v>2121.9639999999999</v>
      </c>
      <c r="AD803" s="11">
        <v>3662.7559999999999</v>
      </c>
      <c r="AE803" s="11">
        <v>4104.8890000000001</v>
      </c>
      <c r="AF803" s="11">
        <v>3953.9360000000001</v>
      </c>
      <c r="AG803" s="11">
        <v>4237.67</v>
      </c>
      <c r="AH803" s="11"/>
      <c r="AI803" s="11"/>
      <c r="AJ803" s="11"/>
      <c r="AK803" s="11"/>
      <c r="AL803" s="11"/>
      <c r="AM803" s="11"/>
      <c r="AN803" s="11"/>
      <c r="AO803" s="11">
        <v>0</v>
      </c>
      <c r="AP803" s="11">
        <v>0</v>
      </c>
      <c r="AQ803" s="11">
        <v>0</v>
      </c>
      <c r="AR803" s="11">
        <v>517.18799999999999</v>
      </c>
      <c r="AS803" s="11">
        <v>629.827</v>
      </c>
      <c r="AT803" s="11">
        <v>938.53700000000003</v>
      </c>
      <c r="AU803" s="11">
        <v>1416.0809999999999</v>
      </c>
      <c r="AV803" s="11">
        <v>4104.8890000000001</v>
      </c>
    </row>
    <row r="804" spans="2:48" x14ac:dyDescent="0.2">
      <c r="B804" t="s">
        <v>156</v>
      </c>
      <c r="H804" s="11">
        <v>164.19900000000001</v>
      </c>
      <c r="I804" s="11">
        <v>0</v>
      </c>
      <c r="J804" s="11">
        <v>0</v>
      </c>
      <c r="K804" s="11">
        <v>0</v>
      </c>
      <c r="L804" s="11">
        <v>0</v>
      </c>
      <c r="M804" s="11">
        <v>0</v>
      </c>
      <c r="N804" s="11">
        <v>0</v>
      </c>
      <c r="O804" s="11">
        <v>0</v>
      </c>
      <c r="P804" s="11">
        <v>0</v>
      </c>
      <c r="Q804" s="11">
        <v>0</v>
      </c>
      <c r="R804" s="11">
        <v>0</v>
      </c>
      <c r="S804" s="11">
        <v>0</v>
      </c>
      <c r="T804" s="11">
        <v>0</v>
      </c>
      <c r="U804" s="11">
        <v>0</v>
      </c>
      <c r="V804" s="11">
        <v>0</v>
      </c>
      <c r="W804" s="11">
        <v>0</v>
      </c>
      <c r="X804" s="11">
        <v>0</v>
      </c>
      <c r="Y804" s="11">
        <v>0</v>
      </c>
      <c r="Z804" s="11">
        <v>0</v>
      </c>
      <c r="AA804" s="11">
        <v>0</v>
      </c>
      <c r="AB804" s="11">
        <v>0</v>
      </c>
      <c r="AC804" s="11">
        <v>0</v>
      </c>
      <c r="AD804" s="11">
        <v>0</v>
      </c>
      <c r="AE804" s="11">
        <v>0</v>
      </c>
      <c r="AF804" s="11">
        <v>0</v>
      </c>
      <c r="AG804" s="11">
        <v>0</v>
      </c>
      <c r="AH804" s="11"/>
      <c r="AI804" s="11"/>
      <c r="AJ804" s="11"/>
      <c r="AK804" s="11"/>
      <c r="AL804" s="11"/>
      <c r="AM804" s="11"/>
      <c r="AN804" s="11"/>
      <c r="AO804" s="11">
        <v>0</v>
      </c>
      <c r="AP804" s="11">
        <v>162.363</v>
      </c>
      <c r="AQ804" s="11">
        <v>0</v>
      </c>
      <c r="AR804" s="11">
        <v>0</v>
      </c>
      <c r="AS804" s="11">
        <v>0</v>
      </c>
      <c r="AT804" s="11">
        <v>0</v>
      </c>
      <c r="AU804" s="11">
        <v>0</v>
      </c>
      <c r="AV804" s="11">
        <v>0</v>
      </c>
    </row>
    <row r="805" spans="2:48" x14ac:dyDescent="0.2">
      <c r="B805" t="s">
        <v>190</v>
      </c>
      <c r="H805" s="11">
        <v>0</v>
      </c>
      <c r="I805" s="11">
        <v>0</v>
      </c>
      <c r="J805" s="11">
        <v>0</v>
      </c>
      <c r="K805" s="11">
        <v>0</v>
      </c>
      <c r="L805" s="11">
        <v>0</v>
      </c>
      <c r="M805" s="11">
        <v>0</v>
      </c>
      <c r="N805" s="11">
        <v>0</v>
      </c>
      <c r="O805" s="11">
        <v>0</v>
      </c>
      <c r="P805" s="11">
        <v>0</v>
      </c>
      <c r="Q805" s="11">
        <v>0</v>
      </c>
      <c r="R805" s="11">
        <v>0</v>
      </c>
      <c r="S805" s="11">
        <v>0</v>
      </c>
      <c r="T805" s="11">
        <v>0</v>
      </c>
      <c r="U805" s="11">
        <v>0</v>
      </c>
      <c r="V805" s="11">
        <v>14.224</v>
      </c>
      <c r="W805" s="11">
        <v>31.504000000000001</v>
      </c>
      <c r="X805" s="11">
        <v>23.143000000000001</v>
      </c>
      <c r="Y805" s="11">
        <v>24.148</v>
      </c>
      <c r="Z805" s="11">
        <v>27.707000000000001</v>
      </c>
      <c r="AA805" s="11">
        <v>1045.03</v>
      </c>
      <c r="AB805" s="11">
        <v>1298.6020000000001</v>
      </c>
      <c r="AC805" s="11">
        <v>1544.634</v>
      </c>
      <c r="AD805" s="11">
        <v>1631.825</v>
      </c>
      <c r="AE805" s="11">
        <v>270.738</v>
      </c>
      <c r="AF805" s="11">
        <v>44.116</v>
      </c>
      <c r="AG805" s="11">
        <v>76.625</v>
      </c>
      <c r="AH805" s="11"/>
      <c r="AI805" s="11"/>
      <c r="AJ805" s="11"/>
      <c r="AK805" s="11"/>
      <c r="AL805" s="11"/>
      <c r="AM805" s="11"/>
      <c r="AN805" s="11"/>
      <c r="AO805" s="11">
        <v>0</v>
      </c>
      <c r="AP805" s="11">
        <v>0</v>
      </c>
      <c r="AQ805" s="11">
        <v>0</v>
      </c>
      <c r="AR805" s="11">
        <v>0</v>
      </c>
      <c r="AS805" s="11">
        <v>0</v>
      </c>
      <c r="AT805" s="11">
        <v>31.504000000000001</v>
      </c>
      <c r="AU805" s="11">
        <v>1045.03</v>
      </c>
      <c r="AV805" s="11">
        <v>270.738</v>
      </c>
    </row>
    <row r="806" spans="2:48" ht="13.5" x14ac:dyDescent="0.35">
      <c r="B806" t="s">
        <v>143</v>
      </c>
      <c r="H806" s="13">
        <v>0</v>
      </c>
      <c r="I806" s="13">
        <v>0</v>
      </c>
      <c r="J806" s="13">
        <v>0</v>
      </c>
      <c r="K806" s="13">
        <v>182.667</v>
      </c>
      <c r="L806" s="13">
        <v>340.81900000000002</v>
      </c>
      <c r="M806" s="13">
        <v>436.93799999999999</v>
      </c>
      <c r="N806" s="13">
        <v>449.99</v>
      </c>
      <c r="O806" s="13">
        <v>503.12</v>
      </c>
      <c r="P806" s="13">
        <v>691.99400000000003</v>
      </c>
      <c r="Q806" s="13">
        <v>3049.9580000000001</v>
      </c>
      <c r="R806" s="13">
        <v>7172.8130000000001</v>
      </c>
      <c r="S806" s="13">
        <v>7275.3050000000003</v>
      </c>
      <c r="T806" s="13">
        <v>11733.999</v>
      </c>
      <c r="U806" s="13">
        <v>7224.1530000000002</v>
      </c>
      <c r="V806" s="13">
        <v>5593.4709999999995</v>
      </c>
      <c r="W806" s="13">
        <v>16425.966</v>
      </c>
      <c r="X806" s="13">
        <v>19395.185000000001</v>
      </c>
      <c r="Y806" s="13">
        <v>13759.949000000001</v>
      </c>
      <c r="Z806" s="13">
        <v>12828.68</v>
      </c>
      <c r="AA806" s="13">
        <v>16862.116999999998</v>
      </c>
      <c r="AB806" s="13">
        <v>20344.866000000002</v>
      </c>
      <c r="AC806" s="13">
        <v>28325.561000000002</v>
      </c>
      <c r="AD806" s="13">
        <v>36293.654999999999</v>
      </c>
      <c r="AE806" s="13">
        <v>47951.275999999998</v>
      </c>
      <c r="AF806" s="13">
        <v>56455.11</v>
      </c>
      <c r="AG806" s="13">
        <v>67819.244999999995</v>
      </c>
      <c r="AH806" s="11"/>
      <c r="AI806" s="11"/>
      <c r="AJ806" s="11"/>
      <c r="AK806" s="11"/>
      <c r="AL806" s="11"/>
      <c r="AM806" s="11"/>
      <c r="AN806" s="11"/>
      <c r="AO806" s="13">
        <v>0</v>
      </c>
      <c r="AP806" s="13">
        <v>0</v>
      </c>
      <c r="AQ806" s="13">
        <v>182.667</v>
      </c>
      <c r="AR806" s="13">
        <v>503.12</v>
      </c>
      <c r="AS806" s="13">
        <v>7275.3050000000003</v>
      </c>
      <c r="AT806" s="13">
        <v>16425.966</v>
      </c>
      <c r="AU806" s="13">
        <v>16862.116999999998</v>
      </c>
      <c r="AV806" s="13">
        <v>47951.275999999998</v>
      </c>
    </row>
    <row r="807" spans="2:48" s="1" customFormat="1" x14ac:dyDescent="0.2">
      <c r="B807" s="38" t="s">
        <v>206</v>
      </c>
      <c r="H807" s="42">
        <f>SUM(H800:H806)</f>
        <v>2963.45</v>
      </c>
      <c r="I807" s="42">
        <f t="shared" ref="I807:AE807" si="2798">SUM(I800:I806)</f>
        <v>2801.5660000000003</v>
      </c>
      <c r="J807" s="42">
        <f t="shared" si="2798"/>
        <v>2760.4300000000003</v>
      </c>
      <c r="K807" s="42">
        <f t="shared" si="2798"/>
        <v>2791.08</v>
      </c>
      <c r="L807" s="42">
        <f t="shared" si="2798"/>
        <v>2976.9909999999995</v>
      </c>
      <c r="M807" s="42">
        <f t="shared" si="2798"/>
        <v>3055.0910000000003</v>
      </c>
      <c r="N807" s="42">
        <f t="shared" si="2798"/>
        <v>2986.6779999999999</v>
      </c>
      <c r="O807" s="42">
        <f t="shared" si="2798"/>
        <v>3055.8729999999996</v>
      </c>
      <c r="P807" s="42">
        <f t="shared" si="2798"/>
        <v>3086.7730000000001</v>
      </c>
      <c r="Q807" s="42">
        <f t="shared" si="2798"/>
        <v>5318.7000000000007</v>
      </c>
      <c r="R807" s="42">
        <f t="shared" si="2798"/>
        <v>9240.357</v>
      </c>
      <c r="S807" s="42">
        <f t="shared" si="2798"/>
        <v>9384.7360000000008</v>
      </c>
      <c r="T807" s="42">
        <f t="shared" si="2798"/>
        <v>13783.116</v>
      </c>
      <c r="U807" s="42">
        <f t="shared" si="2798"/>
        <v>9165.8170000000009</v>
      </c>
      <c r="V807" s="42">
        <f t="shared" si="2798"/>
        <v>9435.473</v>
      </c>
      <c r="W807" s="42">
        <f t="shared" si="2798"/>
        <v>20300.55</v>
      </c>
      <c r="X807" s="42">
        <f t="shared" si="2798"/>
        <v>22553.660000000003</v>
      </c>
      <c r="Y807" s="42">
        <f t="shared" si="2798"/>
        <v>16553.103999999999</v>
      </c>
      <c r="Z807" s="42">
        <f t="shared" si="2798"/>
        <v>15537.688</v>
      </c>
      <c r="AA807" s="42">
        <f t="shared" si="2798"/>
        <v>20502.076999999997</v>
      </c>
      <c r="AB807" s="42">
        <f t="shared" si="2798"/>
        <v>24255.327000000001</v>
      </c>
      <c r="AC807" s="42">
        <f t="shared" si="2798"/>
        <v>33079.184000000001</v>
      </c>
      <c r="AD807" s="42">
        <f t="shared" si="2798"/>
        <v>42675.315999999999</v>
      </c>
      <c r="AE807" s="42">
        <f t="shared" si="2798"/>
        <v>53327.648000000001</v>
      </c>
      <c r="AF807" s="42">
        <f t="shared" ref="AF807:AG807" si="2799">SUM(AF800:AF806)</f>
        <v>61356.164000000004</v>
      </c>
      <c r="AG807" s="42">
        <f t="shared" si="2799"/>
        <v>73018.09</v>
      </c>
      <c r="AO807" s="42">
        <f t="shared" ref="AO807" si="2800">SUM(AO800:AO806)</f>
        <v>17.248000000000001</v>
      </c>
      <c r="AP807" s="42">
        <f t="shared" ref="AP807" si="2801">SUM(AP800:AP806)</f>
        <v>176.642</v>
      </c>
      <c r="AQ807" s="42">
        <f t="shared" ref="AQ807" si="2802">SUM(AQ800:AQ806)</f>
        <v>2791.08</v>
      </c>
      <c r="AR807" s="42">
        <f t="shared" ref="AR807" si="2803">SUM(AR800:AR806)</f>
        <v>3055.8729999999996</v>
      </c>
      <c r="AS807" s="42">
        <f t="shared" ref="AS807" si="2804">SUM(AS800:AS806)</f>
        <v>9384.7360000000008</v>
      </c>
      <c r="AT807" s="42">
        <f t="shared" ref="AT807" si="2805">SUM(AT800:AT806)</f>
        <v>20300.55</v>
      </c>
      <c r="AU807" s="42">
        <f t="shared" ref="AU807:AV807" si="2806">SUM(AU800:AU806)</f>
        <v>20502.076999999997</v>
      </c>
      <c r="AV807" s="42">
        <f t="shared" si="2806"/>
        <v>53327.648000000001</v>
      </c>
    </row>
    <row r="808" spans="2:48" x14ac:dyDescent="0.2">
      <c r="B808" s="4"/>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O808" s="10"/>
      <c r="AP808" s="10"/>
      <c r="AQ808" s="10"/>
      <c r="AR808" s="10"/>
      <c r="AS808" s="10"/>
      <c r="AT808" s="10"/>
      <c r="AU808" s="10"/>
      <c r="AV808" s="10"/>
    </row>
    <row r="809" spans="2:48" s="1" customFormat="1" x14ac:dyDescent="0.2">
      <c r="B809" s="1" t="s">
        <v>207</v>
      </c>
      <c r="H809" s="42">
        <f>+H797+H807</f>
        <v>21346.009000000002</v>
      </c>
      <c r="I809" s="42">
        <f t="shared" ref="I809:AE809" si="2807">+I797+I807</f>
        <v>23273.504000000001</v>
      </c>
      <c r="J809" s="42">
        <f t="shared" si="2807"/>
        <v>37003.856999999996</v>
      </c>
      <c r="K809" s="42">
        <f t="shared" si="2807"/>
        <v>43182.063000000002</v>
      </c>
      <c r="L809" s="42">
        <f t="shared" si="2807"/>
        <v>49783.765000000007</v>
      </c>
      <c r="M809" s="42">
        <f t="shared" si="2807"/>
        <v>54360.850000000006</v>
      </c>
      <c r="N809" s="42">
        <f t="shared" si="2807"/>
        <v>64576.061999999991</v>
      </c>
      <c r="O809" s="42">
        <f t="shared" si="2807"/>
        <v>76057.335999999981</v>
      </c>
      <c r="P809" s="42">
        <f t="shared" si="2807"/>
        <v>76176.887000000002</v>
      </c>
      <c r="Q809" s="42">
        <f t="shared" si="2807"/>
        <v>90900.665999999997</v>
      </c>
      <c r="R809" s="42">
        <f t="shared" si="2807"/>
        <v>99410.926000000007</v>
      </c>
      <c r="S809" s="42">
        <f t="shared" si="2807"/>
        <v>158908.614</v>
      </c>
      <c r="T809" s="42">
        <f t="shared" si="2807"/>
        <v>153419.85200000001</v>
      </c>
      <c r="U809" s="42">
        <f t="shared" si="2807"/>
        <v>156739.75599999999</v>
      </c>
      <c r="V809" s="42">
        <f t="shared" si="2807"/>
        <v>166528.75899999999</v>
      </c>
      <c r="W809" s="42">
        <f t="shared" si="2807"/>
        <v>181209.71799999999</v>
      </c>
      <c r="X809" s="42">
        <f t="shared" si="2807"/>
        <v>168718.62100000001</v>
      </c>
      <c r="Y809" s="42">
        <f t="shared" si="2807"/>
        <v>191999.40499999997</v>
      </c>
      <c r="Z809" s="42">
        <f t="shared" si="2807"/>
        <v>209107.984</v>
      </c>
      <c r="AA809" s="42">
        <f t="shared" si="2807"/>
        <v>237119.95299999998</v>
      </c>
      <c r="AB809" s="42">
        <f t="shared" si="2807"/>
        <v>240066.25</v>
      </c>
      <c r="AC809" s="42">
        <f t="shared" si="2807"/>
        <v>274285.35700000002</v>
      </c>
      <c r="AD809" s="42">
        <f t="shared" si="2807"/>
        <v>314251.13199999998</v>
      </c>
      <c r="AE809" s="42">
        <f t="shared" si="2807"/>
        <v>348078.12</v>
      </c>
      <c r="AF809" s="42">
        <f t="shared" ref="AF809:AG809" si="2808">+AF797+AF807</f>
        <v>377826.12699999992</v>
      </c>
      <c r="AG809" s="42">
        <f t="shared" si="2808"/>
        <v>432744.34199999995</v>
      </c>
      <c r="AO809" s="42">
        <f t="shared" ref="AO809:AU809" si="2809">+AO797+AO807</f>
        <v>1770.751</v>
      </c>
      <c r="AP809" s="42">
        <f t="shared" si="2809"/>
        <v>13314.470000000001</v>
      </c>
      <c r="AQ809" s="42">
        <f t="shared" si="2809"/>
        <v>43182.063000000002</v>
      </c>
      <c r="AR809" s="42">
        <f t="shared" si="2809"/>
        <v>76057.335999999981</v>
      </c>
      <c r="AS809" s="42">
        <f t="shared" si="2809"/>
        <v>158908.614</v>
      </c>
      <c r="AT809" s="42">
        <f t="shared" si="2809"/>
        <v>181209.71799999999</v>
      </c>
      <c r="AU809" s="42">
        <f t="shared" si="2809"/>
        <v>237119.95299999998</v>
      </c>
      <c r="AV809" s="42">
        <f t="shared" ref="AV809" si="2810">+AV797+AV807</f>
        <v>348078.12</v>
      </c>
    </row>
    <row r="810" spans="2:48" s="1" customFormat="1" x14ac:dyDescent="0.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F810" s="42"/>
      <c r="AG810" s="42"/>
      <c r="AO810" s="42"/>
      <c r="AP810" s="42"/>
      <c r="AQ810" s="42"/>
      <c r="AR810" s="42"/>
      <c r="AS810" s="42"/>
      <c r="AT810" s="42"/>
      <c r="AU810" s="42"/>
    </row>
    <row r="811" spans="2:48" x14ac:dyDescent="0.2">
      <c r="B811" s="24" t="s">
        <v>209</v>
      </c>
      <c r="L811" s="221"/>
      <c r="M811" s="221"/>
      <c r="N811" s="221"/>
      <c r="O811" s="221"/>
      <c r="P811" s="221"/>
      <c r="Q811" s="221"/>
      <c r="R811" s="221"/>
      <c r="S811" s="221"/>
      <c r="T811" s="221"/>
      <c r="U811" s="221"/>
      <c r="V811" s="221"/>
      <c r="W811" s="221"/>
      <c r="X811" s="221"/>
      <c r="Y811" s="221"/>
      <c r="Z811" s="221"/>
      <c r="AA811" s="221"/>
      <c r="AB811" s="221"/>
      <c r="AC811" s="221"/>
      <c r="AD811" s="221"/>
      <c r="AE811" s="221"/>
      <c r="AF811" s="221"/>
      <c r="AG811" s="221"/>
      <c r="AP811" s="221"/>
      <c r="AQ811" s="221"/>
      <c r="AR811" s="221"/>
      <c r="AS811" s="221"/>
      <c r="AT811" s="221"/>
      <c r="AU811" s="221"/>
      <c r="AV811" s="221"/>
    </row>
    <row r="812" spans="2:48" x14ac:dyDescent="0.2">
      <c r="B812" s="1" t="s">
        <v>191</v>
      </c>
      <c r="L812" s="206"/>
      <c r="M812" s="206"/>
      <c r="N812" s="206"/>
      <c r="O812" s="206"/>
      <c r="P812" s="206"/>
      <c r="Q812" s="206"/>
      <c r="R812" s="206"/>
      <c r="S812" s="206"/>
      <c r="T812" s="206"/>
      <c r="U812" s="206"/>
      <c r="V812" s="206"/>
      <c r="W812" s="206"/>
      <c r="X812" s="206"/>
      <c r="Y812" s="206"/>
      <c r="Z812" s="206"/>
      <c r="AA812" s="206"/>
      <c r="AB812" s="206"/>
      <c r="AC812" s="206"/>
      <c r="AD812" s="206"/>
      <c r="AE812" s="206"/>
      <c r="AF812" s="206"/>
      <c r="AG812" s="11"/>
      <c r="AP812" s="33"/>
      <c r="AQ812" s="33"/>
      <c r="AR812" s="33"/>
      <c r="AS812" s="33"/>
      <c r="AT812" s="33"/>
      <c r="AU812" s="33"/>
      <c r="AV812" s="33"/>
    </row>
    <row r="813" spans="2:48" x14ac:dyDescent="0.2">
      <c r="B813" t="s">
        <v>137</v>
      </c>
      <c r="H813" s="11">
        <v>85.656999999999996</v>
      </c>
      <c r="I813" s="11">
        <v>105.01300000000001</v>
      </c>
      <c r="J813" s="11">
        <v>165.04400000000001</v>
      </c>
      <c r="K813" s="11">
        <v>191.482</v>
      </c>
      <c r="L813" s="11">
        <v>243.048</v>
      </c>
      <c r="M813" s="11">
        <v>267.322</v>
      </c>
      <c r="N813" s="11">
        <v>379.00099999999998</v>
      </c>
      <c r="O813" s="11">
        <v>605.97</v>
      </c>
      <c r="P813" s="11">
        <v>619.76900000000001</v>
      </c>
      <c r="Q813" s="11">
        <v>750.548</v>
      </c>
      <c r="R813" s="11">
        <v>1042.0930000000001</v>
      </c>
      <c r="S813" s="11">
        <v>2423.19</v>
      </c>
      <c r="T813" s="11">
        <v>1786.2460000000001</v>
      </c>
      <c r="U813" s="11">
        <v>973.98900000000003</v>
      </c>
      <c r="V813" s="11">
        <v>1144.0730000000001</v>
      </c>
      <c r="W813" s="11">
        <v>1166.7639999999999</v>
      </c>
      <c r="X813" s="11">
        <v>1060.6559999999999</v>
      </c>
      <c r="Y813" s="11">
        <v>1242.7159999999999</v>
      </c>
      <c r="Z813" s="11">
        <v>1391.56</v>
      </c>
      <c r="AA813" s="11">
        <v>1389.655</v>
      </c>
      <c r="AB813" s="11">
        <v>1543.135</v>
      </c>
      <c r="AC813" s="11">
        <v>1639.29</v>
      </c>
      <c r="AD813" s="11">
        <v>2043.857</v>
      </c>
      <c r="AE813" s="11">
        <v>2144.61</v>
      </c>
      <c r="AF813" s="11">
        <v>1369.8910000000001</v>
      </c>
      <c r="AG813" s="11">
        <v>2413.5770000000002</v>
      </c>
      <c r="AO813" s="11">
        <v>2.1539999999999999</v>
      </c>
      <c r="AP813" s="11">
        <v>56.453000000000003</v>
      </c>
      <c r="AQ813" s="11">
        <v>191.482</v>
      </c>
      <c r="AR813" s="11">
        <v>605.97</v>
      </c>
      <c r="AS813" s="11">
        <v>2423.19</v>
      </c>
      <c r="AT813" s="11">
        <v>1166.7639999999999</v>
      </c>
      <c r="AU813" s="11">
        <v>1389.655</v>
      </c>
      <c r="AV813" s="11">
        <v>2144.61</v>
      </c>
    </row>
    <row r="814" spans="2:48" x14ac:dyDescent="0.2">
      <c r="B814" t="s">
        <v>136</v>
      </c>
      <c r="H814" s="11">
        <v>142.00299999999999</v>
      </c>
      <c r="I814" s="11">
        <v>294.20100000000002</v>
      </c>
      <c r="J814" s="11">
        <v>571.81600000000003</v>
      </c>
      <c r="K814" s="11">
        <v>478.113</v>
      </c>
      <c r="L814" s="11">
        <v>921.41800000000001</v>
      </c>
      <c r="M814" s="11">
        <v>1412.5170000000001</v>
      </c>
      <c r="N814" s="11">
        <v>2085.6039999999998</v>
      </c>
      <c r="O814" s="11">
        <v>1502.8920000000001</v>
      </c>
      <c r="P814" s="11">
        <v>2635.8490000000002</v>
      </c>
      <c r="Q814" s="11">
        <v>1928.3530000000001</v>
      </c>
      <c r="R814" s="11">
        <v>3298.7669999999998</v>
      </c>
      <c r="S814" s="11">
        <v>3385.8629999999998</v>
      </c>
      <c r="T814" s="11">
        <v>4885.2669999999998</v>
      </c>
      <c r="U814" s="11">
        <v>6355.9250000000002</v>
      </c>
      <c r="V814" s="11">
        <v>7240.4279999999999</v>
      </c>
      <c r="W814" s="11">
        <v>1963.0070000000001</v>
      </c>
      <c r="X814" s="11">
        <v>2039.7270000000001</v>
      </c>
      <c r="Y814" s="11">
        <v>2494.855</v>
      </c>
      <c r="Z814" s="11">
        <v>2600.5630000000001</v>
      </c>
      <c r="AA814" s="11">
        <v>1676.3910000000001</v>
      </c>
      <c r="AB814" s="11">
        <v>1960.0129999999999</v>
      </c>
      <c r="AC814" s="11">
        <v>1832.0250000000001</v>
      </c>
      <c r="AD814" s="11">
        <v>2028.787</v>
      </c>
      <c r="AE814" s="11">
        <v>1238.7760000000001</v>
      </c>
      <c r="AF814" s="11">
        <v>2281.087</v>
      </c>
      <c r="AG814" s="11">
        <v>1152.0070000000001</v>
      </c>
      <c r="AO814" s="11">
        <v>24.975999999999999</v>
      </c>
      <c r="AP814" s="11">
        <v>76.057000000000002</v>
      </c>
      <c r="AQ814" s="11">
        <v>478.113</v>
      </c>
      <c r="AR814" s="11">
        <v>1502.8920000000001</v>
      </c>
      <c r="AS814" s="11">
        <v>3385.8629999999998</v>
      </c>
      <c r="AT814" s="11">
        <v>1963.0070000000001</v>
      </c>
      <c r="AU814" s="11">
        <v>1676.3910000000001</v>
      </c>
      <c r="AV814" s="11">
        <v>1238.7760000000001</v>
      </c>
    </row>
    <row r="815" spans="2:48" x14ac:dyDescent="0.2">
      <c r="B815" t="s">
        <v>192</v>
      </c>
      <c r="H815" s="11">
        <v>8594.24</v>
      </c>
      <c r="I815" s="11">
        <v>9318.2199999999993</v>
      </c>
      <c r="J815" s="11">
        <v>10793.733</v>
      </c>
      <c r="K815" s="11">
        <v>17275.934000000001</v>
      </c>
      <c r="L815" s="11">
        <v>15657.163</v>
      </c>
      <c r="M815" s="11">
        <v>17830.719000000001</v>
      </c>
      <c r="N815" s="11">
        <v>19819.655999999999</v>
      </c>
      <c r="O815" s="11">
        <v>29926.488000000001</v>
      </c>
      <c r="P815" s="11">
        <v>28713.942999999999</v>
      </c>
      <c r="Q815" s="11">
        <v>33978.502999999997</v>
      </c>
      <c r="R815" s="11">
        <v>40299.834999999999</v>
      </c>
      <c r="S815" s="11">
        <v>53833.981</v>
      </c>
      <c r="T815" s="11">
        <v>49360.985999999997</v>
      </c>
      <c r="U815" s="11">
        <v>50754.254000000001</v>
      </c>
      <c r="V815" s="11">
        <v>53201.245999999999</v>
      </c>
      <c r="W815" s="11">
        <v>62509.714</v>
      </c>
      <c r="X815" s="11">
        <v>47166.442999999999</v>
      </c>
      <c r="Y815" s="11">
        <v>52897.387000000002</v>
      </c>
      <c r="Z815" s="11">
        <v>51562.514000000003</v>
      </c>
      <c r="AA815" s="11">
        <v>63316.695</v>
      </c>
      <c r="AB815" s="11">
        <v>55878.527000000002</v>
      </c>
      <c r="AC815" s="11">
        <v>60115.463000000003</v>
      </c>
      <c r="AD815" s="11">
        <v>68099.716</v>
      </c>
      <c r="AE815" s="11">
        <v>74997.251999999993</v>
      </c>
      <c r="AF815" s="11">
        <v>74493.745999999999</v>
      </c>
      <c r="AG815" s="11">
        <v>78707.763999999996</v>
      </c>
      <c r="AO815" s="11">
        <v>1116.798</v>
      </c>
      <c r="AP815" s="11">
        <v>9838.5190000000002</v>
      </c>
      <c r="AQ815" s="11">
        <v>17275.934000000001</v>
      </c>
      <c r="AR815" s="11">
        <v>29926.488000000001</v>
      </c>
      <c r="AS815" s="11">
        <v>53833.981</v>
      </c>
      <c r="AT815" s="11">
        <v>62509.714</v>
      </c>
      <c r="AU815" s="11">
        <v>63316.695</v>
      </c>
      <c r="AV815" s="11">
        <v>74997.251999999993</v>
      </c>
    </row>
    <row r="816" spans="2:48" x14ac:dyDescent="0.2">
      <c r="B816" t="s">
        <v>139</v>
      </c>
      <c r="H816" s="11">
        <v>516.89599999999996</v>
      </c>
      <c r="I816" s="11">
        <v>971.10299999999995</v>
      </c>
      <c r="J816" s="11">
        <v>1082.7739999999999</v>
      </c>
      <c r="K816" s="11">
        <v>2225.6669999999999</v>
      </c>
      <c r="L816" s="11">
        <v>2779.172</v>
      </c>
      <c r="M816" s="11">
        <v>3573.9059999999999</v>
      </c>
      <c r="N816" s="11">
        <v>4197.7510000000002</v>
      </c>
      <c r="O816" s="11">
        <v>4877.0619999999999</v>
      </c>
      <c r="P816" s="11">
        <v>5791.2269999999999</v>
      </c>
      <c r="Q816" s="11">
        <v>5906.4120000000003</v>
      </c>
      <c r="R816" s="11">
        <v>6904.9530000000004</v>
      </c>
      <c r="S816" s="11">
        <v>11193.371999999999</v>
      </c>
      <c r="T816" s="11">
        <v>10609.374</v>
      </c>
      <c r="U816" s="11">
        <v>9050.4930000000004</v>
      </c>
      <c r="V816" s="11">
        <v>11406.089</v>
      </c>
      <c r="W816" s="11">
        <v>14085.513000000001</v>
      </c>
      <c r="X816" s="11">
        <v>12882.178</v>
      </c>
      <c r="Y816" s="11">
        <v>13828.902</v>
      </c>
      <c r="Z816" s="11">
        <v>14242.036</v>
      </c>
      <c r="AA816" s="11">
        <v>20960.723000000002</v>
      </c>
      <c r="AB816" s="11">
        <v>21515.815999999999</v>
      </c>
      <c r="AC816" s="11">
        <v>30889.82</v>
      </c>
      <c r="AD816" s="11">
        <v>43936.446000000004</v>
      </c>
      <c r="AE816" s="11">
        <v>55351.398999999998</v>
      </c>
      <c r="AF816" s="11">
        <v>54203.750999999997</v>
      </c>
      <c r="AG816" s="11">
        <v>68735.001000000004</v>
      </c>
      <c r="AO816" s="11">
        <v>41.832000000000001</v>
      </c>
      <c r="AP816" s="11">
        <v>360.39299999999997</v>
      </c>
      <c r="AQ816" s="11">
        <v>2225.6669999999999</v>
      </c>
      <c r="AR816" s="11">
        <v>4877.0619999999999</v>
      </c>
      <c r="AS816" s="11">
        <v>11193.371999999999</v>
      </c>
      <c r="AT816" s="11">
        <v>14085.513000000001</v>
      </c>
      <c r="AU816" s="11">
        <v>20960.723000000002</v>
      </c>
      <c r="AV816" s="11">
        <v>55351.398999999998</v>
      </c>
    </row>
    <row r="817" spans="2:48" x14ac:dyDescent="0.2">
      <c r="B817" t="s">
        <v>140</v>
      </c>
      <c r="H817" s="11">
        <v>2414.6480000000001</v>
      </c>
      <c r="I817" s="11">
        <v>3194.6089999999999</v>
      </c>
      <c r="J817" s="11">
        <v>3629.8870000000002</v>
      </c>
      <c r="K817" s="11">
        <v>4188.2730000000001</v>
      </c>
      <c r="L817" s="11">
        <v>4908.5780000000004</v>
      </c>
      <c r="M817" s="11">
        <v>5833.8779999999997</v>
      </c>
      <c r="N817" s="11">
        <v>6654.13</v>
      </c>
      <c r="O817" s="11">
        <v>7840.9120000000003</v>
      </c>
      <c r="P817" s="11">
        <v>8639.1720000000005</v>
      </c>
      <c r="Q817" s="11">
        <v>9923.18</v>
      </c>
      <c r="R817" s="11">
        <v>10574.558999999999</v>
      </c>
      <c r="S817" s="11">
        <v>10926.319</v>
      </c>
      <c r="T817" s="11">
        <v>11589.459000000001</v>
      </c>
      <c r="U817" s="11">
        <v>12636.683000000001</v>
      </c>
      <c r="V817" s="11">
        <v>12966.33</v>
      </c>
      <c r="W817" s="11">
        <v>13577.552</v>
      </c>
      <c r="X817" s="11">
        <v>13955.037</v>
      </c>
      <c r="Y817" s="11">
        <v>14772.915000000001</v>
      </c>
      <c r="Z817" s="11">
        <v>15122.695</v>
      </c>
      <c r="AA817" s="11">
        <v>15058.228999999999</v>
      </c>
      <c r="AB817" s="11">
        <v>15683.47</v>
      </c>
      <c r="AC817" s="11">
        <v>16131.012000000001</v>
      </c>
      <c r="AD817" s="11">
        <v>16282.948</v>
      </c>
      <c r="AE817" s="11">
        <v>16878.745999999999</v>
      </c>
      <c r="AF817" s="11">
        <v>17248.091</v>
      </c>
      <c r="AG817" s="11">
        <v>17958.628000000001</v>
      </c>
      <c r="AO817" s="11">
        <v>219.47200000000001</v>
      </c>
      <c r="AP817" s="11">
        <v>1778.085</v>
      </c>
      <c r="AQ817" s="11">
        <v>4188.2730000000001</v>
      </c>
      <c r="AR817" s="11">
        <v>7840.9120000000003</v>
      </c>
      <c r="AS817" s="11">
        <v>10926.319</v>
      </c>
      <c r="AT817" s="11">
        <v>13577.552</v>
      </c>
      <c r="AU817" s="11">
        <v>15058.228999999999</v>
      </c>
      <c r="AV817" s="11">
        <v>16878.745999999999</v>
      </c>
    </row>
    <row r="818" spans="2:48" x14ac:dyDescent="0.2">
      <c r="B818" t="s">
        <v>193</v>
      </c>
      <c r="H818" s="11">
        <v>0</v>
      </c>
      <c r="I818" s="11">
        <v>0</v>
      </c>
      <c r="J818" s="11">
        <v>0</v>
      </c>
      <c r="K818" s="11">
        <v>0</v>
      </c>
      <c r="L818" s="11">
        <v>0</v>
      </c>
      <c r="M818" s="11">
        <v>0</v>
      </c>
      <c r="N818" s="11">
        <v>0</v>
      </c>
      <c r="O818" s="11">
        <v>898.74800000000005</v>
      </c>
      <c r="P818" s="11">
        <v>2114.5410000000002</v>
      </c>
      <c r="Q818" s="11">
        <v>2754.4659999999999</v>
      </c>
      <c r="R818" s="11">
        <v>2773.0230000000001</v>
      </c>
      <c r="S818" s="11">
        <v>1866.316</v>
      </c>
      <c r="T818" s="11">
        <v>634.995</v>
      </c>
      <c r="U818" s="11">
        <v>0</v>
      </c>
      <c r="V818" s="11">
        <v>0</v>
      </c>
      <c r="W818" s="11">
        <v>0</v>
      </c>
      <c r="X818" s="11">
        <v>0</v>
      </c>
      <c r="Y818" s="11">
        <v>0</v>
      </c>
      <c r="Z818" s="11">
        <v>0</v>
      </c>
      <c r="AA818" s="11">
        <v>0</v>
      </c>
      <c r="AB818" s="11">
        <v>0</v>
      </c>
      <c r="AC818" s="11">
        <v>0</v>
      </c>
      <c r="AD818" s="11">
        <v>0</v>
      </c>
      <c r="AE818" s="11">
        <v>0</v>
      </c>
      <c r="AF818" s="11">
        <v>0</v>
      </c>
      <c r="AG818" s="11">
        <v>0</v>
      </c>
      <c r="AO818" s="11">
        <v>0</v>
      </c>
      <c r="AP818" s="11">
        <v>0</v>
      </c>
      <c r="AQ818" s="11">
        <v>0</v>
      </c>
      <c r="AR818" s="11">
        <v>898.74800000000005</v>
      </c>
      <c r="AS818" s="11">
        <v>1866.316</v>
      </c>
      <c r="AT818" s="11">
        <v>0</v>
      </c>
      <c r="AU818" s="11">
        <v>0</v>
      </c>
      <c r="AV818" s="11">
        <v>0</v>
      </c>
    </row>
    <row r="819" spans="2:48" x14ac:dyDescent="0.2">
      <c r="B819" t="s">
        <v>142</v>
      </c>
      <c r="H819" s="11">
        <v>0</v>
      </c>
      <c r="I819" s="11">
        <v>0</v>
      </c>
      <c r="J819" s="11">
        <v>0</v>
      </c>
      <c r="K819" s="11">
        <v>0</v>
      </c>
      <c r="L819" s="11">
        <v>73.037000000000006</v>
      </c>
      <c r="M819" s="11">
        <v>80.025999999999996</v>
      </c>
      <c r="N819" s="11">
        <v>80.882000000000005</v>
      </c>
      <c r="O819" s="11">
        <v>115.73399999999999</v>
      </c>
      <c r="P819" s="11">
        <v>118.28100000000001</v>
      </c>
      <c r="Q819" s="11">
        <v>144.29300000000001</v>
      </c>
      <c r="R819" s="11">
        <v>182.31800000000001</v>
      </c>
      <c r="S819" s="11">
        <v>253.036</v>
      </c>
      <c r="T819" s="11">
        <v>271.94</v>
      </c>
      <c r="U819" s="11">
        <v>302.63900000000001</v>
      </c>
      <c r="V819" s="11">
        <v>338.709</v>
      </c>
      <c r="W819" s="11">
        <v>427.16399999999999</v>
      </c>
      <c r="X819" s="11">
        <v>418.35599999999999</v>
      </c>
      <c r="Y819" s="11">
        <v>477.63900000000001</v>
      </c>
      <c r="Z819" s="11">
        <v>512.83799999999997</v>
      </c>
      <c r="AA819" s="11">
        <v>602.03599999999994</v>
      </c>
      <c r="AB819" s="11">
        <v>729.44600000000003</v>
      </c>
      <c r="AC819" s="11">
        <v>955.39499999999998</v>
      </c>
      <c r="AD819" s="11">
        <v>1381.067</v>
      </c>
      <c r="AE819" s="11">
        <v>1641.548</v>
      </c>
      <c r="AF819" s="11">
        <v>1727.492</v>
      </c>
      <c r="AG819" s="11">
        <v>1865.8779999999999</v>
      </c>
      <c r="AO819" s="11">
        <v>0</v>
      </c>
      <c r="AP819" s="11">
        <v>0</v>
      </c>
      <c r="AQ819" s="11">
        <v>0</v>
      </c>
      <c r="AR819" s="11">
        <v>115.73399999999999</v>
      </c>
      <c r="AS819" s="11">
        <v>253.036</v>
      </c>
      <c r="AT819" s="11">
        <v>427.16399999999999</v>
      </c>
      <c r="AU819" s="11">
        <v>602.03599999999994</v>
      </c>
      <c r="AV819" s="11">
        <v>1641.548</v>
      </c>
    </row>
    <row r="820" spans="2:48" x14ac:dyDescent="0.2">
      <c r="B820" t="s">
        <v>194</v>
      </c>
      <c r="H820" s="11">
        <v>0</v>
      </c>
      <c r="I820" s="11">
        <v>0</v>
      </c>
      <c r="J820" s="11">
        <v>0</v>
      </c>
      <c r="K820" s="11">
        <v>0</v>
      </c>
      <c r="L820" s="11">
        <v>0</v>
      </c>
      <c r="M820" s="11">
        <v>0</v>
      </c>
      <c r="N820" s="11">
        <v>0</v>
      </c>
      <c r="O820" s="11">
        <v>0</v>
      </c>
      <c r="P820" s="11">
        <v>0</v>
      </c>
      <c r="Q820" s="11">
        <v>0</v>
      </c>
      <c r="R820" s="11">
        <v>0</v>
      </c>
      <c r="S820" s="11">
        <v>0</v>
      </c>
      <c r="T820" s="11">
        <v>0</v>
      </c>
      <c r="U820" s="11">
        <v>0</v>
      </c>
      <c r="V820" s="11">
        <v>0</v>
      </c>
      <c r="W820" s="11">
        <v>0</v>
      </c>
      <c r="X820" s="11">
        <v>0</v>
      </c>
      <c r="Y820" s="11">
        <v>0</v>
      </c>
      <c r="Z820" s="11">
        <v>0</v>
      </c>
      <c r="AA820" s="11">
        <v>13885.751</v>
      </c>
      <c r="AB820" s="11">
        <v>13712.209000000001</v>
      </c>
      <c r="AC820" s="11">
        <v>14431.092000000001</v>
      </c>
      <c r="AD820" s="11">
        <v>14351.445</v>
      </c>
      <c r="AE820" s="11">
        <v>648.57000000000005</v>
      </c>
      <c r="AF820" s="11">
        <v>73.950999999999993</v>
      </c>
      <c r="AG820" s="11">
        <v>0.249</v>
      </c>
      <c r="AO820" s="11">
        <v>0</v>
      </c>
      <c r="AP820" s="11">
        <v>0</v>
      </c>
      <c r="AQ820" s="11">
        <v>0</v>
      </c>
      <c r="AR820" s="11">
        <v>0</v>
      </c>
      <c r="AS820" s="11">
        <v>0</v>
      </c>
      <c r="AT820" s="11">
        <v>0</v>
      </c>
      <c r="AU820" s="11">
        <v>13885.751</v>
      </c>
      <c r="AV820" s="11">
        <v>648.57000000000005</v>
      </c>
    </row>
    <row r="821" spans="2:48" x14ac:dyDescent="0.2">
      <c r="B821" t="s">
        <v>195</v>
      </c>
      <c r="H821" s="11">
        <v>0</v>
      </c>
      <c r="I821" s="11">
        <v>0</v>
      </c>
      <c r="J821" s="11">
        <v>0</v>
      </c>
      <c r="K821" s="11">
        <v>0</v>
      </c>
      <c r="L821" s="11">
        <v>0</v>
      </c>
      <c r="M821" s="11">
        <v>0</v>
      </c>
      <c r="N821" s="11">
        <v>0</v>
      </c>
      <c r="O821" s="11">
        <v>0</v>
      </c>
      <c r="P821" s="11">
        <v>0</v>
      </c>
      <c r="Q821" s="11">
        <v>0</v>
      </c>
      <c r="R821" s="11">
        <v>0</v>
      </c>
      <c r="S821" s="11">
        <v>0</v>
      </c>
      <c r="T821" s="11">
        <v>0</v>
      </c>
      <c r="U821" s="11">
        <v>0</v>
      </c>
      <c r="V821" s="11">
        <v>0</v>
      </c>
      <c r="W821" s="11">
        <v>0</v>
      </c>
      <c r="X821" s="11">
        <v>0</v>
      </c>
      <c r="Y821" s="11">
        <v>0</v>
      </c>
      <c r="Z821" s="11">
        <v>0</v>
      </c>
      <c r="AA821" s="11">
        <v>0</v>
      </c>
      <c r="AB821" s="11">
        <v>0</v>
      </c>
      <c r="AC821" s="11">
        <v>0</v>
      </c>
      <c r="AD821" s="11">
        <v>0</v>
      </c>
      <c r="AE821" s="11">
        <v>0</v>
      </c>
      <c r="AF821" s="11">
        <v>0</v>
      </c>
      <c r="AG821" s="11">
        <v>0</v>
      </c>
      <c r="AO821" s="11">
        <v>0</v>
      </c>
      <c r="AP821" s="11">
        <v>0</v>
      </c>
      <c r="AQ821" s="11">
        <v>0</v>
      </c>
      <c r="AR821" s="11">
        <v>0</v>
      </c>
      <c r="AS821" s="11">
        <v>0</v>
      </c>
      <c r="AT821" s="11">
        <v>0</v>
      </c>
      <c r="AU821" s="11">
        <v>0</v>
      </c>
      <c r="AV821" s="11">
        <v>0</v>
      </c>
    </row>
    <row r="822" spans="2:48" ht="13.5" x14ac:dyDescent="0.35">
      <c r="B822" t="s">
        <v>196</v>
      </c>
      <c r="H822" s="13">
        <v>0</v>
      </c>
      <c r="I822" s="13">
        <v>0</v>
      </c>
      <c r="J822" s="13">
        <v>0</v>
      </c>
      <c r="K822" s="13">
        <v>0</v>
      </c>
      <c r="L822" s="13">
        <v>0</v>
      </c>
      <c r="M822" s="13">
        <v>0</v>
      </c>
      <c r="N822" s="13">
        <v>0</v>
      </c>
      <c r="O822" s="13">
        <v>0</v>
      </c>
      <c r="P822" s="13">
        <v>0</v>
      </c>
      <c r="Q822" s="13">
        <v>0</v>
      </c>
      <c r="R822" s="13">
        <v>0</v>
      </c>
      <c r="S822" s="13">
        <v>0</v>
      </c>
      <c r="T822" s="13">
        <v>0</v>
      </c>
      <c r="U822" s="13">
        <v>0</v>
      </c>
      <c r="V822" s="13">
        <v>0</v>
      </c>
      <c r="W822" s="13">
        <v>0</v>
      </c>
      <c r="X822" s="13">
        <v>0</v>
      </c>
      <c r="Y822" s="13">
        <v>0</v>
      </c>
      <c r="Z822" s="13">
        <v>0</v>
      </c>
      <c r="AA822" s="13">
        <v>0</v>
      </c>
      <c r="AB822" s="13">
        <v>0</v>
      </c>
      <c r="AC822" s="13">
        <v>0</v>
      </c>
      <c r="AD822" s="13">
        <v>0</v>
      </c>
      <c r="AE822" s="13">
        <v>0</v>
      </c>
      <c r="AF822" s="13">
        <v>0</v>
      </c>
      <c r="AG822" s="13">
        <v>0</v>
      </c>
      <c r="AO822" s="13">
        <v>9.0640000000000001</v>
      </c>
      <c r="AP822" s="13">
        <v>0</v>
      </c>
      <c r="AQ822" s="13">
        <v>0</v>
      </c>
      <c r="AR822" s="13">
        <v>0</v>
      </c>
      <c r="AS822" s="13">
        <v>0</v>
      </c>
      <c r="AT822" s="13">
        <v>0</v>
      </c>
      <c r="AU822" s="13">
        <v>0</v>
      </c>
      <c r="AV822" s="13">
        <v>0</v>
      </c>
    </row>
    <row r="823" spans="2:48" s="1" customFormat="1" x14ac:dyDescent="0.2">
      <c r="B823" s="38" t="s">
        <v>210</v>
      </c>
      <c r="H823" s="42">
        <f>SUM(H813:H822)</f>
        <v>11753.444</v>
      </c>
      <c r="I823" s="42">
        <f t="shared" ref="I823:AE823" si="2811">SUM(I813:I822)</f>
        <v>13883.145999999999</v>
      </c>
      <c r="J823" s="42">
        <f t="shared" si="2811"/>
        <v>16243.254000000001</v>
      </c>
      <c r="K823" s="42">
        <f t="shared" si="2811"/>
        <v>24359.469000000005</v>
      </c>
      <c r="L823" s="42">
        <f t="shared" si="2811"/>
        <v>24582.416000000001</v>
      </c>
      <c r="M823" s="42">
        <f t="shared" si="2811"/>
        <v>28998.368000000002</v>
      </c>
      <c r="N823" s="42">
        <f t="shared" si="2811"/>
        <v>33217.023999999998</v>
      </c>
      <c r="O823" s="42">
        <f t="shared" si="2811"/>
        <v>45767.806000000004</v>
      </c>
      <c r="P823" s="42">
        <f t="shared" si="2811"/>
        <v>48632.781999999999</v>
      </c>
      <c r="Q823" s="42">
        <f t="shared" si="2811"/>
        <v>55385.75499999999</v>
      </c>
      <c r="R823" s="42">
        <f t="shared" si="2811"/>
        <v>65075.548000000003</v>
      </c>
      <c r="S823" s="42">
        <f t="shared" si="2811"/>
        <v>83882.077000000005</v>
      </c>
      <c r="T823" s="42">
        <f t="shared" si="2811"/>
        <v>79138.266999999993</v>
      </c>
      <c r="U823" s="42">
        <f t="shared" si="2811"/>
        <v>80073.983000000007</v>
      </c>
      <c r="V823" s="42">
        <f t="shared" si="2811"/>
        <v>86296.875000000015</v>
      </c>
      <c r="W823" s="42">
        <f t="shared" si="2811"/>
        <v>93729.714000000007</v>
      </c>
      <c r="X823" s="42">
        <f t="shared" si="2811"/>
        <v>77522.396999999997</v>
      </c>
      <c r="Y823" s="42">
        <f t="shared" si="2811"/>
        <v>85714.41399999999</v>
      </c>
      <c r="Z823" s="42">
        <f t="shared" si="2811"/>
        <v>85432.20600000002</v>
      </c>
      <c r="AA823" s="42">
        <f t="shared" si="2811"/>
        <v>116889.48</v>
      </c>
      <c r="AB823" s="42">
        <f t="shared" si="2811"/>
        <v>111022.61600000001</v>
      </c>
      <c r="AC823" s="42">
        <f t="shared" si="2811"/>
        <v>125994.09700000001</v>
      </c>
      <c r="AD823" s="42">
        <f t="shared" si="2811"/>
        <v>148124.26600000003</v>
      </c>
      <c r="AE823" s="42">
        <f t="shared" si="2811"/>
        <v>152900.90100000001</v>
      </c>
      <c r="AF823" s="42">
        <f t="shared" ref="AF823:AG823" si="2812">SUM(AF813:AF822)</f>
        <v>151398.00899999999</v>
      </c>
      <c r="AG823" s="42">
        <f t="shared" si="2812"/>
        <v>170833.10399999999</v>
      </c>
      <c r="AO823" s="42">
        <f t="shared" ref="AO823" si="2813">SUM(AO813:AO822)</f>
        <v>1414.2960000000003</v>
      </c>
      <c r="AP823" s="42">
        <f t="shared" ref="AP823" si="2814">SUM(AP813:AP822)</f>
        <v>12109.507000000001</v>
      </c>
      <c r="AQ823" s="42">
        <f t="shared" ref="AQ823" si="2815">SUM(AQ813:AQ822)</f>
        <v>24359.469000000005</v>
      </c>
      <c r="AR823" s="42">
        <f t="shared" ref="AR823" si="2816">SUM(AR813:AR822)</f>
        <v>45767.806000000004</v>
      </c>
      <c r="AS823" s="42">
        <f t="shared" ref="AS823" si="2817">SUM(AS813:AS822)</f>
        <v>83882.077000000005</v>
      </c>
      <c r="AT823" s="42">
        <f t="shared" ref="AT823" si="2818">SUM(AT813:AT822)</f>
        <v>93729.714000000007</v>
      </c>
      <c r="AU823" s="42">
        <f t="shared" ref="AU823:AV823" si="2819">SUM(AU813:AU822)</f>
        <v>116889.48</v>
      </c>
      <c r="AV823" s="42">
        <f t="shared" si="2819"/>
        <v>152900.90100000001</v>
      </c>
    </row>
    <row r="825" spans="2:48" x14ac:dyDescent="0.2">
      <c r="B825" s="1" t="s">
        <v>197</v>
      </c>
    </row>
    <row r="826" spans="2:48" x14ac:dyDescent="0.2">
      <c r="B826" t="s">
        <v>212</v>
      </c>
      <c r="H826" s="11">
        <v>10950.505000000001</v>
      </c>
      <c r="I826" s="11">
        <v>10950.504999999999</v>
      </c>
      <c r="J826" s="11">
        <v>0</v>
      </c>
      <c r="K826" s="11">
        <v>0</v>
      </c>
      <c r="L826" s="11">
        <v>0</v>
      </c>
      <c r="M826" s="11">
        <v>0</v>
      </c>
      <c r="N826" s="11">
        <v>0</v>
      </c>
      <c r="O826" s="11">
        <v>0</v>
      </c>
      <c r="P826" s="11">
        <v>0</v>
      </c>
      <c r="Q826" s="11">
        <v>0</v>
      </c>
      <c r="R826" s="11">
        <v>0</v>
      </c>
      <c r="S826" s="11">
        <v>0</v>
      </c>
      <c r="T826" s="11">
        <v>0</v>
      </c>
      <c r="U826" s="11">
        <v>0</v>
      </c>
      <c r="V826" s="11">
        <v>0</v>
      </c>
      <c r="W826" s="11">
        <v>0</v>
      </c>
      <c r="X826" s="11">
        <v>0</v>
      </c>
      <c r="Y826" s="11">
        <v>0</v>
      </c>
      <c r="Z826" s="11">
        <v>0</v>
      </c>
      <c r="AA826" s="11">
        <v>0</v>
      </c>
      <c r="AB826" s="11">
        <v>0</v>
      </c>
      <c r="AC826" s="11">
        <v>0</v>
      </c>
      <c r="AD826" s="11">
        <v>0</v>
      </c>
      <c r="AE826" s="11">
        <v>0</v>
      </c>
      <c r="AF826" s="11">
        <v>0</v>
      </c>
      <c r="AG826" s="11">
        <v>0</v>
      </c>
      <c r="AO826" s="11">
        <v>782.73299999999995</v>
      </c>
      <c r="AP826" s="11">
        <v>2196.9210000000003</v>
      </c>
      <c r="AQ826" s="11">
        <v>0</v>
      </c>
      <c r="AR826" s="11">
        <v>0</v>
      </c>
      <c r="AS826" s="11">
        <v>0</v>
      </c>
      <c r="AT826" s="11">
        <v>0</v>
      </c>
      <c r="AU826" s="11">
        <v>0</v>
      </c>
      <c r="AV826" s="11">
        <v>0</v>
      </c>
    </row>
    <row r="827" spans="2:48" x14ac:dyDescent="0.2">
      <c r="B827" t="s">
        <v>198</v>
      </c>
      <c r="H827" s="11">
        <v>0</v>
      </c>
      <c r="I827" s="11">
        <v>0</v>
      </c>
      <c r="J827" s="11">
        <v>0</v>
      </c>
      <c r="K827" s="11">
        <v>0</v>
      </c>
      <c r="L827" s="11">
        <v>0</v>
      </c>
      <c r="M827" s="11">
        <v>0</v>
      </c>
      <c r="N827" s="11">
        <v>5140.3050000000003</v>
      </c>
      <c r="O827" s="11">
        <v>5206.6819999999998</v>
      </c>
      <c r="P827" s="11">
        <v>5430.4870000000001</v>
      </c>
      <c r="Q827" s="11">
        <v>5572.4489999999996</v>
      </c>
      <c r="R827" s="11">
        <v>5504.8729999999996</v>
      </c>
      <c r="S827" s="11">
        <v>14432.791999999999</v>
      </c>
      <c r="T827" s="11">
        <v>11502.472</v>
      </c>
      <c r="U827" s="11">
        <v>11342.314</v>
      </c>
      <c r="V827" s="11">
        <v>11684.597</v>
      </c>
      <c r="W827" s="11">
        <v>11788.906999999999</v>
      </c>
      <c r="X827" s="11">
        <v>14057.021000000001</v>
      </c>
      <c r="Y827" s="11">
        <v>14874.632</v>
      </c>
      <c r="Z827" s="11">
        <v>15749.602999999999</v>
      </c>
      <c r="AA827" s="11">
        <v>1575.7550000000001</v>
      </c>
      <c r="AB827" s="11">
        <v>1554.7360000000001</v>
      </c>
      <c r="AC827" s="11">
        <v>1634.8520000000001</v>
      </c>
      <c r="AD827" s="11">
        <v>1623.7260000000001</v>
      </c>
      <c r="AE827" s="11">
        <v>5231.5230000000001</v>
      </c>
      <c r="AF827" s="11">
        <v>5240.6080000000002</v>
      </c>
      <c r="AG827" s="11">
        <v>5264.0969999999998</v>
      </c>
      <c r="AO827" s="11">
        <v>0</v>
      </c>
      <c r="AP827" s="11">
        <v>0</v>
      </c>
      <c r="AQ827" s="11">
        <v>0</v>
      </c>
      <c r="AR827" s="11">
        <v>5206.6819999999998</v>
      </c>
      <c r="AS827" s="11">
        <v>14432.791999999999</v>
      </c>
      <c r="AT827" s="11">
        <v>11788.906999999999</v>
      </c>
      <c r="AU827" s="11">
        <v>1575.7550000000001</v>
      </c>
      <c r="AV827" s="11">
        <v>5231.5230000000001</v>
      </c>
    </row>
    <row r="828" spans="2:48" x14ac:dyDescent="0.2">
      <c r="B828" t="s">
        <v>142</v>
      </c>
      <c r="H828" s="11">
        <v>0</v>
      </c>
      <c r="I828" s="11">
        <v>0</v>
      </c>
      <c r="J828" s="11">
        <v>0</v>
      </c>
      <c r="K828" s="11">
        <v>0</v>
      </c>
      <c r="L828" s="11">
        <v>163.785</v>
      </c>
      <c r="M828" s="11">
        <v>247.42599999999999</v>
      </c>
      <c r="N828" s="11">
        <v>254.50800000000001</v>
      </c>
      <c r="O828" s="11">
        <v>428.59300000000002</v>
      </c>
      <c r="P828" s="11">
        <v>397.12700000000001</v>
      </c>
      <c r="Q828" s="11">
        <v>410.53100000000001</v>
      </c>
      <c r="R828" s="11">
        <v>390.803</v>
      </c>
      <c r="S828" s="11">
        <v>414.93900000000002</v>
      </c>
      <c r="T828" s="11">
        <v>418.33</v>
      </c>
      <c r="U828" s="11">
        <v>423.59500000000003</v>
      </c>
      <c r="V828" s="11">
        <v>437.82799999999997</v>
      </c>
      <c r="W828" s="11">
        <v>544.26300000000003</v>
      </c>
      <c r="X828" s="11">
        <v>453.62099999999998</v>
      </c>
      <c r="Y828" s="11">
        <v>462.40100000000001</v>
      </c>
      <c r="Z828" s="11">
        <v>750.25699999999995</v>
      </c>
      <c r="AA828" s="11">
        <v>870.78200000000004</v>
      </c>
      <c r="AB828" s="11">
        <v>978.399</v>
      </c>
      <c r="AC828" s="11">
        <v>1248.107</v>
      </c>
      <c r="AD828" s="11">
        <v>2397.2220000000002</v>
      </c>
      <c r="AE828" s="11">
        <v>2644.26</v>
      </c>
      <c r="AF828" s="11">
        <v>2437.62</v>
      </c>
      <c r="AG828" s="11">
        <v>2634.8620000000001</v>
      </c>
      <c r="AO828" s="11">
        <v>0</v>
      </c>
      <c r="AP828" s="11">
        <v>0</v>
      </c>
      <c r="AQ828" s="11">
        <v>0</v>
      </c>
      <c r="AR828" s="11">
        <v>428.59300000000002</v>
      </c>
      <c r="AS828" s="11">
        <v>414.93900000000002</v>
      </c>
      <c r="AT828" s="11">
        <v>544.26300000000003</v>
      </c>
      <c r="AU828" s="11">
        <v>870.78200000000004</v>
      </c>
      <c r="AV828" s="11">
        <v>2644.26</v>
      </c>
    </row>
    <row r="829" spans="2:48" x14ac:dyDescent="0.2">
      <c r="B829" t="s">
        <v>199</v>
      </c>
      <c r="H829" s="11">
        <v>0</v>
      </c>
      <c r="I829" s="11">
        <v>0</v>
      </c>
      <c r="J829" s="11">
        <v>0</v>
      </c>
      <c r="K829" s="11">
        <v>0</v>
      </c>
      <c r="L829" s="11">
        <v>0</v>
      </c>
      <c r="M829" s="11">
        <v>0</v>
      </c>
      <c r="N829" s="11">
        <v>0</v>
      </c>
      <c r="O829" s="11">
        <v>0</v>
      </c>
      <c r="P829" s="11">
        <v>0</v>
      </c>
      <c r="Q829" s="11">
        <v>0</v>
      </c>
      <c r="R829" s="11">
        <v>0</v>
      </c>
      <c r="S829" s="11">
        <v>0</v>
      </c>
      <c r="T829" s="11">
        <v>0</v>
      </c>
      <c r="U829" s="11">
        <v>0</v>
      </c>
      <c r="V829" s="11">
        <v>0</v>
      </c>
      <c r="W829" s="11">
        <v>31.291</v>
      </c>
      <c r="X829" s="11">
        <v>32.069000000000003</v>
      </c>
      <c r="Y829" s="11">
        <v>38.668999999999997</v>
      </c>
      <c r="Z829" s="11">
        <v>46.046999999999997</v>
      </c>
      <c r="AA829" s="11">
        <v>13.025</v>
      </c>
      <c r="AB829" s="11">
        <v>0.38200000000000001</v>
      </c>
      <c r="AC829" s="11">
        <v>64.221999999999994</v>
      </c>
      <c r="AD829" s="11">
        <v>55.902999999999999</v>
      </c>
      <c r="AE829" s="11">
        <v>59.829000000000001</v>
      </c>
      <c r="AF829" s="11">
        <v>43.920999999999999</v>
      </c>
      <c r="AG829" s="11">
        <v>34.061</v>
      </c>
      <c r="AO829" s="11">
        <v>0</v>
      </c>
      <c r="AP829" s="11">
        <v>0</v>
      </c>
      <c r="AQ829" s="11">
        <v>0</v>
      </c>
      <c r="AR829" s="11">
        <v>0</v>
      </c>
      <c r="AS829" s="11">
        <v>0</v>
      </c>
      <c r="AT829" s="11">
        <v>31.291</v>
      </c>
      <c r="AU829" s="11">
        <v>13.025</v>
      </c>
      <c r="AV829" s="11">
        <v>59.829000000000001</v>
      </c>
    </row>
    <row r="830" spans="2:48" ht="13.5" x14ac:dyDescent="0.35">
      <c r="B830" t="s">
        <v>144</v>
      </c>
      <c r="H830" s="13">
        <v>0</v>
      </c>
      <c r="I830" s="13">
        <v>0</v>
      </c>
      <c r="J830" s="13">
        <v>0</v>
      </c>
      <c r="K830" s="13">
        <v>0</v>
      </c>
      <c r="L830" s="13">
        <v>8.4350000000000005</v>
      </c>
      <c r="M830" s="13">
        <v>8.1709999999999994</v>
      </c>
      <c r="N830" s="13">
        <v>7.9489999999999998</v>
      </c>
      <c r="O830" s="13">
        <v>7.3890000000000002</v>
      </c>
      <c r="P830" s="13">
        <v>7.05</v>
      </c>
      <c r="Q830" s="13">
        <v>38.070999999999998</v>
      </c>
      <c r="R830" s="13">
        <v>36.04</v>
      </c>
      <c r="S830" s="13">
        <v>2.9180000000000001</v>
      </c>
      <c r="T830" s="13">
        <v>2.4670000000000001</v>
      </c>
      <c r="U830" s="13">
        <v>1.9570000000000001</v>
      </c>
      <c r="V830" s="13">
        <v>1.4890000000000001</v>
      </c>
      <c r="W830" s="13">
        <v>0.996</v>
      </c>
      <c r="X830" s="13">
        <v>0.53600000000000003</v>
      </c>
      <c r="Y830" s="13">
        <v>0.08</v>
      </c>
      <c r="Z830" s="13">
        <v>0</v>
      </c>
      <c r="AA830" s="13">
        <v>0</v>
      </c>
      <c r="AB830" s="13">
        <v>0</v>
      </c>
      <c r="AC830" s="13">
        <v>0</v>
      </c>
      <c r="AD830" s="13">
        <v>0</v>
      </c>
      <c r="AE830" s="13">
        <v>0</v>
      </c>
      <c r="AF830" s="13">
        <v>0</v>
      </c>
      <c r="AG830" s="13">
        <v>0</v>
      </c>
      <c r="AH830" s="16"/>
      <c r="AI830" s="16"/>
      <c r="AJ830" s="16"/>
      <c r="AK830" s="16"/>
      <c r="AL830" s="16"/>
      <c r="AM830" s="16"/>
      <c r="AN830" s="16"/>
      <c r="AO830" s="13">
        <v>0</v>
      </c>
      <c r="AP830" s="13">
        <v>0</v>
      </c>
      <c r="AQ830" s="13">
        <v>0</v>
      </c>
      <c r="AR830" s="13">
        <v>7.3890000000000002</v>
      </c>
      <c r="AS830" s="13">
        <v>2.9180000000000001</v>
      </c>
      <c r="AT830" s="13">
        <v>0.996</v>
      </c>
      <c r="AU830" s="13">
        <v>0</v>
      </c>
      <c r="AV830" s="13">
        <v>0</v>
      </c>
    </row>
    <row r="831" spans="2:48" x14ac:dyDescent="0.2">
      <c r="B831" s="4" t="s">
        <v>211</v>
      </c>
      <c r="H831" s="10">
        <f>SUM(H826:H830)</f>
        <v>10950.505000000001</v>
      </c>
      <c r="I831" s="10">
        <f t="shared" ref="I831:AE831" si="2820">SUM(I826:I830)</f>
        <v>10950.504999999999</v>
      </c>
      <c r="J831" s="10">
        <f t="shared" si="2820"/>
        <v>0</v>
      </c>
      <c r="K831" s="10">
        <f t="shared" si="2820"/>
        <v>0</v>
      </c>
      <c r="L831" s="10">
        <f t="shared" si="2820"/>
        <v>172.22</v>
      </c>
      <c r="M831" s="10">
        <f t="shared" si="2820"/>
        <v>255.59699999999998</v>
      </c>
      <c r="N831" s="10">
        <f t="shared" si="2820"/>
        <v>5402.7619999999997</v>
      </c>
      <c r="O831" s="10">
        <f t="shared" si="2820"/>
        <v>5642.6639999999998</v>
      </c>
      <c r="P831" s="10">
        <f t="shared" si="2820"/>
        <v>5834.6640000000007</v>
      </c>
      <c r="Q831" s="10">
        <f t="shared" si="2820"/>
        <v>6021.0509999999995</v>
      </c>
      <c r="R831" s="10">
        <f t="shared" si="2820"/>
        <v>5931.7159999999994</v>
      </c>
      <c r="S831" s="10">
        <f t="shared" si="2820"/>
        <v>14850.648999999999</v>
      </c>
      <c r="T831" s="10">
        <f t="shared" si="2820"/>
        <v>11923.269</v>
      </c>
      <c r="U831" s="10">
        <f t="shared" si="2820"/>
        <v>11767.866</v>
      </c>
      <c r="V831" s="10">
        <f t="shared" si="2820"/>
        <v>12123.913999999999</v>
      </c>
      <c r="W831" s="10">
        <f t="shared" si="2820"/>
        <v>12365.456999999999</v>
      </c>
      <c r="X831" s="10">
        <f t="shared" si="2820"/>
        <v>14543.246999999999</v>
      </c>
      <c r="Y831" s="10">
        <f t="shared" si="2820"/>
        <v>15375.781999999999</v>
      </c>
      <c r="Z831" s="10">
        <f t="shared" si="2820"/>
        <v>16545.906999999999</v>
      </c>
      <c r="AA831" s="10">
        <f t="shared" si="2820"/>
        <v>2459.5620000000004</v>
      </c>
      <c r="AB831" s="10">
        <f t="shared" si="2820"/>
        <v>2533.5170000000003</v>
      </c>
      <c r="AC831" s="10">
        <f t="shared" si="2820"/>
        <v>2947.181</v>
      </c>
      <c r="AD831" s="10">
        <f t="shared" si="2820"/>
        <v>4076.8510000000001</v>
      </c>
      <c r="AE831" s="10">
        <f t="shared" si="2820"/>
        <v>7935.6120000000001</v>
      </c>
      <c r="AF831" s="10">
        <f t="shared" ref="AF831:AG831" si="2821">SUM(AF826:AF830)</f>
        <v>7722.1490000000003</v>
      </c>
      <c r="AG831" s="10">
        <f t="shared" si="2821"/>
        <v>7933.0199999999995</v>
      </c>
      <c r="AO831" s="10">
        <f t="shared" ref="AO831" si="2822">SUM(AO826:AO830)</f>
        <v>782.73299999999995</v>
      </c>
      <c r="AP831" s="10">
        <f t="shared" ref="AP831" si="2823">SUM(AP826:AP830)</f>
        <v>2196.9210000000003</v>
      </c>
      <c r="AQ831" s="10">
        <f t="shared" ref="AQ831" si="2824">SUM(AQ826:AQ830)</f>
        <v>0</v>
      </c>
      <c r="AR831" s="10">
        <f t="shared" ref="AR831" si="2825">SUM(AR826:AR830)</f>
        <v>5642.6639999999998</v>
      </c>
      <c r="AS831" s="10">
        <f t="shared" ref="AS831" si="2826">SUM(AS826:AS830)</f>
        <v>14850.648999999999</v>
      </c>
      <c r="AT831" s="10">
        <f t="shared" ref="AT831" si="2827">SUM(AT826:AT830)</f>
        <v>12365.456999999999</v>
      </c>
      <c r="AU831" s="10">
        <f t="shared" ref="AU831:AV831" si="2828">SUM(AU826:AU830)</f>
        <v>2459.5620000000004</v>
      </c>
      <c r="AV831" s="10">
        <f t="shared" si="2828"/>
        <v>7935.6120000000001</v>
      </c>
    </row>
    <row r="832" spans="2:48" x14ac:dyDescent="0.2">
      <c r="B832" s="4"/>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O832" s="10"/>
      <c r="AP832" s="10"/>
      <c r="AQ832" s="10"/>
      <c r="AR832" s="10"/>
      <c r="AS832" s="10"/>
      <c r="AT832" s="10"/>
      <c r="AU832" s="10"/>
      <c r="AV832" s="10"/>
    </row>
    <row r="833" spans="2:48" s="1" customFormat="1" x14ac:dyDescent="0.2">
      <c r="B833" s="1" t="s">
        <v>213</v>
      </c>
      <c r="H833" s="42">
        <f>+H823+H831</f>
        <v>22703.949000000001</v>
      </c>
      <c r="I833" s="42">
        <f t="shared" ref="I833:AE833" si="2829">+I823+I831</f>
        <v>24833.650999999998</v>
      </c>
      <c r="J833" s="42">
        <f t="shared" si="2829"/>
        <v>16243.254000000001</v>
      </c>
      <c r="K833" s="42">
        <f t="shared" si="2829"/>
        <v>24359.469000000005</v>
      </c>
      <c r="L833" s="42">
        <f t="shared" si="2829"/>
        <v>24754.636000000002</v>
      </c>
      <c r="M833" s="42">
        <f t="shared" si="2829"/>
        <v>29253.965000000004</v>
      </c>
      <c r="N833" s="42">
        <f t="shared" si="2829"/>
        <v>38619.786</v>
      </c>
      <c r="O833" s="42">
        <f t="shared" si="2829"/>
        <v>51410.47</v>
      </c>
      <c r="P833" s="42">
        <f t="shared" si="2829"/>
        <v>54467.445999999996</v>
      </c>
      <c r="Q833" s="42">
        <f t="shared" si="2829"/>
        <v>61406.80599999999</v>
      </c>
      <c r="R833" s="42">
        <f t="shared" si="2829"/>
        <v>71007.263999999996</v>
      </c>
      <c r="S833" s="42">
        <f t="shared" si="2829"/>
        <v>98732.72600000001</v>
      </c>
      <c r="T833" s="42">
        <f t="shared" si="2829"/>
        <v>91061.535999999993</v>
      </c>
      <c r="U833" s="42">
        <f t="shared" si="2829"/>
        <v>91841.849000000002</v>
      </c>
      <c r="V833" s="42">
        <f t="shared" si="2829"/>
        <v>98420.789000000019</v>
      </c>
      <c r="W833" s="42">
        <f t="shared" si="2829"/>
        <v>106095.171</v>
      </c>
      <c r="X833" s="42">
        <f t="shared" si="2829"/>
        <v>92065.644</v>
      </c>
      <c r="Y833" s="42">
        <f t="shared" si="2829"/>
        <v>101090.196</v>
      </c>
      <c r="Z833" s="42">
        <f t="shared" si="2829"/>
        <v>101978.11300000001</v>
      </c>
      <c r="AA833" s="42">
        <f t="shared" si="2829"/>
        <v>119349.042</v>
      </c>
      <c r="AB833" s="42">
        <f t="shared" si="2829"/>
        <v>113556.13300000002</v>
      </c>
      <c r="AC833" s="42">
        <f t="shared" si="2829"/>
        <v>128941.27800000001</v>
      </c>
      <c r="AD833" s="42">
        <f t="shared" si="2829"/>
        <v>152201.11700000003</v>
      </c>
      <c r="AE833" s="42">
        <f t="shared" si="2829"/>
        <v>160836.51300000001</v>
      </c>
      <c r="AF833" s="42">
        <f t="shared" ref="AF833:AG833" si="2830">+AF823+AF831</f>
        <v>159120.158</v>
      </c>
      <c r="AG833" s="42">
        <f t="shared" si="2830"/>
        <v>178766.12399999998</v>
      </c>
      <c r="AO833" s="42">
        <f t="shared" ref="AO833:AU833" si="2831">+AO823+AO831</f>
        <v>2197.0290000000005</v>
      </c>
      <c r="AP833" s="42">
        <f t="shared" si="2831"/>
        <v>14306.428000000002</v>
      </c>
      <c r="AQ833" s="42">
        <f t="shared" si="2831"/>
        <v>24359.469000000005</v>
      </c>
      <c r="AR833" s="42">
        <f t="shared" si="2831"/>
        <v>51410.47</v>
      </c>
      <c r="AS833" s="42">
        <f t="shared" si="2831"/>
        <v>98732.72600000001</v>
      </c>
      <c r="AT833" s="42">
        <f t="shared" si="2831"/>
        <v>106095.171</v>
      </c>
      <c r="AU833" s="42">
        <f t="shared" si="2831"/>
        <v>119349.042</v>
      </c>
      <c r="AV833" s="42">
        <f t="shared" ref="AV833" si="2832">+AV823+AV831</f>
        <v>160836.51300000001</v>
      </c>
    </row>
    <row r="835" spans="2:48" x14ac:dyDescent="0.2">
      <c r="B835" s="24" t="s">
        <v>200</v>
      </c>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O835" s="10"/>
      <c r="AP835" s="10"/>
      <c r="AQ835" s="10"/>
      <c r="AR835" s="10"/>
      <c r="AS835" s="10"/>
      <c r="AT835" s="10"/>
      <c r="AU835" s="10"/>
      <c r="AV835" s="10"/>
    </row>
    <row r="836" spans="2:48" x14ac:dyDescent="0.2">
      <c r="B836" t="s">
        <v>449</v>
      </c>
      <c r="H836" s="11">
        <v>5.3999999999999999E-2</v>
      </c>
      <c r="I836" s="11">
        <v>6.2E-2</v>
      </c>
      <c r="J836" s="11">
        <v>0.14200000000000002</v>
      </c>
      <c r="K836" s="11">
        <v>0.14200000000000002</v>
      </c>
      <c r="L836" s="11">
        <v>0.14800000000000002</v>
      </c>
      <c r="M836" s="11">
        <v>0.14800000000000002</v>
      </c>
      <c r="N836" s="11">
        <v>0.14800000000000002</v>
      </c>
      <c r="O836" s="11">
        <v>0.14800000000000002</v>
      </c>
      <c r="P836" s="11">
        <v>0.14799999999999999</v>
      </c>
      <c r="Q836" s="11">
        <v>0.153</v>
      </c>
      <c r="R836" s="11">
        <v>0.153</v>
      </c>
      <c r="S836" s="11">
        <v>0.159</v>
      </c>
      <c r="T836" s="11">
        <v>0.161</v>
      </c>
      <c r="U836" s="11">
        <v>0.161</v>
      </c>
      <c r="V836" s="11">
        <v>0.161</v>
      </c>
      <c r="W836" s="11">
        <v>0.161</v>
      </c>
      <c r="X836" s="11">
        <v>0.16200000000000001</v>
      </c>
      <c r="Y836" s="11">
        <v>0.16200000000000001</v>
      </c>
      <c r="Z836" s="11">
        <v>0.16200000000000001</v>
      </c>
      <c r="AA836" s="11">
        <v>0.17</v>
      </c>
      <c r="AB836" s="11">
        <v>0.17100000000000001</v>
      </c>
      <c r="AC836" s="11">
        <v>0.17599999999999999</v>
      </c>
      <c r="AD836" s="11">
        <v>0.17699999999999999</v>
      </c>
      <c r="AE836" s="11">
        <v>0.17699999999999999</v>
      </c>
      <c r="AF836" s="11">
        <v>0.17799999999999999</v>
      </c>
      <c r="AG836" s="11">
        <v>0.17899999999999999</v>
      </c>
      <c r="AO836" s="11">
        <v>5.6000000000000001E-2</v>
      </c>
      <c r="AP836" s="11">
        <v>5.3999999999999999E-2</v>
      </c>
      <c r="AQ836" s="11">
        <v>0.14200000000000002</v>
      </c>
      <c r="AR836" s="11">
        <v>0.14800000000000002</v>
      </c>
      <c r="AS836" s="11">
        <v>0.159</v>
      </c>
      <c r="AT836" s="11">
        <v>0.161</v>
      </c>
      <c r="AU836" s="11">
        <v>0.17</v>
      </c>
      <c r="AV836" s="11">
        <v>0.17699999999999999</v>
      </c>
    </row>
    <row r="837" spans="2:48" x14ac:dyDescent="0.2">
      <c r="B837" t="s">
        <v>201</v>
      </c>
      <c r="H837" s="11">
        <v>74.936000000000007</v>
      </c>
      <c r="I837" s="11">
        <v>5848.893</v>
      </c>
      <c r="J837" s="11">
        <v>28677.618999999999</v>
      </c>
      <c r="K837" s="11">
        <v>29114.526999999998</v>
      </c>
      <c r="L837" s="11">
        <v>37606.981</v>
      </c>
      <c r="M837" s="11">
        <v>38198.955999999998</v>
      </c>
      <c r="N837" s="11">
        <v>40695.277000000002</v>
      </c>
      <c r="O837" s="11">
        <v>41493.949000000001</v>
      </c>
      <c r="P837" s="11">
        <v>42303.322</v>
      </c>
      <c r="Q837" s="11">
        <v>51013.118000000002</v>
      </c>
      <c r="R837" s="11">
        <v>51969.053</v>
      </c>
      <c r="S837" s="11">
        <v>86698.66</v>
      </c>
      <c r="T837" s="11">
        <v>91270.472999999998</v>
      </c>
      <c r="U837" s="11">
        <v>92529.899000000005</v>
      </c>
      <c r="V837" s="11">
        <v>93847.981</v>
      </c>
      <c r="W837" s="11">
        <v>95340.819000000003</v>
      </c>
      <c r="X837" s="11">
        <v>93044.707999999999</v>
      </c>
      <c r="Y837" s="11">
        <v>94889.255000000005</v>
      </c>
      <c r="Z837" s="11">
        <v>96754.398000000001</v>
      </c>
      <c r="AA837" s="11">
        <v>99250.467999999993</v>
      </c>
      <c r="AB837" s="11">
        <v>100784.13099999999</v>
      </c>
      <c r="AC837" s="11">
        <v>102681.784</v>
      </c>
      <c r="AD837" s="11">
        <v>104152.72900000001</v>
      </c>
      <c r="AE837" s="11">
        <v>107293.091</v>
      </c>
      <c r="AF837" s="11">
        <v>110449.151</v>
      </c>
      <c r="AG837" s="11">
        <v>112946.397</v>
      </c>
      <c r="AO837" s="11">
        <v>21.530999999999999</v>
      </c>
      <c r="AP837" s="11">
        <v>61.326000000000001</v>
      </c>
      <c r="AQ837" s="11">
        <v>29114.526999999998</v>
      </c>
      <c r="AR837" s="11">
        <v>41493.949000000001</v>
      </c>
      <c r="AS837" s="11">
        <v>86698.66</v>
      </c>
      <c r="AT837" s="11">
        <v>95340.819000000003</v>
      </c>
      <c r="AU837" s="11">
        <v>99250.467999999993</v>
      </c>
      <c r="AV837" s="11">
        <v>107293.091</v>
      </c>
    </row>
    <row r="838" spans="2:48" x14ac:dyDescent="0.2">
      <c r="B838" t="s">
        <v>202</v>
      </c>
      <c r="H838" s="11">
        <v>0</v>
      </c>
      <c r="I838" s="11">
        <v>0</v>
      </c>
      <c r="J838" s="11">
        <v>0</v>
      </c>
      <c r="K838" s="11">
        <v>0</v>
      </c>
      <c r="L838" s="11">
        <v>0</v>
      </c>
      <c r="M838" s="11">
        <v>0</v>
      </c>
      <c r="N838" s="11">
        <v>0</v>
      </c>
      <c r="O838" s="11">
        <v>0</v>
      </c>
      <c r="P838" s="11">
        <v>0</v>
      </c>
      <c r="Q838" s="11">
        <v>0</v>
      </c>
      <c r="R838" s="11">
        <v>0</v>
      </c>
      <c r="S838" s="11">
        <v>0</v>
      </c>
      <c r="T838" s="11">
        <v>0</v>
      </c>
      <c r="U838" s="11">
        <v>0</v>
      </c>
      <c r="V838" s="11">
        <v>0</v>
      </c>
      <c r="W838" s="11">
        <v>0</v>
      </c>
      <c r="X838" s="11">
        <v>0</v>
      </c>
      <c r="Y838" s="11">
        <v>0</v>
      </c>
      <c r="Z838" s="11">
        <v>0</v>
      </c>
      <c r="AA838" s="11">
        <v>5</v>
      </c>
      <c r="AB838" s="11">
        <v>5</v>
      </c>
      <c r="AC838" s="11">
        <v>5</v>
      </c>
      <c r="AD838" s="11">
        <v>5</v>
      </c>
      <c r="AE838" s="11">
        <v>105.982</v>
      </c>
      <c r="AF838" s="11">
        <v>105.982</v>
      </c>
      <c r="AG838" s="11">
        <v>105.982</v>
      </c>
      <c r="AO838" s="11">
        <v>0</v>
      </c>
      <c r="AP838" s="11">
        <v>0</v>
      </c>
      <c r="AQ838" s="11">
        <v>0</v>
      </c>
      <c r="AR838" s="11">
        <v>0</v>
      </c>
      <c r="AS838" s="11">
        <v>0</v>
      </c>
      <c r="AT838" s="11">
        <v>0</v>
      </c>
      <c r="AU838" s="11">
        <v>5</v>
      </c>
      <c r="AV838" s="11">
        <v>105.982</v>
      </c>
    </row>
    <row r="839" spans="2:48" x14ac:dyDescent="0.2">
      <c r="B839" t="s">
        <v>203</v>
      </c>
      <c r="H839" s="11">
        <v>-121.176</v>
      </c>
      <c r="I839" s="11">
        <v>396.54</v>
      </c>
      <c r="J839" s="11">
        <v>986.80700000000002</v>
      </c>
      <c r="K839" s="11">
        <v>1035.7829999999999</v>
      </c>
      <c r="L839" s="11">
        <v>627.56600000000003</v>
      </c>
      <c r="M839" s="11">
        <v>1116.597</v>
      </c>
      <c r="N839" s="11">
        <v>1804.675</v>
      </c>
      <c r="O839" s="11">
        <v>1448.23</v>
      </c>
      <c r="P839" s="11">
        <v>1820.761</v>
      </c>
      <c r="Q839" s="11">
        <v>1794.7280000000001</v>
      </c>
      <c r="R839" s="11">
        <v>533.303</v>
      </c>
      <c r="S839" s="11">
        <v>-1047.7280000000001</v>
      </c>
      <c r="T839" s="11">
        <v>-531.69899999999996</v>
      </c>
      <c r="U839" s="11">
        <v>-1666.114</v>
      </c>
      <c r="V839" s="11">
        <v>-1414.0930000000001</v>
      </c>
      <c r="W839" s="11">
        <v>-2519.9</v>
      </c>
      <c r="X839" s="11">
        <v>-2651.317</v>
      </c>
      <c r="Y839" s="11">
        <v>864.02800000000002</v>
      </c>
      <c r="Z839" s="11">
        <v>4630.973</v>
      </c>
      <c r="AA839" s="11">
        <v>3322.2379999999998</v>
      </c>
      <c r="AB839" s="11">
        <v>2426.7530000000002</v>
      </c>
      <c r="AC839" s="11">
        <v>6254.9709999999995</v>
      </c>
      <c r="AD839" s="11">
        <v>5952.8389999999999</v>
      </c>
      <c r="AE839" s="11">
        <v>4723.76</v>
      </c>
      <c r="AF839" s="11">
        <v>5034.2349999999997</v>
      </c>
      <c r="AG839" s="11">
        <v>5799.8819999999996</v>
      </c>
      <c r="AO839" s="11">
        <v>24.58</v>
      </c>
      <c r="AP839" s="11">
        <v>-23.100999999999999</v>
      </c>
      <c r="AQ839" s="11">
        <v>1035.7829999999999</v>
      </c>
      <c r="AR839" s="11">
        <v>1448.23</v>
      </c>
      <c r="AS839" s="11">
        <v>-1047.7280000000001</v>
      </c>
      <c r="AT839" s="11">
        <v>-2519.9</v>
      </c>
      <c r="AU839" s="11">
        <v>3322.2379999999998</v>
      </c>
      <c r="AV839" s="11">
        <v>4723.76</v>
      </c>
    </row>
    <row r="840" spans="2:48" ht="13.5" x14ac:dyDescent="0.35">
      <c r="B840" t="s">
        <v>204</v>
      </c>
      <c r="H840" s="13">
        <v>-1311.7539999999999</v>
      </c>
      <c r="I840" s="13">
        <v>-7805.6419999999998</v>
      </c>
      <c r="J840" s="13">
        <v>-8903.9650000000001</v>
      </c>
      <c r="K840" s="13">
        <v>-11327.858</v>
      </c>
      <c r="L840" s="13">
        <v>-13205.566000000001</v>
      </c>
      <c r="M840" s="13">
        <v>-14208.816000000001</v>
      </c>
      <c r="N840" s="13">
        <v>-16543.824000000001</v>
      </c>
      <c r="O840" s="13">
        <v>-18295.460999999999</v>
      </c>
      <c r="P840" s="13">
        <v>-22414.79</v>
      </c>
      <c r="Q840" s="13">
        <v>-23314.138999999999</v>
      </c>
      <c r="R840" s="13">
        <v>-24098.847000000002</v>
      </c>
      <c r="S840" s="13">
        <v>-25475.203000000001</v>
      </c>
      <c r="T840" s="13">
        <v>-28380.618999999999</v>
      </c>
      <c r="U840" s="13">
        <v>-25966.039000000001</v>
      </c>
      <c r="V840" s="13">
        <v>-24326.079000000002</v>
      </c>
      <c r="W840" s="13">
        <v>-17706.532999999999</v>
      </c>
      <c r="X840" s="13">
        <v>-13740.575999999999</v>
      </c>
      <c r="Y840" s="13">
        <v>-4844.2359999999999</v>
      </c>
      <c r="Z840" s="13">
        <v>5744.3379999999997</v>
      </c>
      <c r="AA840" s="13">
        <v>15193.035</v>
      </c>
      <c r="AB840" s="13">
        <v>23294.062000000002</v>
      </c>
      <c r="AC840" s="13">
        <v>36402.148000000001</v>
      </c>
      <c r="AD840" s="13">
        <v>51939.27</v>
      </c>
      <c r="AE840" s="13">
        <v>75118.596999999994</v>
      </c>
      <c r="AF840" s="13">
        <v>103116.423</v>
      </c>
      <c r="AG840" s="13">
        <v>135125.77799999999</v>
      </c>
      <c r="AO840" s="13">
        <v>-472.44499999999999</v>
      </c>
      <c r="AP840" s="13">
        <v>-1030.2370000000001</v>
      </c>
      <c r="AQ840" s="13">
        <v>-11327.858</v>
      </c>
      <c r="AR840" s="13">
        <v>-18295.460999999999</v>
      </c>
      <c r="AS840" s="13">
        <v>-25475.203000000001</v>
      </c>
      <c r="AT840" s="13">
        <v>-17706.532999999999</v>
      </c>
      <c r="AU840" s="13">
        <v>15193.035</v>
      </c>
      <c r="AV840" s="13">
        <v>75118.596999999994</v>
      </c>
    </row>
    <row r="841" spans="2:48" s="1" customFormat="1" x14ac:dyDescent="0.2">
      <c r="B841" s="38" t="s">
        <v>214</v>
      </c>
      <c r="H841" s="42">
        <f t="shared" ref="H841:AF841" si="2833">SUM(H836:H840)</f>
        <v>-1357.9399999999998</v>
      </c>
      <c r="I841" s="42">
        <f t="shared" si="2833"/>
        <v>-1560.1469999999999</v>
      </c>
      <c r="J841" s="42">
        <f t="shared" si="2833"/>
        <v>20760.602999999999</v>
      </c>
      <c r="K841" s="42">
        <f t="shared" si="2833"/>
        <v>18822.593999999997</v>
      </c>
      <c r="L841" s="42">
        <f t="shared" si="2833"/>
        <v>25029.129000000001</v>
      </c>
      <c r="M841" s="42">
        <f t="shared" si="2833"/>
        <v>25106.885000000002</v>
      </c>
      <c r="N841" s="42">
        <f t="shared" si="2833"/>
        <v>25956.276000000005</v>
      </c>
      <c r="O841" s="42">
        <f t="shared" si="2833"/>
        <v>24646.866000000005</v>
      </c>
      <c r="P841" s="42">
        <f t="shared" si="2833"/>
        <v>21709.440999999999</v>
      </c>
      <c r="Q841" s="42">
        <f t="shared" si="2833"/>
        <v>29493.860000000004</v>
      </c>
      <c r="R841" s="42">
        <f t="shared" si="2833"/>
        <v>28403.661999999997</v>
      </c>
      <c r="S841" s="42">
        <f t="shared" si="2833"/>
        <v>60175.887999999999</v>
      </c>
      <c r="T841" s="42">
        <f t="shared" si="2833"/>
        <v>62358.315999999999</v>
      </c>
      <c r="U841" s="42">
        <f t="shared" si="2833"/>
        <v>64897.906999999992</v>
      </c>
      <c r="V841" s="42">
        <f t="shared" si="2833"/>
        <v>68107.97</v>
      </c>
      <c r="W841" s="42">
        <f t="shared" si="2833"/>
        <v>75114.547000000006</v>
      </c>
      <c r="X841" s="42">
        <f t="shared" si="2833"/>
        <v>76652.976999999999</v>
      </c>
      <c r="Y841" s="42">
        <f t="shared" si="2833"/>
        <v>90909.209000000003</v>
      </c>
      <c r="Z841" s="42">
        <f t="shared" si="2833"/>
        <v>107129.871</v>
      </c>
      <c r="AA841" s="42">
        <f t="shared" si="2833"/>
        <v>117770.91099999999</v>
      </c>
      <c r="AB841" s="42">
        <f t="shared" si="2833"/>
        <v>126510.117</v>
      </c>
      <c r="AC841" s="42">
        <f t="shared" si="2833"/>
        <v>145344.07900000003</v>
      </c>
      <c r="AD841" s="42">
        <f t="shared" si="2833"/>
        <v>162050.01499999998</v>
      </c>
      <c r="AE841" s="42">
        <f t="shared" si="2833"/>
        <v>187241.60699999999</v>
      </c>
      <c r="AF841" s="42">
        <f t="shared" si="2833"/>
        <v>218705.96899999998</v>
      </c>
      <c r="AG841" s="42">
        <f t="shared" ref="AG841" si="2834">SUM(AG836:AG840)</f>
        <v>253978.21799999999</v>
      </c>
      <c r="AO841" s="42">
        <f t="shared" ref="AO841:AV841" si="2835">SUM(AO836:AO840)</f>
        <v>-426.27800000000002</v>
      </c>
      <c r="AP841" s="42">
        <f t="shared" si="2835"/>
        <v>-991.95800000000008</v>
      </c>
      <c r="AQ841" s="42">
        <f t="shared" si="2835"/>
        <v>18822.593999999997</v>
      </c>
      <c r="AR841" s="42">
        <f t="shared" si="2835"/>
        <v>24646.866000000005</v>
      </c>
      <c r="AS841" s="42">
        <f t="shared" si="2835"/>
        <v>60175.887999999999</v>
      </c>
      <c r="AT841" s="42">
        <f t="shared" si="2835"/>
        <v>75114.547000000006</v>
      </c>
      <c r="AU841" s="42">
        <f t="shared" si="2835"/>
        <v>117770.91099999999</v>
      </c>
      <c r="AV841" s="42">
        <f t="shared" si="2835"/>
        <v>187241.60699999999</v>
      </c>
    </row>
    <row r="842" spans="2:48" x14ac:dyDescent="0.2">
      <c r="B842" s="4"/>
    </row>
    <row r="843" spans="2:48" s="1" customFormat="1" x14ac:dyDescent="0.2">
      <c r="B843" s="1" t="s">
        <v>215</v>
      </c>
      <c r="H843" s="42">
        <f t="shared" ref="H843:AF843" si="2836">+H833+H841</f>
        <v>21346.009000000002</v>
      </c>
      <c r="I843" s="42">
        <f t="shared" si="2836"/>
        <v>23273.503999999997</v>
      </c>
      <c r="J843" s="42">
        <f t="shared" si="2836"/>
        <v>37003.857000000004</v>
      </c>
      <c r="K843" s="42">
        <f t="shared" si="2836"/>
        <v>43182.063000000002</v>
      </c>
      <c r="L843" s="42">
        <f t="shared" si="2836"/>
        <v>49783.764999999999</v>
      </c>
      <c r="M843" s="42">
        <f t="shared" si="2836"/>
        <v>54360.850000000006</v>
      </c>
      <c r="N843" s="42">
        <f t="shared" si="2836"/>
        <v>64576.062000000005</v>
      </c>
      <c r="O843" s="42">
        <f t="shared" si="2836"/>
        <v>76057.33600000001</v>
      </c>
      <c r="P843" s="42">
        <f t="shared" si="2836"/>
        <v>76176.886999999988</v>
      </c>
      <c r="Q843" s="42">
        <f t="shared" si="2836"/>
        <v>90900.665999999997</v>
      </c>
      <c r="R843" s="42">
        <f t="shared" si="2836"/>
        <v>99410.925999999992</v>
      </c>
      <c r="S843" s="42">
        <f t="shared" si="2836"/>
        <v>158908.614</v>
      </c>
      <c r="T843" s="42">
        <f t="shared" si="2836"/>
        <v>153419.85199999998</v>
      </c>
      <c r="U843" s="42">
        <f t="shared" si="2836"/>
        <v>156739.75599999999</v>
      </c>
      <c r="V843" s="42">
        <f t="shared" si="2836"/>
        <v>166528.75900000002</v>
      </c>
      <c r="W843" s="42">
        <f t="shared" si="2836"/>
        <v>181209.71799999999</v>
      </c>
      <c r="X843" s="42">
        <f t="shared" si="2836"/>
        <v>168718.62099999998</v>
      </c>
      <c r="Y843" s="42">
        <f t="shared" si="2836"/>
        <v>191999.405</v>
      </c>
      <c r="Z843" s="42">
        <f t="shared" si="2836"/>
        <v>209107.984</v>
      </c>
      <c r="AA843" s="42">
        <f t="shared" si="2836"/>
        <v>237119.95299999998</v>
      </c>
      <c r="AB843" s="42">
        <f t="shared" si="2836"/>
        <v>240066.25</v>
      </c>
      <c r="AC843" s="42">
        <f t="shared" si="2836"/>
        <v>274285.35700000002</v>
      </c>
      <c r="AD843" s="42">
        <f t="shared" si="2836"/>
        <v>314251.13199999998</v>
      </c>
      <c r="AE843" s="42">
        <f t="shared" si="2836"/>
        <v>348078.12</v>
      </c>
      <c r="AF843" s="42">
        <f t="shared" si="2836"/>
        <v>377826.12699999998</v>
      </c>
      <c r="AG843" s="42">
        <f t="shared" ref="AG843" si="2837">+AG833+AG841</f>
        <v>432744.34199999995</v>
      </c>
      <c r="AO843" s="42">
        <f t="shared" ref="AO843:AV843" si="2838">+AO833+AO841</f>
        <v>1770.7510000000004</v>
      </c>
      <c r="AP843" s="42">
        <f t="shared" si="2838"/>
        <v>13314.470000000001</v>
      </c>
      <c r="AQ843" s="42">
        <f t="shared" si="2838"/>
        <v>43182.063000000002</v>
      </c>
      <c r="AR843" s="42">
        <f t="shared" si="2838"/>
        <v>76057.33600000001</v>
      </c>
      <c r="AS843" s="42">
        <f t="shared" si="2838"/>
        <v>158908.614</v>
      </c>
      <c r="AT843" s="42">
        <f t="shared" si="2838"/>
        <v>181209.71799999999</v>
      </c>
      <c r="AU843" s="42">
        <f t="shared" si="2838"/>
        <v>237119.95299999998</v>
      </c>
      <c r="AV843" s="42">
        <f t="shared" si="2838"/>
        <v>348078.12</v>
      </c>
    </row>
  </sheetData>
  <phoneticPr fontId="4" type="noConversion"/>
  <pageMargins left="0.3" right="0.3" top="0.3" bottom="0.3" header="0.3" footer="0.3"/>
  <pageSetup scale="38" fitToHeight="9" orientation="landscape" horizontalDpi="1200" verticalDpi="1200" r:id="rId1"/>
  <headerFooter>
    <oddFooter>Page &amp;P of &amp;N</oddFooter>
  </headerFooter>
  <rowBreaks count="9" manualBreakCount="9">
    <brk id="115" min="1" max="49" man="1"/>
    <brk id="211" min="1" max="49" man="1"/>
    <brk id="264" min="1" max="49" man="1"/>
    <brk id="370" min="1" max="49" man="1"/>
    <brk id="487" min="1" max="49" man="1"/>
    <brk id="545" min="1" max="49" man="1"/>
    <brk id="637" min="1" max="49" man="1"/>
    <brk id="711" min="1" max="49" man="1"/>
    <brk id="786" min="1" max="49" man="1"/>
  </rowBreaks>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48AE1-D6B7-4F05-BBAF-15A691E7A5E4}">
  <sheetPr>
    <pageSetUpPr fitToPage="1"/>
  </sheetPr>
  <dimension ref="A2:R73"/>
  <sheetViews>
    <sheetView view="pageBreakPreview" topLeftCell="A45" zoomScaleNormal="100" zoomScaleSheetLayoutView="100" workbookViewId="0">
      <selection activeCell="B63" sqref="B63"/>
    </sheetView>
  </sheetViews>
  <sheetFormatPr defaultRowHeight="11.25" x14ac:dyDescent="0.2"/>
  <cols>
    <col min="1" max="1" width="2.6640625" customWidth="1"/>
    <col min="2" max="2" width="35.6640625" customWidth="1"/>
    <col min="3" max="3" width="2.6640625" customWidth="1"/>
    <col min="4" max="4" width="9.6640625" bestFit="1" customWidth="1"/>
    <col min="12" max="12" width="2.6640625" customWidth="1"/>
  </cols>
  <sheetData>
    <row r="2" spans="2:18" s="1" customFormat="1" ht="10.15" x14ac:dyDescent="0.2">
      <c r="B2" s="1" t="s">
        <v>0</v>
      </c>
      <c r="P2" s="59">
        <f ca="1">TODAY()</f>
        <v>45796</v>
      </c>
    </row>
    <row r="3" spans="2:18" s="2" customFormat="1" ht="10.15" x14ac:dyDescent="0.2">
      <c r="B3" s="2" t="s">
        <v>599</v>
      </c>
    </row>
    <row r="4" spans="2:18" ht="10.15" x14ac:dyDescent="0.2">
      <c r="B4" s="3" t="s">
        <v>594</v>
      </c>
    </row>
    <row r="5" spans="2:18" ht="10.15" x14ac:dyDescent="0.2">
      <c r="D5" s="8" t="s">
        <v>60</v>
      </c>
      <c r="E5" s="9"/>
      <c r="F5" s="9"/>
      <c r="G5" s="9"/>
      <c r="H5" s="9"/>
      <c r="I5" s="9"/>
      <c r="J5" s="9"/>
      <c r="K5" s="9"/>
      <c r="M5" s="8" t="s">
        <v>59</v>
      </c>
      <c r="N5" s="9"/>
    </row>
    <row r="6" spans="2:18" ht="12" x14ac:dyDescent="0.35">
      <c r="D6" s="7" t="s">
        <v>44</v>
      </c>
      <c r="E6" s="7" t="s">
        <v>45</v>
      </c>
      <c r="F6" s="7" t="s">
        <v>46</v>
      </c>
      <c r="G6" s="7" t="s">
        <v>47</v>
      </c>
      <c r="H6" s="7" t="s">
        <v>48</v>
      </c>
      <c r="I6" s="7" t="s">
        <v>241</v>
      </c>
      <c r="J6" s="7" t="s">
        <v>242</v>
      </c>
      <c r="K6" s="7" t="s">
        <v>243</v>
      </c>
      <c r="M6" s="7" t="s">
        <v>57</v>
      </c>
      <c r="N6" s="7" t="s">
        <v>260</v>
      </c>
      <c r="O6" s="7"/>
    </row>
    <row r="8" spans="2:18" x14ac:dyDescent="0.2">
      <c r="B8" s="24" t="s">
        <v>608</v>
      </c>
    </row>
    <row r="9" spans="2:18" ht="10.15" x14ac:dyDescent="0.2">
      <c r="B9" t="s">
        <v>602</v>
      </c>
      <c r="D9" s="11">
        <v>3</v>
      </c>
      <c r="E9" s="11">
        <f>9+17+13</f>
        <v>39</v>
      </c>
      <c r="F9" s="11">
        <f>35+33+17</f>
        <v>85</v>
      </c>
      <c r="G9" s="11">
        <f>33+34+35</f>
        <v>102</v>
      </c>
      <c r="H9" s="11">
        <f>65+61+84</f>
        <v>210</v>
      </c>
      <c r="I9" s="11">
        <f>81+52+76</f>
        <v>209</v>
      </c>
      <c r="J9" s="11">
        <f>83+44+27</f>
        <v>154</v>
      </c>
      <c r="K9" s="11">
        <f>30+56+61</f>
        <v>147</v>
      </c>
      <c r="M9" s="10">
        <f>SUM(D9:E9)</f>
        <v>42</v>
      </c>
      <c r="N9" s="10">
        <f>+SUM(F9:I9)</f>
        <v>606</v>
      </c>
    </row>
    <row r="10" spans="2:18" ht="12" x14ac:dyDescent="0.35">
      <c r="B10" t="s">
        <v>603</v>
      </c>
      <c r="D10" s="25">
        <f>+D11-D9</f>
        <v>0</v>
      </c>
      <c r="E10" s="25">
        <f t="shared" ref="E10:K10" si="0">+E11-E9</f>
        <v>0</v>
      </c>
      <c r="F10" s="25">
        <f t="shared" si="0"/>
        <v>3</v>
      </c>
      <c r="G10" s="25">
        <f t="shared" si="0"/>
        <v>51</v>
      </c>
      <c r="H10" s="25">
        <f t="shared" si="0"/>
        <v>159</v>
      </c>
      <c r="I10" s="25">
        <f t="shared" si="0"/>
        <v>110</v>
      </c>
      <c r="J10" s="25">
        <f t="shared" si="0"/>
        <v>128</v>
      </c>
      <c r="K10" s="25">
        <f t="shared" si="0"/>
        <v>133</v>
      </c>
      <c r="M10" s="25">
        <f>SUM(D10:E10)</f>
        <v>0</v>
      </c>
      <c r="N10" s="25">
        <f>+SUM(F10:I10)</f>
        <v>323</v>
      </c>
    </row>
    <row r="11" spans="2:18" ht="10.15" x14ac:dyDescent="0.2">
      <c r="B11" s="4" t="s">
        <v>589</v>
      </c>
      <c r="D11" s="11">
        <f>0+3</f>
        <v>3</v>
      </c>
      <c r="E11" s="11">
        <f>9+17+13</f>
        <v>39</v>
      </c>
      <c r="F11" s="11">
        <f>35+34+19</f>
        <v>88</v>
      </c>
      <c r="G11" s="11">
        <f>41+56+56</f>
        <v>153</v>
      </c>
      <c r="H11" s="11">
        <f>115+124+130</f>
        <v>369</v>
      </c>
      <c r="I11" s="11">
        <f>122+79+118</f>
        <v>319</v>
      </c>
      <c r="J11" s="11">
        <f>139+75+68</f>
        <v>282</v>
      </c>
      <c r="K11" s="11">
        <f>72+105+103</f>
        <v>280</v>
      </c>
      <c r="M11" s="10">
        <f>SUM(D11:E11)</f>
        <v>42</v>
      </c>
      <c r="N11" s="10">
        <f>+SUM(F11:I11)</f>
        <v>929</v>
      </c>
    </row>
    <row r="12" spans="2:18" ht="12" x14ac:dyDescent="0.35">
      <c r="B12" t="s">
        <v>588</v>
      </c>
      <c r="D12" s="25">
        <f t="shared" ref="D12:K12" si="1">+$N11</f>
        <v>929</v>
      </c>
      <c r="E12" s="25">
        <f t="shared" si="1"/>
        <v>929</v>
      </c>
      <c r="F12" s="25">
        <f t="shared" si="1"/>
        <v>929</v>
      </c>
      <c r="G12" s="25">
        <f t="shared" si="1"/>
        <v>929</v>
      </c>
      <c r="H12" s="25">
        <f t="shared" si="1"/>
        <v>929</v>
      </c>
      <c r="I12" s="25">
        <f t="shared" si="1"/>
        <v>929</v>
      </c>
      <c r="J12" s="25">
        <f t="shared" si="1"/>
        <v>929</v>
      </c>
      <c r="K12" s="25">
        <f t="shared" si="1"/>
        <v>929</v>
      </c>
      <c r="L12" s="16"/>
      <c r="M12" s="25">
        <f>+$N11</f>
        <v>929</v>
      </c>
      <c r="N12" s="25">
        <f>+$N11</f>
        <v>929</v>
      </c>
    </row>
    <row r="13" spans="2:18" ht="10.15" x14ac:dyDescent="0.2">
      <c r="B13" s="4" t="s">
        <v>587</v>
      </c>
      <c r="D13" s="264">
        <f t="shared" ref="D13:K13" si="2">+D11/D12</f>
        <v>3.2292787944025836E-3</v>
      </c>
      <c r="E13" s="264">
        <f t="shared" si="2"/>
        <v>4.1980624327233582E-2</v>
      </c>
      <c r="F13" s="264">
        <f t="shared" si="2"/>
        <v>9.4725511302475779E-2</v>
      </c>
      <c r="G13" s="264">
        <f t="shared" si="2"/>
        <v>0.16469321851453175</v>
      </c>
      <c r="H13" s="264">
        <f t="shared" si="2"/>
        <v>0.39720129171151775</v>
      </c>
      <c r="I13" s="264">
        <f t="shared" si="2"/>
        <v>0.34337997847147472</v>
      </c>
      <c r="J13" s="264">
        <f t="shared" si="2"/>
        <v>0.30355220667384286</v>
      </c>
      <c r="K13" s="264">
        <f t="shared" si="2"/>
        <v>0.30139935414424113</v>
      </c>
      <c r="M13" s="264">
        <f>+M11/M12</f>
        <v>4.5209903121636169E-2</v>
      </c>
      <c r="N13" s="264">
        <f>+N11/N12</f>
        <v>1</v>
      </c>
    </row>
    <row r="14" spans="2:18" ht="12" x14ac:dyDescent="0.35">
      <c r="B14" s="184" t="s">
        <v>586</v>
      </c>
      <c r="D14" s="25">
        <f t="shared" ref="D14:K14" si="3">+$N14</f>
        <v>2900</v>
      </c>
      <c r="E14" s="25">
        <f t="shared" si="3"/>
        <v>2900</v>
      </c>
      <c r="F14" s="25">
        <f t="shared" si="3"/>
        <v>2900</v>
      </c>
      <c r="G14" s="25">
        <f t="shared" si="3"/>
        <v>2900</v>
      </c>
      <c r="H14" s="25">
        <f t="shared" si="3"/>
        <v>2900</v>
      </c>
      <c r="I14" s="25">
        <f t="shared" si="3"/>
        <v>2900</v>
      </c>
      <c r="J14" s="25">
        <f t="shared" si="3"/>
        <v>2900</v>
      </c>
      <c r="K14" s="25">
        <f t="shared" si="3"/>
        <v>2900</v>
      </c>
      <c r="L14" s="16"/>
      <c r="M14" s="25">
        <f>+$N14</f>
        <v>2900</v>
      </c>
      <c r="N14" s="268">
        <v>2900</v>
      </c>
    </row>
    <row r="15" spans="2:18" s="1" customFormat="1" ht="10.15" x14ac:dyDescent="0.2">
      <c r="B15" s="38" t="s">
        <v>585</v>
      </c>
      <c r="D15" s="48">
        <f t="shared" ref="D15:K15" si="4">+D13*D14</f>
        <v>9.3649085037674915</v>
      </c>
      <c r="E15" s="48">
        <f t="shared" si="4"/>
        <v>121.74381054897739</v>
      </c>
      <c r="F15" s="48">
        <f t="shared" si="4"/>
        <v>274.70398277717976</v>
      </c>
      <c r="G15" s="48">
        <f t="shared" si="4"/>
        <v>477.61033369214209</v>
      </c>
      <c r="H15" s="48">
        <f t="shared" si="4"/>
        <v>1151.8837459634015</v>
      </c>
      <c r="I15" s="48">
        <f t="shared" si="4"/>
        <v>995.8019375672767</v>
      </c>
      <c r="J15" s="48">
        <f t="shared" si="4"/>
        <v>880.30139935414434</v>
      </c>
      <c r="K15" s="48">
        <f t="shared" si="4"/>
        <v>874.05812701829927</v>
      </c>
      <c r="M15" s="48">
        <f>+M13*M14</f>
        <v>131.1087190527449</v>
      </c>
      <c r="N15" s="48">
        <f>+N13*N14</f>
        <v>2900</v>
      </c>
    </row>
    <row r="16" spans="2:18" x14ac:dyDescent="0.2">
      <c r="B16" s="285" t="s">
        <v>584</v>
      </c>
      <c r="C16" s="286"/>
      <c r="D16" s="287">
        <f t="shared" ref="D16:K16" si="5">+D15*D36</f>
        <v>64.083953219745382</v>
      </c>
      <c r="E16" s="287">
        <f t="shared" si="5"/>
        <v>865.11242093840087</v>
      </c>
      <c r="F16" s="287">
        <f t="shared" si="5"/>
        <v>1879.3201350270897</v>
      </c>
      <c r="G16" s="287">
        <f t="shared" si="5"/>
        <v>3346.7194568855871</v>
      </c>
      <c r="H16" s="287">
        <f t="shared" si="5"/>
        <v>8343.0539670691451</v>
      </c>
      <c r="I16" s="287">
        <f t="shared" si="5"/>
        <v>7190.7883102422447</v>
      </c>
      <c r="J16" s="287">
        <f t="shared" si="5"/>
        <v>6319.9635244286656</v>
      </c>
      <c r="K16" s="287">
        <f t="shared" si="5"/>
        <v>6329.5348537083919</v>
      </c>
      <c r="L16" s="286"/>
      <c r="M16" s="287">
        <f>+SUM(D16:E16)</f>
        <v>929.19637415814623</v>
      </c>
      <c r="N16" s="288">
        <f>+SUM(F16:I16)</f>
        <v>20759.881869224067</v>
      </c>
      <c r="R16" s="33"/>
    </row>
    <row r="17" spans="1:14" x14ac:dyDescent="0.2">
      <c r="B17" s="19"/>
      <c r="D17" s="265"/>
      <c r="E17" s="265"/>
      <c r="F17" s="265"/>
      <c r="G17" s="265"/>
      <c r="H17" s="265"/>
      <c r="I17" s="265"/>
      <c r="J17" s="265"/>
      <c r="K17" s="265"/>
      <c r="M17" s="265"/>
      <c r="N17" s="265"/>
    </row>
    <row r="18" spans="1:14" x14ac:dyDescent="0.2">
      <c r="B18" s="24" t="s">
        <v>609</v>
      </c>
      <c r="D18" s="265"/>
      <c r="E18" s="265"/>
      <c r="F18" s="265"/>
      <c r="G18" s="265"/>
      <c r="H18" s="265"/>
      <c r="I18" s="265"/>
      <c r="J18" s="265"/>
      <c r="K18" s="265"/>
      <c r="M18" s="265"/>
      <c r="N18" s="265"/>
    </row>
    <row r="19" spans="1:14" x14ac:dyDescent="0.2">
      <c r="B19" s="184" t="s">
        <v>604</v>
      </c>
      <c r="D19" s="274">
        <v>0.31324820961540628</v>
      </c>
      <c r="E19" s="274">
        <v>0.13289745672340256</v>
      </c>
      <c r="F19" s="274">
        <v>8.8618346255060473E-2</v>
      </c>
      <c r="G19" s="274">
        <v>6.9370341491537535E-2</v>
      </c>
      <c r="H19" s="274">
        <v>5.0301977000646356E-2</v>
      </c>
      <c r="I19" s="274">
        <v>4.51765994563742E-2</v>
      </c>
      <c r="J19" s="274">
        <v>3.6197044967499731E-2</v>
      </c>
      <c r="K19" s="274">
        <v>2.814565188483318E-2</v>
      </c>
      <c r="M19" s="244">
        <f>+M21-M20</f>
        <v>0.13591344716460979</v>
      </c>
      <c r="N19" s="244">
        <f>+N21-N20</f>
        <v>5.305255939541198E-2</v>
      </c>
    </row>
    <row r="20" spans="1:14" ht="13.5" x14ac:dyDescent="0.35">
      <c r="B20" s="184" t="s">
        <v>605</v>
      </c>
      <c r="D20" s="275">
        <v>0</v>
      </c>
      <c r="E20" s="275">
        <v>0</v>
      </c>
      <c r="F20" s="275">
        <v>0.02</v>
      </c>
      <c r="G20" s="275">
        <v>0.02</v>
      </c>
      <c r="H20" s="275">
        <f>+G20-0.25%</f>
        <v>1.7500000000000002E-2</v>
      </c>
      <c r="I20" s="275">
        <f t="shared" ref="I20:K20" si="6">+H20-0.25%</f>
        <v>1.5000000000000001E-2</v>
      </c>
      <c r="J20" s="275">
        <f t="shared" si="6"/>
        <v>1.2500000000000001E-2</v>
      </c>
      <c r="K20" s="275">
        <f t="shared" si="6"/>
        <v>0.01</v>
      </c>
      <c r="M20" s="276">
        <f>+SUMPRODUCT(D20:E20,D22:E22)/M22</f>
        <v>0</v>
      </c>
      <c r="N20" s="276">
        <f>+SUMPRODUCT(F20:I20,F22:I22)/N22</f>
        <v>1.6899016515394369E-2</v>
      </c>
    </row>
    <row r="21" spans="1:14" x14ac:dyDescent="0.2">
      <c r="B21" s="4" t="s">
        <v>610</v>
      </c>
      <c r="D21" s="244">
        <f>SUM(D19:D20)</f>
        <v>0.31324820961540628</v>
      </c>
      <c r="E21" s="244">
        <f t="shared" ref="E21:K21" si="7">SUM(E19:E20)</f>
        <v>0.13289745672340256</v>
      </c>
      <c r="F21" s="244">
        <f t="shared" si="7"/>
        <v>0.10861834625506048</v>
      </c>
      <c r="G21" s="244">
        <f t="shared" si="7"/>
        <v>8.9370341491537539E-2</v>
      </c>
      <c r="H21" s="244">
        <f t="shared" si="7"/>
        <v>6.7801977000646357E-2</v>
      </c>
      <c r="I21" s="244">
        <f t="shared" si="7"/>
        <v>6.01765994563742E-2</v>
      </c>
      <c r="J21" s="244">
        <f t="shared" si="7"/>
        <v>4.8697044967499728E-2</v>
      </c>
      <c r="K21" s="244">
        <f t="shared" si="7"/>
        <v>3.8145651884833182E-2</v>
      </c>
      <c r="M21" s="244">
        <f>+M23/M22</f>
        <v>0.13591344716460979</v>
      </c>
      <c r="N21" s="244">
        <f>+N23/N22</f>
        <v>6.9951575910806349E-2</v>
      </c>
    </row>
    <row r="22" spans="1:14" ht="13.5" x14ac:dyDescent="0.35">
      <c r="B22" s="184" t="s">
        <v>606</v>
      </c>
      <c r="D22" s="15">
        <f t="shared" ref="D22:K22" si="8">+D35/(1-D21)</f>
        <v>4.8484146262054182</v>
      </c>
      <c r="E22" s="15">
        <f t="shared" si="8"/>
        <v>285.07797778594835</v>
      </c>
      <c r="F22" s="15">
        <f t="shared" si="8"/>
        <v>810.05325835056112</v>
      </c>
      <c r="G22" s="15">
        <f t="shared" si="8"/>
        <v>2694.9810423125605</v>
      </c>
      <c r="H22" s="15">
        <f t="shared" si="8"/>
        <v>5284.6850422181587</v>
      </c>
      <c r="I22" s="15">
        <f t="shared" si="8"/>
        <v>7395.9661736440366</v>
      </c>
      <c r="J22" s="15">
        <f t="shared" si="8"/>
        <v>8131.4233644189289</v>
      </c>
      <c r="K22" s="15">
        <f t="shared" si="8"/>
        <v>9650.109726268689</v>
      </c>
      <c r="M22" s="15">
        <f>+SUM(D22:E22)</f>
        <v>289.92639241215375</v>
      </c>
      <c r="N22" s="15">
        <f>+SUM(F22:I22)</f>
        <v>16185.685516525318</v>
      </c>
    </row>
    <row r="23" spans="1:14" s="1" customFormat="1" x14ac:dyDescent="0.2">
      <c r="B23" s="38" t="s">
        <v>607</v>
      </c>
      <c r="D23" s="48">
        <f>+D21*D22</f>
        <v>1.5187572011319965</v>
      </c>
      <c r="E23" s="48">
        <f t="shared" ref="E23:K23" si="9">+E21*E22</f>
        <v>37.886138215603189</v>
      </c>
      <c r="F23" s="48">
        <f t="shared" si="9"/>
        <v>87.986645300561207</v>
      </c>
      <c r="G23" s="48">
        <f t="shared" si="9"/>
        <v>240.85137606469331</v>
      </c>
      <c r="H23" s="48">
        <f t="shared" si="9"/>
        <v>358.31209368813541</v>
      </c>
      <c r="I23" s="48">
        <f t="shared" si="9"/>
        <v>445.06409402426971</v>
      </c>
      <c r="J23" s="48">
        <f t="shared" si="9"/>
        <v>395.97628922688654</v>
      </c>
      <c r="K23" s="48">
        <f t="shared" si="9"/>
        <v>368.10972626868823</v>
      </c>
      <c r="M23" s="48">
        <f>+SUM(D23:E23)</f>
        <v>39.404895416735187</v>
      </c>
      <c r="N23" s="48">
        <f>+SUM(F23:I23)</f>
        <v>1132.2142090776597</v>
      </c>
    </row>
    <row r="24" spans="1:14" s="1" customFormat="1" x14ac:dyDescent="0.2">
      <c r="B24" s="285" t="s">
        <v>612</v>
      </c>
      <c r="C24" s="286"/>
      <c r="D24" s="287">
        <f t="shared" ref="D24:K24" si="10">+D23*D36</f>
        <v>10.392836768275886</v>
      </c>
      <c r="E24" s="287">
        <f t="shared" si="10"/>
        <v>269.21917922489939</v>
      </c>
      <c r="F24" s="287">
        <f t="shared" si="10"/>
        <v>601.93912172345733</v>
      </c>
      <c r="G24" s="287">
        <f t="shared" si="10"/>
        <v>1687.6979613530468</v>
      </c>
      <c r="H24" s="287">
        <f t="shared" si="10"/>
        <v>2595.2420503975331</v>
      </c>
      <c r="I24" s="287">
        <f t="shared" si="10"/>
        <v>3213.853642860638</v>
      </c>
      <c r="J24" s="287">
        <f t="shared" si="10"/>
        <v>2842.8396300274003</v>
      </c>
      <c r="K24" s="287">
        <f t="shared" si="10"/>
        <v>2665.6846614480801</v>
      </c>
      <c r="L24" s="286"/>
      <c r="M24" s="287">
        <f>+M23*M36</f>
        <v>264.65599275130927</v>
      </c>
      <c r="N24" s="288">
        <f>+N23*N36</f>
        <v>8011.3085898494955</v>
      </c>
    </row>
    <row r="25" spans="1:14" x14ac:dyDescent="0.2">
      <c r="B25" s="20"/>
      <c r="D25" s="192"/>
      <c r="E25" s="192"/>
      <c r="F25" s="192"/>
      <c r="G25" s="192"/>
      <c r="H25" s="192"/>
      <c r="I25" s="192"/>
      <c r="J25" s="192"/>
      <c r="K25" s="192"/>
      <c r="M25" s="179"/>
      <c r="N25" s="179"/>
    </row>
    <row r="26" spans="1:14" x14ac:dyDescent="0.2">
      <c r="B26" s="24" t="s">
        <v>611</v>
      </c>
      <c r="D26" s="192"/>
      <c r="E26" s="192"/>
      <c r="F26" s="192"/>
      <c r="G26" s="192"/>
      <c r="H26" s="192"/>
      <c r="I26" s="192"/>
      <c r="J26" s="192"/>
      <c r="K26" s="192"/>
      <c r="M26" s="179"/>
      <c r="N26" s="179"/>
    </row>
    <row r="27" spans="1:14" x14ac:dyDescent="0.2">
      <c r="B27" t="s">
        <v>585</v>
      </c>
      <c r="D27" s="14">
        <f t="shared" ref="D27:K27" si="11">+D15</f>
        <v>9.3649085037674915</v>
      </c>
      <c r="E27" s="14">
        <f t="shared" si="11"/>
        <v>121.74381054897739</v>
      </c>
      <c r="F27" s="14">
        <f t="shared" si="11"/>
        <v>274.70398277717976</v>
      </c>
      <c r="G27" s="14">
        <f t="shared" si="11"/>
        <v>477.61033369214209</v>
      </c>
      <c r="H27" s="14">
        <f t="shared" si="11"/>
        <v>1151.8837459634015</v>
      </c>
      <c r="I27" s="14">
        <f t="shared" si="11"/>
        <v>995.8019375672767</v>
      </c>
      <c r="J27" s="14">
        <f t="shared" si="11"/>
        <v>880.30139935414434</v>
      </c>
      <c r="K27" s="14">
        <f t="shared" si="11"/>
        <v>874.05812701829927</v>
      </c>
      <c r="M27" s="14">
        <f>+SUM(D27:E27)</f>
        <v>131.10871905274487</v>
      </c>
      <c r="N27" s="14">
        <f>+SUM(F27:I27)</f>
        <v>2900</v>
      </c>
    </row>
    <row r="28" spans="1:14" ht="13.5" x14ac:dyDescent="0.35">
      <c r="B28" t="s">
        <v>607</v>
      </c>
      <c r="D28" s="15">
        <f t="shared" ref="D28:K28" si="12">+D23</f>
        <v>1.5187572011319965</v>
      </c>
      <c r="E28" s="15">
        <f t="shared" si="12"/>
        <v>37.886138215603189</v>
      </c>
      <c r="F28" s="15">
        <f t="shared" si="12"/>
        <v>87.986645300561207</v>
      </c>
      <c r="G28" s="15">
        <f t="shared" si="12"/>
        <v>240.85137606469331</v>
      </c>
      <c r="H28" s="15">
        <f t="shared" si="12"/>
        <v>358.31209368813541</v>
      </c>
      <c r="I28" s="15">
        <f t="shared" si="12"/>
        <v>445.06409402426971</v>
      </c>
      <c r="J28" s="15">
        <f t="shared" si="12"/>
        <v>395.97628922688654</v>
      </c>
      <c r="K28" s="15">
        <f t="shared" si="12"/>
        <v>368.10972626868823</v>
      </c>
      <c r="M28" s="15">
        <f>+SUM(D28:E28)</f>
        <v>39.404895416735187</v>
      </c>
      <c r="N28" s="25">
        <f>+SUM(F28:I28)</f>
        <v>1132.2142090776597</v>
      </c>
    </row>
    <row r="29" spans="1:14" x14ac:dyDescent="0.2">
      <c r="B29" s="38" t="s">
        <v>600</v>
      </c>
      <c r="D29" s="48">
        <f>SUM(D27:D28)</f>
        <v>10.883665704899489</v>
      </c>
      <c r="E29" s="48">
        <f t="shared" ref="E29:K29" si="13">SUM(E27:E28)</f>
        <v>159.62994876458058</v>
      </c>
      <c r="F29" s="48">
        <f t="shared" si="13"/>
        <v>362.69062807774094</v>
      </c>
      <c r="G29" s="48">
        <f t="shared" si="13"/>
        <v>718.46170975683538</v>
      </c>
      <c r="H29" s="48">
        <f t="shared" si="13"/>
        <v>1510.195839651537</v>
      </c>
      <c r="I29" s="48">
        <f t="shared" si="13"/>
        <v>1440.8660315915463</v>
      </c>
      <c r="J29" s="48">
        <f t="shared" si="13"/>
        <v>1276.2776885810308</v>
      </c>
      <c r="K29" s="48">
        <f t="shared" si="13"/>
        <v>1242.1678532869876</v>
      </c>
      <c r="M29" s="48">
        <f>+SUM(D29:E29)</f>
        <v>170.51361446948007</v>
      </c>
      <c r="N29" s="48">
        <f>+SUM(F29:I29)</f>
        <v>4032.2142090776597</v>
      </c>
    </row>
    <row r="30" spans="1:14" x14ac:dyDescent="0.2">
      <c r="B30" s="281" t="s">
        <v>601</v>
      </c>
      <c r="C30" s="282"/>
      <c r="D30" s="283">
        <f>+D16+D24</f>
        <v>74.476789988021267</v>
      </c>
      <c r="E30" s="283">
        <f t="shared" ref="E30:K30" si="14">+E16+E24</f>
        <v>1134.3316001633002</v>
      </c>
      <c r="F30" s="283">
        <f t="shared" si="14"/>
        <v>2481.2592567505471</v>
      </c>
      <c r="G30" s="283">
        <f t="shared" si="14"/>
        <v>5034.4174182386341</v>
      </c>
      <c r="H30" s="283">
        <f t="shared" si="14"/>
        <v>10938.296017466679</v>
      </c>
      <c r="I30" s="283">
        <f t="shared" si="14"/>
        <v>10404.641953102882</v>
      </c>
      <c r="J30" s="283">
        <f t="shared" si="14"/>
        <v>9162.8031544560654</v>
      </c>
      <c r="K30" s="283">
        <f t="shared" si="14"/>
        <v>8995.219515156472</v>
      </c>
      <c r="L30" s="282"/>
      <c r="M30" s="283">
        <f>+SUM(D30:E30)</f>
        <v>1208.8083901513214</v>
      </c>
      <c r="N30" s="284">
        <f>+SUM(F30:I30)</f>
        <v>28858.614645558744</v>
      </c>
    </row>
    <row r="31" spans="1:14" x14ac:dyDescent="0.2">
      <c r="A31" t="s">
        <v>0</v>
      </c>
      <c r="B31" s="20" t="s">
        <v>614</v>
      </c>
      <c r="D31" s="271">
        <f>_xll.VAData("PDD_US",D6,"Selling and marketing expenses - Temu","consensus.vaactuals")</f>
        <v>2194.0173550724649</v>
      </c>
      <c r="E31" s="271">
        <f>_xll.VAData("PDD_US",E6,"Selling and marketing expenses - Temu","consensus.vaactuals")</f>
        <v>3406.1913374999999</v>
      </c>
      <c r="F31" s="271">
        <f>_xll.VAData("PDD_US",F6,"Selling and marketing expenses - Temu","consensus.vaactuals")</f>
        <v>2963.8879600000005</v>
      </c>
      <c r="G31" s="271">
        <f>_xll.VAData("PDD_US",G6,"Selling and marketing expenses - Temu","consensus.vaactuals")</f>
        <v>4346.3544374999992</v>
      </c>
      <c r="H31" s="271">
        <f>_xll.VAData("PDD_US",H6,"Selling and marketing expenses - Temu","consensus.vaactuals")</f>
        <v>7995.6937500000058</v>
      </c>
      <c r="I31" s="271">
        <f>_xll.VAData("PDD_US",I6,"Selling and marketing expenses - Temu","consensus.vaactuals")</f>
        <v>11053.169398685604</v>
      </c>
      <c r="J31" s="271">
        <f>_xll.VAData("PDD_US",J6,"Selling and marketing expenses - Temu","consensus.vaactuals")</f>
        <v>9687.9826776603004</v>
      </c>
      <c r="K31" s="271">
        <f>_xll.VAData("PDD_US",K6,"Selling and marketing expenses - Temu","consensus.vaactuals")</f>
        <v>10865.806458957266</v>
      </c>
      <c r="M31" s="53">
        <f>+SUM(D31:E31)</f>
        <v>5600.2086925724652</v>
      </c>
      <c r="N31" s="53">
        <f>+SUM(F31:I31)</f>
        <v>26359.105546185609</v>
      </c>
    </row>
    <row r="32" spans="1:14" x14ac:dyDescent="0.2">
      <c r="B32" s="20"/>
      <c r="D32" s="271"/>
      <c r="E32" s="271"/>
      <c r="F32" s="271"/>
      <c r="G32" s="271"/>
      <c r="H32" s="271"/>
      <c r="I32" s="271"/>
      <c r="J32" s="271"/>
      <c r="K32" s="271"/>
      <c r="M32" s="53"/>
      <c r="N32" s="53"/>
    </row>
    <row r="33" spans="2:16" x14ac:dyDescent="0.2">
      <c r="B33" s="20"/>
      <c r="D33" s="271"/>
      <c r="E33" s="271"/>
      <c r="F33" s="271"/>
      <c r="G33" s="271"/>
      <c r="H33" s="271"/>
      <c r="I33" s="271"/>
      <c r="J33" s="271"/>
      <c r="K33" s="271"/>
      <c r="M33" s="53"/>
      <c r="N33" s="53"/>
    </row>
    <row r="34" spans="2:16" x14ac:dyDescent="0.2">
      <c r="B34" s="277" t="s">
        <v>613</v>
      </c>
      <c r="D34" s="271"/>
      <c r="E34" s="271"/>
      <c r="F34" s="271"/>
      <c r="G34" s="271"/>
      <c r="H34" s="271"/>
      <c r="I34" s="271"/>
      <c r="J34" s="271"/>
      <c r="K34" s="271"/>
      <c r="M34" s="53"/>
      <c r="N34" s="53"/>
    </row>
    <row r="35" spans="2:16" x14ac:dyDescent="0.2">
      <c r="B35" t="s">
        <v>629</v>
      </c>
      <c r="D35" s="160">
        <f>+'Historical Financials'!Z242*1000</f>
        <v>3.3296574250734214</v>
      </c>
      <c r="E35" s="160">
        <f>+'Historical Financials'!AA242*1000</f>
        <v>247.19183957034517</v>
      </c>
      <c r="F35" s="160">
        <f>+'Historical Financials'!AB242*1000</f>
        <v>722.06661304999989</v>
      </c>
      <c r="G35" s="160">
        <f>+'Historical Financials'!AC242*1000</f>
        <v>2454.1296662478671</v>
      </c>
      <c r="H35" s="160">
        <f>+'Historical Financials'!AD242*1000</f>
        <v>4926.3729485300228</v>
      </c>
      <c r="I35" s="160">
        <f>+'Historical Financials'!AE242*1000</f>
        <v>6950.9020796197665</v>
      </c>
      <c r="J35" s="160">
        <f>+'Historical Financials'!AF242*1000</f>
        <v>7735.4470751920426</v>
      </c>
      <c r="K35" s="160">
        <f>+'Historical Financials'!AG242*1000</f>
        <v>9282</v>
      </c>
      <c r="M35" s="14">
        <f>+SUM(D35:E35)</f>
        <v>250.5214969954186</v>
      </c>
      <c r="N35" s="179">
        <f>+SUM(F35:I35)</f>
        <v>15053.471307447657</v>
      </c>
    </row>
    <row r="36" spans="2:16" x14ac:dyDescent="0.2">
      <c r="B36" t="s">
        <v>308</v>
      </c>
      <c r="D36" s="278">
        <f>1/'Historical Financials'!Z541</f>
        <v>6.8429876484072949</v>
      </c>
      <c r="E36" s="278">
        <f>1/'Historical Financials'!AA541</f>
        <v>7.1060074186717452</v>
      </c>
      <c r="F36" s="278">
        <f>1/'Historical Financials'!AB541</f>
        <v>6.8412555072106835</v>
      </c>
      <c r="G36" s="278">
        <f>1/'Historical Financials'!AC541</f>
        <v>7.0072174339569759</v>
      </c>
      <c r="H36" s="278">
        <f>1/'Historical Financials'!AD541</f>
        <v>7.2429652699815312</v>
      </c>
      <c r="I36" s="278">
        <f>1/'Historical Financials'!AE541</f>
        <v>7.2211029512647764</v>
      </c>
      <c r="J36" s="278">
        <f>1/'Historical Financials'!AF541</f>
        <v>7.1793178212206277</v>
      </c>
      <c r="K36" s="278">
        <f>1/'Historical Financials'!AG541</f>
        <v>7.2415491121860791</v>
      </c>
      <c r="M36" s="278">
        <f>1/'Historical Financials'!AU541</f>
        <v>6.7163226790067903</v>
      </c>
      <c r="N36" s="278">
        <f>1/'Historical Financials'!AV541</f>
        <v>7.0757887735535316</v>
      </c>
    </row>
    <row r="37" spans="2:16" x14ac:dyDescent="0.2">
      <c r="B37" s="20"/>
      <c r="D37" s="271"/>
      <c r="E37" s="271"/>
      <c r="F37" s="271"/>
      <c r="G37" s="271"/>
      <c r="H37" s="271"/>
      <c r="I37" s="271"/>
      <c r="J37" s="271"/>
      <c r="K37" s="271"/>
      <c r="M37" s="53"/>
      <c r="N37" s="53"/>
    </row>
    <row r="39" spans="2:16" ht="10.15" x14ac:dyDescent="0.2">
      <c r="B39" s="6" t="s">
        <v>583</v>
      </c>
      <c r="C39" s="5"/>
    </row>
    <row r="41" spans="2:16" ht="10.15" x14ac:dyDescent="0.2">
      <c r="B41" s="24" t="s">
        <v>582</v>
      </c>
    </row>
    <row r="42" spans="2:16" ht="10.15" x14ac:dyDescent="0.2">
      <c r="B42" t="s">
        <v>581</v>
      </c>
    </row>
    <row r="44" spans="2:16" x14ac:dyDescent="0.2">
      <c r="B44" s="24" t="s">
        <v>580</v>
      </c>
    </row>
    <row r="45" spans="2:16" ht="10.15" customHeight="1" x14ac:dyDescent="0.2">
      <c r="B45" s="295" t="s">
        <v>579</v>
      </c>
      <c r="C45" s="295"/>
      <c r="D45" s="295"/>
      <c r="E45" s="295"/>
      <c r="F45" s="295"/>
      <c r="G45" s="295"/>
      <c r="H45" s="295"/>
      <c r="I45" s="295"/>
      <c r="J45" s="295"/>
      <c r="K45" s="295"/>
      <c r="L45" s="295"/>
      <c r="M45" s="295"/>
      <c r="N45" s="295"/>
      <c r="O45" s="295"/>
      <c r="P45" s="295"/>
    </row>
    <row r="46" spans="2:16" x14ac:dyDescent="0.2">
      <c r="B46" s="295"/>
      <c r="C46" s="295"/>
      <c r="D46" s="295"/>
      <c r="E46" s="295"/>
      <c r="F46" s="295"/>
      <c r="G46" s="295"/>
      <c r="H46" s="295"/>
      <c r="I46" s="295"/>
      <c r="J46" s="295"/>
      <c r="K46" s="295"/>
      <c r="L46" s="295"/>
      <c r="M46" s="295"/>
      <c r="N46" s="295"/>
      <c r="O46" s="295"/>
      <c r="P46" s="295"/>
    </row>
    <row r="47" spans="2:16" x14ac:dyDescent="0.2">
      <c r="B47" s="295"/>
      <c r="C47" s="295"/>
      <c r="D47" s="295"/>
      <c r="E47" s="295"/>
      <c r="F47" s="295"/>
      <c r="G47" s="295"/>
      <c r="H47" s="295"/>
      <c r="I47" s="295"/>
      <c r="J47" s="295"/>
      <c r="K47" s="295"/>
      <c r="L47" s="295"/>
      <c r="M47" s="295"/>
      <c r="N47" s="295"/>
      <c r="O47" s="295"/>
      <c r="P47" s="295"/>
    </row>
    <row r="48" spans="2:16" ht="10.15" x14ac:dyDescent="0.2">
      <c r="B48" s="262"/>
      <c r="C48" s="262"/>
      <c r="D48" s="262"/>
      <c r="E48" s="262"/>
      <c r="F48" s="262"/>
      <c r="G48" s="262"/>
      <c r="H48" s="262"/>
      <c r="I48" s="262"/>
      <c r="J48" s="262"/>
      <c r="K48" s="262"/>
      <c r="L48" s="262"/>
      <c r="M48" s="262"/>
      <c r="N48" s="262"/>
      <c r="O48" s="262"/>
      <c r="P48" s="262"/>
    </row>
    <row r="49" spans="2:16" ht="10.15" x14ac:dyDescent="0.2">
      <c r="B49" s="266" t="s">
        <v>66</v>
      </c>
      <c r="C49" s="262"/>
      <c r="D49" s="262"/>
      <c r="E49" s="262"/>
      <c r="F49" s="262"/>
      <c r="G49" s="262"/>
      <c r="H49" s="262"/>
      <c r="I49" s="262"/>
      <c r="J49" s="262"/>
      <c r="K49" s="262"/>
      <c r="L49" s="262"/>
      <c r="M49" s="262"/>
      <c r="N49" s="262"/>
      <c r="O49" s="262"/>
      <c r="P49" s="262"/>
    </row>
    <row r="50" spans="2:16" ht="10.15" x14ac:dyDescent="0.2">
      <c r="B50" s="267" t="s">
        <v>592</v>
      </c>
      <c r="C50" s="262"/>
      <c r="D50" s="146">
        <v>1900</v>
      </c>
      <c r="E50" s="146"/>
      <c r="F50" s="146"/>
      <c r="G50" s="262"/>
      <c r="H50" s="262"/>
      <c r="I50" s="262"/>
      <c r="J50" s="262"/>
      <c r="K50" s="262"/>
      <c r="L50" s="262"/>
      <c r="M50" s="262"/>
      <c r="N50" s="262"/>
      <c r="O50" s="262"/>
      <c r="P50" s="262"/>
    </row>
    <row r="51" spans="2:16" ht="12" x14ac:dyDescent="0.35">
      <c r="B51" s="267" t="s">
        <v>595</v>
      </c>
      <c r="C51" s="262"/>
      <c r="D51" s="269">
        <v>0.65</v>
      </c>
      <c r="E51" s="269"/>
      <c r="F51" s="269"/>
      <c r="G51" s="262"/>
      <c r="H51" s="262"/>
      <c r="I51" s="262"/>
      <c r="J51" s="262"/>
      <c r="K51" s="262"/>
      <c r="L51" s="262"/>
      <c r="M51" s="262"/>
      <c r="N51" s="262"/>
      <c r="O51" s="262"/>
      <c r="P51" s="262"/>
    </row>
    <row r="52" spans="2:16" ht="10.15" x14ac:dyDescent="0.2">
      <c r="B52" s="270" t="s">
        <v>596</v>
      </c>
      <c r="C52" s="262"/>
      <c r="D52" s="179">
        <f>D50/D51</f>
        <v>2923.0769230769229</v>
      </c>
      <c r="E52" s="179"/>
      <c r="F52" s="179"/>
      <c r="G52" s="262"/>
      <c r="H52" s="262"/>
      <c r="I52" s="262"/>
      <c r="J52" s="262"/>
      <c r="K52" s="262"/>
      <c r="L52" s="262"/>
      <c r="M52" s="262"/>
      <c r="N52" s="262"/>
      <c r="O52" s="262"/>
      <c r="P52" s="262"/>
    </row>
    <row r="53" spans="2:16" ht="10.15" x14ac:dyDescent="0.2">
      <c r="B53" s="263"/>
      <c r="C53" s="263"/>
      <c r="D53" s="263"/>
      <c r="E53" s="263"/>
      <c r="F53" s="263"/>
      <c r="G53" s="263"/>
      <c r="H53" s="263"/>
      <c r="I53" s="263"/>
      <c r="J53" s="263"/>
      <c r="K53" s="263"/>
      <c r="L53" s="263"/>
      <c r="M53" s="263"/>
      <c r="N53" s="263"/>
      <c r="O53" s="263"/>
      <c r="P53" s="263"/>
    </row>
    <row r="54" spans="2:16" ht="10.15" x14ac:dyDescent="0.2">
      <c r="B54" s="24" t="s">
        <v>578</v>
      </c>
    </row>
    <row r="55" spans="2:16" ht="10.15" customHeight="1" x14ac:dyDescent="0.2">
      <c r="B55" s="295" t="s">
        <v>577</v>
      </c>
      <c r="C55" s="295"/>
      <c r="D55" s="295"/>
      <c r="E55" s="295"/>
      <c r="F55" s="295"/>
      <c r="G55" s="295"/>
      <c r="H55" s="295"/>
      <c r="I55" s="295"/>
      <c r="J55" s="295"/>
      <c r="K55" s="295"/>
      <c r="L55" s="295"/>
      <c r="M55" s="295"/>
      <c r="N55" s="295"/>
      <c r="O55" s="295"/>
      <c r="P55" s="295"/>
    </row>
    <row r="56" spans="2:16" x14ac:dyDescent="0.2">
      <c r="B56" s="295"/>
      <c r="C56" s="295"/>
      <c r="D56" s="295"/>
      <c r="E56" s="295"/>
      <c r="F56" s="295"/>
      <c r="G56" s="295"/>
      <c r="H56" s="295"/>
      <c r="I56" s="295"/>
      <c r="J56" s="295"/>
      <c r="K56" s="295"/>
      <c r="L56" s="295"/>
      <c r="M56" s="295"/>
      <c r="N56" s="295"/>
      <c r="O56" s="295"/>
      <c r="P56" s="295"/>
    </row>
    <row r="57" spans="2:16" x14ac:dyDescent="0.2">
      <c r="B57" s="295"/>
      <c r="C57" s="295"/>
      <c r="D57" s="295"/>
      <c r="E57" s="295"/>
      <c r="F57" s="295"/>
      <c r="G57" s="295"/>
      <c r="H57" s="295"/>
      <c r="I57" s="295"/>
      <c r="J57" s="295"/>
      <c r="K57" s="295"/>
      <c r="L57" s="295"/>
      <c r="M57" s="295"/>
      <c r="N57" s="295"/>
      <c r="O57" s="295"/>
      <c r="P57" s="295"/>
    </row>
    <row r="59" spans="2:16" ht="10.15" x14ac:dyDescent="0.2">
      <c r="B59" t="s">
        <v>225</v>
      </c>
      <c r="D59" s="11">
        <v>134901</v>
      </c>
    </row>
    <row r="60" spans="2:16" ht="12" x14ac:dyDescent="0.35">
      <c r="B60" t="s">
        <v>576</v>
      </c>
      <c r="D60" s="261">
        <v>0.1</v>
      </c>
    </row>
    <row r="61" spans="2:16" ht="10.15" x14ac:dyDescent="0.2">
      <c r="B61" s="4" t="s">
        <v>575</v>
      </c>
      <c r="D61" s="14">
        <f>+D59*D60</f>
        <v>13490.1</v>
      </c>
    </row>
    <row r="62" spans="2:16" ht="12" x14ac:dyDescent="0.35">
      <c r="B62" t="s">
        <v>574</v>
      </c>
      <c r="D62" s="261">
        <v>0.33</v>
      </c>
    </row>
    <row r="63" spans="2:16" ht="10.15" x14ac:dyDescent="0.2">
      <c r="B63" s="4" t="s">
        <v>573</v>
      </c>
      <c r="D63" s="14">
        <f>+D61*D62</f>
        <v>4451.7330000000002</v>
      </c>
      <c r="E63" s="34" t="s">
        <v>591</v>
      </c>
    </row>
    <row r="65" spans="2:16" ht="10.15" x14ac:dyDescent="0.2">
      <c r="B65" s="24" t="s">
        <v>572</v>
      </c>
    </row>
    <row r="66" spans="2:16" ht="10.15" x14ac:dyDescent="0.2">
      <c r="B66" t="s">
        <v>593</v>
      </c>
      <c r="D66" s="11">
        <f>5+3+3+30+23+24+59+51+78+71+42+62</f>
        <v>451</v>
      </c>
    </row>
    <row r="67" spans="2:16" ht="12" x14ac:dyDescent="0.35">
      <c r="B67" t="s">
        <v>571</v>
      </c>
      <c r="D67" s="13">
        <f>7+5+7+38+42+41+72+71+97+101+75+90</f>
        <v>646</v>
      </c>
    </row>
    <row r="68" spans="2:16" ht="10.15" x14ac:dyDescent="0.2">
      <c r="B68" s="4" t="s">
        <v>570</v>
      </c>
      <c r="D68" s="260">
        <f>+D66/D67</f>
        <v>0.69814241486068107</v>
      </c>
      <c r="E68" s="34" t="s">
        <v>590</v>
      </c>
    </row>
    <row r="69" spans="2:16" ht="10.15" x14ac:dyDescent="0.2">
      <c r="B69" s="4"/>
      <c r="D69" s="260"/>
      <c r="E69" s="34"/>
    </row>
    <row r="70" spans="2:16" ht="10.15" x14ac:dyDescent="0.2">
      <c r="B70" s="24" t="s">
        <v>476</v>
      </c>
      <c r="D70" s="260"/>
      <c r="E70" s="34"/>
    </row>
    <row r="71" spans="2:16" x14ac:dyDescent="0.2">
      <c r="B71" s="295" t="s">
        <v>597</v>
      </c>
      <c r="C71" s="295"/>
      <c r="D71" s="295"/>
      <c r="E71" s="295"/>
      <c r="F71" s="295"/>
      <c r="G71" s="295"/>
      <c r="H71" s="295"/>
      <c r="I71" s="295"/>
      <c r="J71" s="295"/>
      <c r="K71" s="295"/>
      <c r="L71" s="295"/>
      <c r="M71" s="295"/>
      <c r="N71" s="295"/>
      <c r="O71" s="295"/>
      <c r="P71" s="295"/>
    </row>
    <row r="72" spans="2:16" x14ac:dyDescent="0.2">
      <c r="B72" s="295"/>
      <c r="C72" s="295"/>
      <c r="D72" s="295"/>
      <c r="E72" s="295"/>
      <c r="F72" s="295"/>
      <c r="G72" s="295"/>
      <c r="H72" s="295"/>
      <c r="I72" s="295"/>
      <c r="J72" s="295"/>
      <c r="K72" s="295"/>
      <c r="L72" s="295"/>
      <c r="M72" s="295"/>
      <c r="N72" s="295"/>
      <c r="O72" s="295"/>
      <c r="P72" s="295"/>
    </row>
    <row r="73" spans="2:16" x14ac:dyDescent="0.2">
      <c r="B73" s="295"/>
      <c r="C73" s="295"/>
      <c r="D73" s="295"/>
      <c r="E73" s="295"/>
      <c r="F73" s="295"/>
      <c r="G73" s="295"/>
      <c r="H73" s="295"/>
      <c r="I73" s="295"/>
      <c r="J73" s="295"/>
      <c r="K73" s="295"/>
      <c r="L73" s="295"/>
      <c r="M73" s="295"/>
      <c r="N73" s="295"/>
      <c r="O73" s="295"/>
      <c r="P73" s="295"/>
    </row>
  </sheetData>
  <mergeCells count="3">
    <mergeCell ref="B45:P47"/>
    <mergeCell ref="B55:P57"/>
    <mergeCell ref="B71:P73"/>
  </mergeCells>
  <pageMargins left="0.3" right="0.3" top="0.3" bottom="0.3" header="0.3" footer="0.3"/>
  <pageSetup scale="84" orientation="landscape" horizontalDpi="1200" verticalDpi="1200" r:id="rId1"/>
  <headerFooter>
    <oddFooter>Page &amp;P of &amp;N</oddFooter>
  </headerFooter>
  <ignoredErrors>
    <ignoredError sqref="M20:N20"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5807-C00C-402B-8C4C-EBED7A283360}">
  <dimension ref="B2:I10"/>
  <sheetViews>
    <sheetView topLeftCell="C1" zoomScale="130" zoomScaleNormal="130" workbookViewId="0">
      <selection activeCell="I10" sqref="I10"/>
    </sheetView>
  </sheetViews>
  <sheetFormatPr defaultRowHeight="11.25" x14ac:dyDescent="0.2"/>
  <cols>
    <col min="1" max="1" width="2.83203125" customWidth="1"/>
    <col min="2" max="2" width="50.83203125" customWidth="1"/>
    <col min="7" max="7" width="2.83203125" customWidth="1"/>
    <col min="8" max="9" width="50.83203125" customWidth="1"/>
  </cols>
  <sheetData>
    <row r="2" spans="2:9" x14ac:dyDescent="0.2">
      <c r="C2" s="8" t="s">
        <v>623</v>
      </c>
      <c r="D2" s="9"/>
      <c r="E2" s="8" t="s">
        <v>545</v>
      </c>
      <c r="F2" s="9"/>
    </row>
    <row r="3" spans="2:9" ht="13.5" x14ac:dyDescent="0.35">
      <c r="B3" s="51" t="s">
        <v>620</v>
      </c>
      <c r="C3" s="7" t="s">
        <v>472</v>
      </c>
      <c r="D3" s="7" t="s">
        <v>473</v>
      </c>
      <c r="E3" s="7" t="s">
        <v>472</v>
      </c>
      <c r="F3" s="7" t="s">
        <v>473</v>
      </c>
      <c r="H3" s="7" t="s">
        <v>624</v>
      </c>
      <c r="I3" s="7" t="s">
        <v>625</v>
      </c>
    </row>
    <row r="5" spans="2:9" x14ac:dyDescent="0.2">
      <c r="B5" s="24" t="s">
        <v>621</v>
      </c>
    </row>
    <row r="9" spans="2:9" x14ac:dyDescent="0.2">
      <c r="B9" s="24" t="s">
        <v>622</v>
      </c>
    </row>
    <row r="10" spans="2:9" ht="45" x14ac:dyDescent="0.2">
      <c r="B10" s="290" t="s">
        <v>627</v>
      </c>
      <c r="C10" s="291">
        <v>4000</v>
      </c>
      <c r="D10" s="291">
        <v>5000</v>
      </c>
      <c r="E10" s="291">
        <v>4000</v>
      </c>
      <c r="F10" s="291">
        <v>9000</v>
      </c>
      <c r="G10" s="292"/>
      <c r="H10" s="293" t="s">
        <v>626</v>
      </c>
      <c r="I10" s="294" t="s">
        <v>628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A871-7098-428C-B5B5-DE7303552FEA}">
  <dimension ref="A1:P59"/>
  <sheetViews>
    <sheetView showGridLines="0" view="pageBreakPreview" zoomScaleNormal="85" zoomScaleSheetLayoutView="100" workbookViewId="0">
      <selection activeCell="AA13" sqref="AA13"/>
    </sheetView>
  </sheetViews>
  <sheetFormatPr defaultRowHeight="11.25" outlineLevelCol="1" x14ac:dyDescent="0.2"/>
  <cols>
    <col min="1" max="1" width="2.6640625" customWidth="1"/>
    <col min="2" max="2" width="30.6640625" customWidth="1"/>
    <col min="3" max="3" width="2.6640625" customWidth="1"/>
    <col min="4" max="7" width="8.6640625" hidden="1" customWidth="1" outlineLevel="1"/>
    <col min="8" max="8" width="8.6640625" customWidth="1" collapsed="1"/>
    <col min="9" max="11" width="8.6640625" customWidth="1"/>
    <col min="12" max="12" width="2.6640625" customWidth="1"/>
    <col min="13" max="15" width="8.6640625" customWidth="1"/>
    <col min="16" max="16" width="10.6640625" customWidth="1"/>
  </cols>
  <sheetData>
    <row r="1" spans="2:16" ht="10.15" x14ac:dyDescent="0.2">
      <c r="I1" t="s">
        <v>243</v>
      </c>
      <c r="J1" t="s">
        <v>244</v>
      </c>
      <c r="K1" t="s">
        <v>245</v>
      </c>
      <c r="O1" t="s">
        <v>455</v>
      </c>
      <c r="P1" s="59">
        <f ca="1">+O2</f>
        <v>45796</v>
      </c>
    </row>
    <row r="2" spans="2:16" s="1" customFormat="1" ht="10.15" x14ac:dyDescent="0.2">
      <c r="B2" s="1" t="s">
        <v>0</v>
      </c>
      <c r="O2" s="59">
        <f ca="1">+TODAY()</f>
        <v>45796</v>
      </c>
    </row>
    <row r="3" spans="2:16" s="2" customFormat="1" ht="10.15" x14ac:dyDescent="0.2">
      <c r="B3" s="2" t="s">
        <v>456</v>
      </c>
    </row>
    <row r="4" spans="2:16" s="1" customFormat="1" ht="10.15" x14ac:dyDescent="0.2">
      <c r="B4" s="3" t="s">
        <v>109</v>
      </c>
    </row>
    <row r="5" spans="2:16" s="1" customFormat="1" ht="10.15" x14ac:dyDescent="0.2"/>
    <row r="6" spans="2:16" s="1" customFormat="1" ht="10.15" x14ac:dyDescent="0.2">
      <c r="D6" s="8" t="s">
        <v>60</v>
      </c>
      <c r="E6" s="8"/>
      <c r="F6" s="8"/>
      <c r="G6" s="8"/>
      <c r="H6" s="8" t="s">
        <v>60</v>
      </c>
      <c r="I6" s="8"/>
      <c r="J6" s="8"/>
      <c r="K6" s="8"/>
      <c r="M6" s="8" t="s">
        <v>59</v>
      </c>
      <c r="N6" s="8"/>
      <c r="O6" s="8"/>
    </row>
    <row r="7" spans="2:16" ht="12" x14ac:dyDescent="0.35">
      <c r="D7" s="7" t="s">
        <v>46</v>
      </c>
      <c r="E7" s="7" t="s">
        <v>47</v>
      </c>
      <c r="F7" s="7" t="s">
        <v>48</v>
      </c>
      <c r="G7" s="7" t="s">
        <v>241</v>
      </c>
      <c r="H7" s="7" t="s">
        <v>242</v>
      </c>
      <c r="I7" s="7" t="s">
        <v>243</v>
      </c>
      <c r="J7" s="7" t="s">
        <v>49</v>
      </c>
      <c r="K7" s="7" t="s">
        <v>50</v>
      </c>
      <c r="L7" s="7"/>
      <c r="M7" s="7" t="s">
        <v>260</v>
      </c>
      <c r="N7" s="7" t="s">
        <v>58</v>
      </c>
      <c r="O7" s="7" t="s">
        <v>268</v>
      </c>
      <c r="P7" s="7"/>
    </row>
    <row r="9" spans="2:16" ht="10.15" x14ac:dyDescent="0.2">
      <c r="B9" s="6" t="s">
        <v>450</v>
      </c>
      <c r="C9" s="5"/>
    </row>
    <row r="10" spans="2:16" ht="10.15" x14ac:dyDescent="0.2">
      <c r="N10" s="10"/>
    </row>
    <row r="11" spans="2:16" x14ac:dyDescent="0.2">
      <c r="B11" t="s">
        <v>226</v>
      </c>
      <c r="D11" s="160">
        <f>+'Historical Financials'!AB12</f>
        <v>27244.425999999999</v>
      </c>
      <c r="E11" s="160">
        <f>+'Historical Financials'!AC12</f>
        <v>37932.830999999998</v>
      </c>
      <c r="F11" s="160">
        <f>+'Historical Financials'!AD12</f>
        <v>39687.678</v>
      </c>
      <c r="G11" s="160">
        <f>+'Historical Financials'!AE12</f>
        <v>48675.618000000002</v>
      </c>
      <c r="H11" s="160">
        <f>+'Historical Financials'!AF12</f>
        <v>42456.243000000002</v>
      </c>
      <c r="I11" s="160">
        <f>+'Historical Financials'!AG12</f>
        <v>49115.866000000002</v>
      </c>
      <c r="J11" s="160">
        <f>+'Historical Financials'!AH12</f>
        <v>48156.01129980883</v>
      </c>
      <c r="K11" s="160">
        <f>+'Historical Financials'!AI12</f>
        <v>57505.364976837387</v>
      </c>
      <c r="L11" s="160"/>
      <c r="M11" s="160">
        <f>+'Historical Financials'!AV12</f>
        <v>153540.55300000001</v>
      </c>
      <c r="N11" s="160">
        <f>+'Historical Financials'!AW12</f>
        <v>197233.48527664621</v>
      </c>
      <c r="O11" s="160">
        <f>+'Historical Financials'!AX12</f>
        <v>226720.28366435636</v>
      </c>
      <c r="P11" s="160"/>
    </row>
    <row r="12" spans="2:16" ht="13.5" x14ac:dyDescent="0.35">
      <c r="B12" t="s">
        <v>463</v>
      </c>
      <c r="D12" s="161">
        <f>+'Historical Financials'!AB13</f>
        <v>10392.624</v>
      </c>
      <c r="E12" s="161">
        <f>+'Historical Financials'!AC13</f>
        <v>14347.916999999999</v>
      </c>
      <c r="F12" s="161">
        <f>+'Historical Financials'!AD13</f>
        <v>29152.692999999999</v>
      </c>
      <c r="G12" s="161">
        <f>+'Historical Financials'!AE13</f>
        <v>40205.417999999998</v>
      </c>
      <c r="H12" s="161">
        <f>+'Historical Financials'!AF13</f>
        <v>44355.815999999999</v>
      </c>
      <c r="I12" s="161">
        <f>+'Historical Financials'!AG13</f>
        <v>47943.665000000001</v>
      </c>
      <c r="J12" s="161">
        <f>+'Historical Financials'!AH13</f>
        <v>49469.165636813108</v>
      </c>
      <c r="K12" s="161">
        <f>+'Historical Financials'!AI13</f>
        <v>52854.314222277295</v>
      </c>
      <c r="L12" s="161"/>
      <c r="M12" s="161">
        <f>+'Historical Financials'!AV13</f>
        <v>94098.652000000002</v>
      </c>
      <c r="N12" s="161">
        <f>+'Historical Financials'!AW13</f>
        <v>194622.96085909041</v>
      </c>
      <c r="O12" s="161">
        <f>+'Historical Financials'!AX13</f>
        <v>233598.91405159014</v>
      </c>
      <c r="P12" s="161"/>
    </row>
    <row r="13" spans="2:16" ht="10.15" x14ac:dyDescent="0.2">
      <c r="B13" s="4" t="s">
        <v>224</v>
      </c>
      <c r="D13" s="14">
        <f>SUM(D11:D12)</f>
        <v>37637.050000000003</v>
      </c>
      <c r="E13" s="14">
        <f>SUM(E11:E12)</f>
        <v>52280.748</v>
      </c>
      <c r="F13" s="14">
        <f t="shared" ref="F13:H13" si="0">SUM(F11:F12)</f>
        <v>68840.370999999999</v>
      </c>
      <c r="G13" s="14">
        <f t="shared" si="0"/>
        <v>88881.035999999993</v>
      </c>
      <c r="H13" s="14">
        <f t="shared" si="0"/>
        <v>86812.059000000008</v>
      </c>
      <c r="I13" s="14">
        <f>SUM(I11:I12)</f>
        <v>97059.531000000003</v>
      </c>
      <c r="J13" s="14">
        <f t="shared" ref="J13:O13" si="1">SUM(J11:J12)</f>
        <v>97625.176936621938</v>
      </c>
      <c r="K13" s="14">
        <f t="shared" si="1"/>
        <v>110359.67919911467</v>
      </c>
      <c r="L13" s="14"/>
      <c r="M13" s="14">
        <f t="shared" si="1"/>
        <v>247639.20500000002</v>
      </c>
      <c r="N13" s="14">
        <f t="shared" si="1"/>
        <v>391856.44613573665</v>
      </c>
      <c r="O13" s="14">
        <f t="shared" si="1"/>
        <v>460319.19771594647</v>
      </c>
      <c r="P13" s="14"/>
    </row>
    <row r="14" spans="2:16" ht="12" x14ac:dyDescent="0.35">
      <c r="B14" t="s">
        <v>223</v>
      </c>
      <c r="D14" s="161">
        <f>+'Historical Financials'!AB15</f>
        <v>0</v>
      </c>
      <c r="E14" s="161">
        <f>+'Historical Financials'!AC15</f>
        <v>0</v>
      </c>
      <c r="F14" s="161">
        <f>+'Historical Financials'!AD15</f>
        <v>0</v>
      </c>
      <c r="G14" s="161">
        <f>+'Historical Financials'!AE15</f>
        <v>0</v>
      </c>
      <c r="H14" s="161">
        <f>+'Historical Financials'!AF15</f>
        <v>0</v>
      </c>
      <c r="I14" s="161">
        <f>+'Historical Financials'!AG15</f>
        <v>0</v>
      </c>
      <c r="J14" s="161">
        <f>+'Historical Financials'!AH15</f>
        <v>0</v>
      </c>
      <c r="K14" s="161">
        <f>+'Historical Financials'!AI15</f>
        <v>0</v>
      </c>
      <c r="L14" s="161"/>
      <c r="M14" s="161">
        <f>+'Historical Financials'!AV15</f>
        <v>0</v>
      </c>
      <c r="N14" s="161">
        <f>+'Historical Financials'!AW15</f>
        <v>0</v>
      </c>
      <c r="O14" s="161">
        <f>+'Historical Financials'!AX15</f>
        <v>0</v>
      </c>
      <c r="P14" s="161"/>
    </row>
    <row r="15" spans="2:16" x14ac:dyDescent="0.2">
      <c r="B15" s="4" t="s">
        <v>225</v>
      </c>
      <c r="D15" s="14">
        <f>+SUM(D13:D14)</f>
        <v>37637.050000000003</v>
      </c>
      <c r="E15" s="14">
        <f>+SUM(E13:E14)</f>
        <v>52280.748</v>
      </c>
      <c r="F15" s="14">
        <f t="shared" ref="F15:H15" si="2">+SUM(F13:F14)</f>
        <v>68840.370999999999</v>
      </c>
      <c r="G15" s="14">
        <f t="shared" si="2"/>
        <v>88881.035999999993</v>
      </c>
      <c r="H15" s="14">
        <f t="shared" si="2"/>
        <v>86812.059000000008</v>
      </c>
      <c r="I15" s="14">
        <f>+SUM(I13:I14)</f>
        <v>97059.531000000003</v>
      </c>
      <c r="J15" s="14">
        <f t="shared" ref="J15:N15" si="3">+SUM(J13:J14)</f>
        <v>97625.176936621938</v>
      </c>
      <c r="K15" s="14">
        <f t="shared" si="3"/>
        <v>110359.67919911467</v>
      </c>
      <c r="L15" s="14"/>
      <c r="M15" s="14">
        <f t="shared" si="3"/>
        <v>247639.20500000002</v>
      </c>
      <c r="N15" s="14">
        <f t="shared" si="3"/>
        <v>391856.44613573665</v>
      </c>
      <c r="O15" s="14">
        <f t="shared" ref="O15" si="4">+SUM(O13:O14)</f>
        <v>460319.19771594647</v>
      </c>
      <c r="P15" s="14"/>
    </row>
    <row r="16" spans="2:16" ht="10.15" x14ac:dyDescent="0.2">
      <c r="B16" s="4"/>
    </row>
    <row r="17" spans="1:16" ht="10.15" x14ac:dyDescent="0.2">
      <c r="B17" s="19" t="s">
        <v>86</v>
      </c>
    </row>
    <row r="18" spans="1:16" ht="10.15" x14ac:dyDescent="0.2">
      <c r="B18" s="20" t="s">
        <v>226</v>
      </c>
      <c r="H18" s="28">
        <f>+IFERROR(H11/D11-1,"n/a")</f>
        <v>0.55834602644959386</v>
      </c>
      <c r="I18" s="28">
        <f>+IFERROR(I11/E11-1,"n/a")</f>
        <v>0.29481150510490517</v>
      </c>
      <c r="J18" s="28">
        <f t="shared" ref="J18:K22" si="5">+IFERROR(J11/F11-1,"n/a")</f>
        <v>0.21337437024682648</v>
      </c>
      <c r="K18" s="28">
        <f t="shared" si="5"/>
        <v>0.18139979192123223</v>
      </c>
      <c r="L18" s="28"/>
      <c r="M18" s="28"/>
      <c r="N18" s="28">
        <f t="shared" ref="N18:O22" si="6">+IFERROR(N11/M11-1,"n/a")</f>
        <v>0.28456932988020567</v>
      </c>
      <c r="O18" s="46">
        <f t="shared" si="6"/>
        <v>0.14950198921015367</v>
      </c>
      <c r="P18" s="28"/>
    </row>
    <row r="19" spans="1:16" ht="12" x14ac:dyDescent="0.35">
      <c r="B19" s="20" t="s">
        <v>227</v>
      </c>
      <c r="H19" s="31">
        <f t="shared" ref="H19:I22" si="7">+IFERROR(H12/D12-1,"n/a")</f>
        <v>3.2680093112191875</v>
      </c>
      <c r="I19" s="31">
        <f t="shared" si="7"/>
        <v>2.3415069936632618</v>
      </c>
      <c r="J19" s="31">
        <f t="shared" si="5"/>
        <v>0.69689865827534736</v>
      </c>
      <c r="K19" s="31">
        <f t="shared" si="5"/>
        <v>0.31460675828012286</v>
      </c>
      <c r="L19" s="31"/>
      <c r="M19" s="31"/>
      <c r="N19" s="31">
        <f t="shared" si="6"/>
        <v>1.0682863858569451</v>
      </c>
      <c r="O19" s="47">
        <f t="shared" si="6"/>
        <v>0.20026390010949857</v>
      </c>
      <c r="P19" s="31"/>
    </row>
    <row r="20" spans="1:16" ht="10.15" x14ac:dyDescent="0.2">
      <c r="B20" s="30" t="s">
        <v>224</v>
      </c>
      <c r="H20" s="28">
        <f t="shared" si="7"/>
        <v>1.3065585373986539</v>
      </c>
      <c r="I20" s="28">
        <f t="shared" si="7"/>
        <v>0.85650616552004966</v>
      </c>
      <c r="J20" s="28">
        <f t="shared" si="5"/>
        <v>0.41813844868183447</v>
      </c>
      <c r="K20" s="28">
        <f t="shared" si="5"/>
        <v>0.24165608509687808</v>
      </c>
      <c r="L20" s="28"/>
      <c r="M20" s="28"/>
      <c r="N20" s="28">
        <f t="shared" si="6"/>
        <v>0.58236837392422025</v>
      </c>
      <c r="O20" s="46">
        <f t="shared" si="6"/>
        <v>0.17471385823903152</v>
      </c>
      <c r="P20" s="28"/>
    </row>
    <row r="21" spans="1:16" ht="12" x14ac:dyDescent="0.35">
      <c r="B21" s="20" t="s">
        <v>223</v>
      </c>
      <c r="H21" s="47" t="str">
        <f t="shared" si="7"/>
        <v>n/a</v>
      </c>
      <c r="I21" s="47" t="str">
        <f t="shared" si="7"/>
        <v>n/a</v>
      </c>
      <c r="J21" s="47" t="str">
        <f t="shared" si="5"/>
        <v>n/a</v>
      </c>
      <c r="K21" s="47" t="str">
        <f t="shared" si="5"/>
        <v>n/a</v>
      </c>
      <c r="L21" s="47"/>
      <c r="M21" s="47"/>
      <c r="N21" s="47" t="str">
        <f t="shared" si="6"/>
        <v>n/a</v>
      </c>
      <c r="O21" s="47" t="str">
        <f t="shared" si="6"/>
        <v>n/a</v>
      </c>
      <c r="P21" s="47"/>
    </row>
    <row r="22" spans="1:16" ht="10.15" x14ac:dyDescent="0.2">
      <c r="B22" s="30" t="s">
        <v>225</v>
      </c>
      <c r="H22" s="28">
        <f t="shared" si="7"/>
        <v>1.3065585373986539</v>
      </c>
      <c r="I22" s="28">
        <f t="shared" si="7"/>
        <v>0.85650616552004966</v>
      </c>
      <c r="J22" s="28">
        <f t="shared" si="5"/>
        <v>0.41813844868183447</v>
      </c>
      <c r="K22" s="28">
        <f t="shared" si="5"/>
        <v>0.24165608509687808</v>
      </c>
      <c r="L22" s="28"/>
      <c r="M22" s="28"/>
      <c r="N22" s="28">
        <f t="shared" si="6"/>
        <v>0.58236837392422025</v>
      </c>
      <c r="O22" s="46">
        <f t="shared" si="6"/>
        <v>0.17471385823903152</v>
      </c>
      <c r="P22" s="28"/>
    </row>
    <row r="23" spans="1:16" ht="10.15" x14ac:dyDescent="0.2">
      <c r="B23" s="4"/>
    </row>
    <row r="24" spans="1:16" ht="10.15" x14ac:dyDescent="0.2">
      <c r="B24" t="s">
        <v>94</v>
      </c>
      <c r="D24" s="160">
        <f>+'Historical Financials'!AB61</f>
        <v>8462.4200000000019</v>
      </c>
      <c r="E24" s="160">
        <f>+'Historical Financials'!AC61</f>
        <v>14609.383999999995</v>
      </c>
      <c r="F24" s="160">
        <f>+'Historical Financials'!AD61</f>
        <v>18125.839999999997</v>
      </c>
      <c r="G24" s="160">
        <f>+'Historical Financials'!AE61</f>
        <v>24579.911999999997</v>
      </c>
      <c r="H24" s="160">
        <f>+'Historical Financials'!AF61</f>
        <v>28552.195000000011</v>
      </c>
      <c r="I24" s="160">
        <f>+'Historical Financials'!AG61</f>
        <v>34987.298000000003</v>
      </c>
      <c r="J24" s="160">
        <f>+'Historical Financials'!AH61</f>
        <v>26592.716434256239</v>
      </c>
      <c r="K24" s="160">
        <f>+'Historical Financials'!AI61</f>
        <v>31151.690548761362</v>
      </c>
      <c r="L24" s="160"/>
      <c r="M24" s="160">
        <f>+'Historical Financials'!AV61</f>
        <v>65777.555999999997</v>
      </c>
      <c r="N24" s="160">
        <f>+'Historical Financials'!AW61</f>
        <v>121283.89998301762</v>
      </c>
      <c r="O24" s="160">
        <f>+'Historical Financials'!AX61</f>
        <v>121325.988257552</v>
      </c>
      <c r="P24" s="160"/>
    </row>
    <row r="25" spans="1:16" ht="10.15" x14ac:dyDescent="0.2">
      <c r="B25" s="20" t="s">
        <v>86</v>
      </c>
      <c r="I25" s="28">
        <f>+IFERROR(I24/E24-1,"n/a")</f>
        <v>1.3948510080917864</v>
      </c>
      <c r="J25" s="28">
        <f t="shared" ref="J25:K25" si="8">+IFERROR(J24/F24-1,"n/a")</f>
        <v>0.46711636173861426</v>
      </c>
      <c r="K25" s="28">
        <f t="shared" si="8"/>
        <v>0.26736379482405659</v>
      </c>
      <c r="L25" s="28"/>
      <c r="M25" s="28"/>
      <c r="N25" s="28">
        <f>+IFERROR(N24/M24-1,"n/a")</f>
        <v>0.84384929082828219</v>
      </c>
      <c r="O25" s="28">
        <f>+IFERROR(O24/N24-1,"n/a")</f>
        <v>3.4702276675036003E-4</v>
      </c>
      <c r="P25" s="28"/>
    </row>
    <row r="26" spans="1:16" ht="10.15" x14ac:dyDescent="0.2">
      <c r="B26" s="20" t="s">
        <v>88</v>
      </c>
      <c r="D26" s="29">
        <f>+D24/D15</f>
        <v>0.22484280781835986</v>
      </c>
      <c r="E26" s="29">
        <f>+E24/E15</f>
        <v>0.27944099040051978</v>
      </c>
      <c r="F26" s="29">
        <f t="shared" ref="F26:G26" si="9">+F24/F15</f>
        <v>0.26330247406714291</v>
      </c>
      <c r="G26" s="29">
        <f t="shared" si="9"/>
        <v>0.27654844167207948</v>
      </c>
      <c r="H26" s="29">
        <f t="shared" ref="H26" si="10">+H24/H15</f>
        <v>0.32889664556856102</v>
      </c>
      <c r="I26" s="29">
        <f>+I24/I15</f>
        <v>0.36047256399786232</v>
      </c>
      <c r="J26" s="29">
        <f t="shared" ref="J26:K26" si="11">+J24/J15</f>
        <v>0.2723960894997422</v>
      </c>
      <c r="K26" s="29">
        <f t="shared" si="11"/>
        <v>0.28227420353910621</v>
      </c>
      <c r="L26" s="29"/>
      <c r="M26" s="29">
        <f t="shared" ref="M26" si="12">+M24/M15</f>
        <v>0.26561850737648746</v>
      </c>
      <c r="N26" s="29">
        <f t="shared" ref="N26:O26" si="13">+N24/N15</f>
        <v>0.30951104971999266</v>
      </c>
      <c r="O26" s="29">
        <f t="shared" si="13"/>
        <v>0.26356925555040567</v>
      </c>
      <c r="P26" s="29"/>
    </row>
    <row r="28" spans="1:16" ht="10.15" x14ac:dyDescent="0.2">
      <c r="B28" s="6" t="s">
        <v>451</v>
      </c>
      <c r="C28" s="5"/>
    </row>
    <row r="30" spans="1:16" ht="10.15" x14ac:dyDescent="0.2">
      <c r="A30" t="s">
        <v>246</v>
      </c>
      <c r="B30" t="s">
        <v>226</v>
      </c>
      <c r="D30" s="14">
        <f>+D11</f>
        <v>27244.425999999999</v>
      </c>
      <c r="E30" s="14">
        <f t="shared" ref="E30:H30" si="14">+E11</f>
        <v>37932.830999999998</v>
      </c>
      <c r="F30" s="14">
        <f t="shared" si="14"/>
        <v>39687.678</v>
      </c>
      <c r="G30" s="14">
        <f t="shared" si="14"/>
        <v>48675.618000000002</v>
      </c>
      <c r="H30" s="14">
        <f t="shared" si="14"/>
        <v>42456.243000000002</v>
      </c>
      <c r="I30" s="212">
        <f ca="1">_xll.VAData("PDD_US",I$1,$A30,"consensus.vaactuals","CD","IMPL",$P$1)</f>
        <v>49115.866000000002</v>
      </c>
      <c r="J30" s="212">
        <f ca="1">_xll.VAData("PDD_US",J$1,$A30,"consensus.vaactuals","CD","IMPL",$P$1)</f>
        <v>49351.021999999997</v>
      </c>
      <c r="K30" s="212">
        <f ca="1">_xll.VAData("PDD_US",K$1,$A30,"consensus.vaactuals","CD","IMPL",$P$1)</f>
        <v>57011.061000000002</v>
      </c>
      <c r="M30" s="14">
        <f>+M11</f>
        <v>153540.55300000001</v>
      </c>
      <c r="N30" s="14">
        <f ca="1">+SUM(H30:K30)</f>
        <v>197934.19199999998</v>
      </c>
      <c r="O30" s="212">
        <f ca="1">_xll.VAData("PDD_US",O$1,$A30,"consensus.vaactuals","CD","IMPL",$P$1)</f>
        <v>224813.86977765113</v>
      </c>
    </row>
    <row r="31" spans="1:16" ht="12" x14ac:dyDescent="0.35">
      <c r="A31" t="s">
        <v>247</v>
      </c>
      <c r="B31" t="s">
        <v>227</v>
      </c>
      <c r="D31" s="15">
        <f t="shared" ref="D31:H31" si="15">+D12</f>
        <v>10392.624</v>
      </c>
      <c r="E31" s="15">
        <f t="shared" si="15"/>
        <v>14347.916999999999</v>
      </c>
      <c r="F31" s="15">
        <f t="shared" si="15"/>
        <v>29152.692999999999</v>
      </c>
      <c r="G31" s="15">
        <f t="shared" si="15"/>
        <v>40205.417999999998</v>
      </c>
      <c r="H31" s="15">
        <f t="shared" si="15"/>
        <v>44355.815999999999</v>
      </c>
      <c r="I31" s="15">
        <f ca="1">+I32-I30</f>
        <v>47943.665000000001</v>
      </c>
      <c r="J31" s="15">
        <f t="shared" ref="J31:K31" ca="1" si="16">+J32-J30</f>
        <v>50003.379000000001</v>
      </c>
      <c r="K31" s="15">
        <f t="shared" ca="1" si="16"/>
        <v>53599.044999999998</v>
      </c>
      <c r="M31" s="15">
        <f t="shared" ref="M31" si="17">+M12</f>
        <v>94098.652000000002</v>
      </c>
      <c r="N31" s="15">
        <f t="shared" ref="N31:N34" ca="1" si="18">+SUM(H31:K31)</f>
        <v>195901.90499999997</v>
      </c>
      <c r="O31" s="15">
        <f t="shared" ref="O31" ca="1" si="19">+O32-O30</f>
        <v>247129.08252693436</v>
      </c>
    </row>
    <row r="32" spans="1:16" ht="10.15" x14ac:dyDescent="0.2">
      <c r="B32" s="4" t="s">
        <v>224</v>
      </c>
      <c r="D32" s="14">
        <f t="shared" ref="D32:H32" si="20">+D13</f>
        <v>37637.050000000003</v>
      </c>
      <c r="E32" s="14">
        <f t="shared" si="20"/>
        <v>52280.748</v>
      </c>
      <c r="F32" s="14">
        <f t="shared" si="20"/>
        <v>68840.370999999999</v>
      </c>
      <c r="G32" s="14">
        <f t="shared" si="20"/>
        <v>88881.035999999993</v>
      </c>
      <c r="H32" s="14">
        <f t="shared" si="20"/>
        <v>86812.059000000008</v>
      </c>
      <c r="I32" s="14">
        <f ca="1">+I34-I33</f>
        <v>97059.531000000003</v>
      </c>
      <c r="J32" s="14">
        <f t="shared" ref="J32:K32" ca="1" si="21">+J34-J33</f>
        <v>99354.400999999998</v>
      </c>
      <c r="K32" s="14">
        <f t="shared" ca="1" si="21"/>
        <v>110610.106</v>
      </c>
      <c r="M32" s="14">
        <f t="shared" ref="M32" si="22">+M13</f>
        <v>247639.20500000002</v>
      </c>
      <c r="N32" s="14">
        <f t="shared" ca="1" si="18"/>
        <v>393836.09700000007</v>
      </c>
      <c r="O32" s="14">
        <f t="shared" ref="O32" ca="1" si="23">+O34-O33</f>
        <v>471942.95230458549</v>
      </c>
    </row>
    <row r="33" spans="1:15" ht="12" x14ac:dyDescent="0.35">
      <c r="B33" t="s">
        <v>223</v>
      </c>
      <c r="D33" s="15">
        <f t="shared" ref="D33:H33" si="24">+D14</f>
        <v>0</v>
      </c>
      <c r="E33" s="15">
        <f t="shared" si="24"/>
        <v>0</v>
      </c>
      <c r="F33" s="15">
        <f t="shared" si="24"/>
        <v>0</v>
      </c>
      <c r="G33" s="15">
        <f t="shared" si="24"/>
        <v>0</v>
      </c>
      <c r="H33" s="15">
        <f t="shared" si="24"/>
        <v>0</v>
      </c>
      <c r="I33" s="13">
        <v>0</v>
      </c>
      <c r="J33" s="13">
        <v>0</v>
      </c>
      <c r="K33" s="13">
        <v>0</v>
      </c>
      <c r="M33" s="15">
        <f t="shared" ref="M33" si="25">+M14</f>
        <v>0</v>
      </c>
      <c r="N33" s="15">
        <f t="shared" si="18"/>
        <v>0</v>
      </c>
      <c r="O33" s="13">
        <v>0</v>
      </c>
    </row>
    <row r="34" spans="1:15" ht="10.15" x14ac:dyDescent="0.2">
      <c r="A34" s="1" t="s">
        <v>73</v>
      </c>
      <c r="B34" s="4" t="s">
        <v>225</v>
      </c>
      <c r="D34" s="14">
        <f t="shared" ref="D34:H34" si="26">+D15</f>
        <v>37637.050000000003</v>
      </c>
      <c r="E34" s="14">
        <f t="shared" si="26"/>
        <v>52280.748</v>
      </c>
      <c r="F34" s="14">
        <f t="shared" si="26"/>
        <v>68840.370999999999</v>
      </c>
      <c r="G34" s="14">
        <f t="shared" si="26"/>
        <v>88881.035999999993</v>
      </c>
      <c r="H34" s="14">
        <f t="shared" si="26"/>
        <v>86812.059000000008</v>
      </c>
      <c r="I34" s="212">
        <f ca="1">_xll.VAData("PDD_US",I$1,$A34,"consensus.vaactuals","CD","IMPL",$P$1)</f>
        <v>97059.531000000003</v>
      </c>
      <c r="J34" s="212">
        <f ca="1">_xll.VAData("PDD_US",J$1,$A34,"consensus.vaactuals","CD","IMPL",$P$1)</f>
        <v>99354.400999999998</v>
      </c>
      <c r="K34" s="212">
        <f ca="1">_xll.VAData("PDD_US",K$1,$A34,"consensus.vaactuals","CD","IMPL",$P$1)</f>
        <v>110610.106</v>
      </c>
      <c r="M34" s="14">
        <f t="shared" ref="M34" si="27">+M15</f>
        <v>247639.20500000002</v>
      </c>
      <c r="N34" s="14">
        <f t="shared" ca="1" si="18"/>
        <v>393836.09700000007</v>
      </c>
      <c r="O34" s="212">
        <f ca="1">_xll.VAData("PDD_US",O$1,$A34,"consensus.vaactuals","CD","IMPL",$P$1)</f>
        <v>471942.95230458549</v>
      </c>
    </row>
    <row r="35" spans="1:15" ht="10.15" x14ac:dyDescent="0.2">
      <c r="B35" s="4"/>
      <c r="D35" s="215"/>
      <c r="E35" s="215"/>
      <c r="F35" s="215"/>
      <c r="G35" s="215"/>
      <c r="H35" s="215"/>
      <c r="M35" s="215"/>
    </row>
    <row r="36" spans="1:15" ht="10.15" x14ac:dyDescent="0.2">
      <c r="B36" s="19" t="s">
        <v>86</v>
      </c>
      <c r="D36" s="215"/>
      <c r="E36" s="215"/>
      <c r="F36" s="215"/>
      <c r="G36" s="215"/>
      <c r="H36" s="215"/>
      <c r="M36" s="215"/>
    </row>
    <row r="37" spans="1:15" ht="10.15" x14ac:dyDescent="0.2">
      <c r="B37" s="20" t="s">
        <v>226</v>
      </c>
      <c r="D37" s="216"/>
      <c r="E37" s="216"/>
      <c r="F37" s="216"/>
      <c r="G37" s="216"/>
      <c r="H37" s="28">
        <f>+IFERROR(H30/D30-1,"n/a")</f>
        <v>0.55834602644959386</v>
      </c>
      <c r="I37" s="28">
        <f ca="1">+IFERROR(I30/E30-1,"n/a")</f>
        <v>0.29481150510490517</v>
      </c>
      <c r="J37" s="28">
        <f t="shared" ref="J37:J41" ca="1" si="28">+IFERROR(J30/F30-1,"n/a")</f>
        <v>0.24348474103221651</v>
      </c>
      <c r="K37" s="28">
        <f t="shared" ref="K37:K41" ca="1" si="29">+IFERROR(K30/G30-1,"n/a")</f>
        <v>0.17124472872640251</v>
      </c>
      <c r="L37" s="28"/>
      <c r="M37" s="216"/>
      <c r="N37" s="28">
        <f t="shared" ref="N37:O41" ca="1" si="30">+IFERROR(N30/M30-1,"n/a")</f>
        <v>0.28913298885930128</v>
      </c>
      <c r="O37" s="28">
        <f t="shared" ca="1" si="30"/>
        <v>0.1358010837139807</v>
      </c>
    </row>
    <row r="38" spans="1:15" ht="12" x14ac:dyDescent="0.35">
      <c r="B38" s="20" t="s">
        <v>227</v>
      </c>
      <c r="D38" s="217"/>
      <c r="E38" s="217"/>
      <c r="F38" s="217"/>
      <c r="G38" s="217"/>
      <c r="H38" s="31">
        <f t="shared" ref="H38:I41" si="31">+IFERROR(H31/D31-1,"n/a")</f>
        <v>3.2680093112191875</v>
      </c>
      <c r="I38" s="31">
        <f t="shared" ca="1" si="31"/>
        <v>2.3415069936632618</v>
      </c>
      <c r="J38" s="31">
        <f t="shared" ca="1" si="28"/>
        <v>0.71522332430832392</v>
      </c>
      <c r="K38" s="31">
        <f t="shared" ca="1" si="29"/>
        <v>0.33312990303943613</v>
      </c>
      <c r="L38" s="31"/>
      <c r="M38" s="217"/>
      <c r="N38" s="31">
        <f t="shared" ca="1" si="30"/>
        <v>1.0818779104295775</v>
      </c>
      <c r="O38" s="31">
        <f t="shared" ca="1" si="30"/>
        <v>0.2614940244043793</v>
      </c>
    </row>
    <row r="39" spans="1:15" ht="10.15" x14ac:dyDescent="0.2">
      <c r="B39" s="30" t="s">
        <v>224</v>
      </c>
      <c r="D39" s="216"/>
      <c r="E39" s="216"/>
      <c r="F39" s="216"/>
      <c r="G39" s="216"/>
      <c r="H39" s="28">
        <f t="shared" si="31"/>
        <v>1.3065585373986539</v>
      </c>
      <c r="I39" s="28">
        <f t="shared" ca="1" si="31"/>
        <v>0.85650616552004966</v>
      </c>
      <c r="J39" s="28">
        <f t="shared" ca="1" si="28"/>
        <v>0.44325777965374424</v>
      </c>
      <c r="K39" s="28">
        <f t="shared" ca="1" si="29"/>
        <v>0.24447363552333035</v>
      </c>
      <c r="L39" s="28"/>
      <c r="M39" s="216"/>
      <c r="N39" s="28">
        <f t="shared" ca="1" si="30"/>
        <v>0.59036246704151729</v>
      </c>
      <c r="O39" s="28">
        <f t="shared" ca="1" si="30"/>
        <v>0.19832325147327823</v>
      </c>
    </row>
    <row r="40" spans="1:15" ht="12" x14ac:dyDescent="0.35">
      <c r="B40" s="20" t="s">
        <v>223</v>
      </c>
      <c r="D40" s="180"/>
      <c r="E40" s="180"/>
      <c r="F40" s="180"/>
      <c r="G40" s="180"/>
      <c r="H40" s="47" t="str">
        <f t="shared" si="31"/>
        <v>n/a</v>
      </c>
      <c r="I40" s="47" t="str">
        <f t="shared" si="31"/>
        <v>n/a</v>
      </c>
      <c r="J40" s="47" t="str">
        <f t="shared" si="28"/>
        <v>n/a</v>
      </c>
      <c r="K40" s="47" t="str">
        <f t="shared" si="29"/>
        <v>n/a</v>
      </c>
      <c r="L40" s="47"/>
      <c r="M40" s="180"/>
      <c r="N40" s="47" t="str">
        <f t="shared" si="30"/>
        <v>n/a</v>
      </c>
      <c r="O40" s="47" t="str">
        <f t="shared" si="30"/>
        <v>n/a</v>
      </c>
    </row>
    <row r="41" spans="1:15" ht="10.15" x14ac:dyDescent="0.2">
      <c r="B41" s="30" t="s">
        <v>225</v>
      </c>
      <c r="D41" s="216"/>
      <c r="E41" s="216"/>
      <c r="F41" s="216"/>
      <c r="G41" s="216"/>
      <c r="H41" s="28">
        <f t="shared" si="31"/>
        <v>1.3065585373986539</v>
      </c>
      <c r="I41" s="28">
        <f t="shared" ca="1" si="31"/>
        <v>0.85650616552004966</v>
      </c>
      <c r="J41" s="28">
        <f t="shared" ca="1" si="28"/>
        <v>0.44325777965374424</v>
      </c>
      <c r="K41" s="28">
        <f t="shared" ca="1" si="29"/>
        <v>0.24447363552333035</v>
      </c>
      <c r="L41" s="28"/>
      <c r="M41" s="216"/>
      <c r="N41" s="28">
        <f t="shared" ca="1" si="30"/>
        <v>0.59036246704151729</v>
      </c>
      <c r="O41" s="28">
        <f t="shared" ca="1" si="30"/>
        <v>0.19832325147327823</v>
      </c>
    </row>
    <row r="42" spans="1:15" ht="10.15" x14ac:dyDescent="0.2">
      <c r="B42" s="4"/>
      <c r="D42" s="215"/>
      <c r="E42" s="215"/>
      <c r="F42" s="215"/>
      <c r="G42" s="215"/>
      <c r="H42" s="215"/>
      <c r="M42" s="215"/>
    </row>
    <row r="43" spans="1:15" ht="10.15" x14ac:dyDescent="0.2">
      <c r="A43" t="s">
        <v>452</v>
      </c>
      <c r="B43" t="s">
        <v>94</v>
      </c>
      <c r="D43" s="14">
        <f t="shared" ref="D43:H43" si="32">+D24</f>
        <v>8462.4200000000019</v>
      </c>
      <c r="E43" s="14">
        <f t="shared" si="32"/>
        <v>14609.383999999995</v>
      </c>
      <c r="F43" s="14">
        <f t="shared" si="32"/>
        <v>18125.839999999997</v>
      </c>
      <c r="G43" s="14">
        <f t="shared" si="32"/>
        <v>24579.911999999997</v>
      </c>
      <c r="H43" s="14">
        <f t="shared" si="32"/>
        <v>28552.195000000011</v>
      </c>
      <c r="I43" s="212">
        <f ca="1">_xll.VAData("PDD_US",I$1,$A43,"consensus.vaactuals","CD","IMPL",$P$1)</f>
        <v>34987.298000000003</v>
      </c>
      <c r="J43" s="212">
        <f ca="1">_xll.VAData("PDD_US",J$1,$A43,"consensus.vaactuals","CD","IMPL",$P$1)</f>
        <v>26770.463</v>
      </c>
      <c r="K43" s="212">
        <f ca="1">_xll.VAData("PDD_US",K$1,$A43,"consensus.vaactuals","CD","IMPL",$P$1)</f>
        <v>27996.47</v>
      </c>
      <c r="M43" s="14">
        <f t="shared" ref="M43" si="33">+M24</f>
        <v>65777.555999999997</v>
      </c>
      <c r="N43" s="10">
        <f t="shared" ref="N43" ca="1" si="34">+SUM(H43:K43)</f>
        <v>118306.42600000002</v>
      </c>
      <c r="O43" s="212">
        <f ca="1">_xll.VAData("PDD_US",O$1,$A43,"consensus.vaactuals","CD","IMPL",$P$1)</f>
        <v>131702.14871916562</v>
      </c>
    </row>
    <row r="44" spans="1:15" ht="10.15" x14ac:dyDescent="0.2">
      <c r="B44" s="20" t="s">
        <v>86</v>
      </c>
      <c r="D44" s="216"/>
      <c r="E44" s="216"/>
      <c r="F44" s="216"/>
      <c r="G44" s="216"/>
      <c r="H44" s="28">
        <f>+IFERROR(H43/D43-1,"n/a")</f>
        <v>2.3739988088513693</v>
      </c>
      <c r="I44" s="28">
        <f ca="1">+IFERROR(I43/E43-1,"n/a")</f>
        <v>1.3948510080917864</v>
      </c>
      <c r="J44" s="28">
        <f t="shared" ref="J44" ca="1" si="35">+IFERROR(J43/F43-1,"n/a")</f>
        <v>0.47692261434504579</v>
      </c>
      <c r="K44" s="28">
        <f t="shared" ref="K44" ca="1" si="36">+IFERROR(K43/G43-1,"n/a")</f>
        <v>0.13899797525719393</v>
      </c>
      <c r="L44" s="28"/>
      <c r="M44" s="28"/>
      <c r="N44" s="28">
        <f ca="1">+IFERROR(N43/M43-1,"n/a")</f>
        <v>0.79858348644026877</v>
      </c>
      <c r="O44" s="28">
        <f ca="1">+IFERROR(O43/N43-1,"n/a")</f>
        <v>0.11322903727279865</v>
      </c>
    </row>
    <row r="45" spans="1:15" ht="10.15" x14ac:dyDescent="0.2">
      <c r="B45" s="20" t="s">
        <v>88</v>
      </c>
      <c r="H45" s="29">
        <f>+H43/H34</f>
        <v>0.32889664556856102</v>
      </c>
      <c r="I45" s="29">
        <f ca="1">+I43/I34</f>
        <v>0.36047256399786232</v>
      </c>
      <c r="J45" s="29">
        <f t="shared" ref="J45:N45" ca="1" si="37">+J43/J34</f>
        <v>0.26944415879473727</v>
      </c>
      <c r="K45" s="29">
        <f t="shared" ca="1" si="37"/>
        <v>0.25310951243460522</v>
      </c>
      <c r="M45" s="29">
        <f t="shared" si="37"/>
        <v>0.26561850737648746</v>
      </c>
      <c r="N45" s="29">
        <f t="shared" ca="1" si="37"/>
        <v>0.30039508034226736</v>
      </c>
      <c r="O45" s="29">
        <f ca="1">+O43/O34</f>
        <v>0.27906370478897813</v>
      </c>
    </row>
    <row r="46" spans="1:15" ht="10.15" x14ac:dyDescent="0.2">
      <c r="B46" s="20"/>
      <c r="H46" s="29"/>
      <c r="I46" s="29"/>
      <c r="J46" s="29"/>
      <c r="K46" s="29"/>
      <c r="M46" s="29"/>
      <c r="N46" s="29"/>
      <c r="O46" s="29"/>
    </row>
    <row r="47" spans="1:15" ht="10.15" x14ac:dyDescent="0.2">
      <c r="B47" s="6" t="s">
        <v>456</v>
      </c>
      <c r="C47" s="5"/>
    </row>
    <row r="49" spans="2:15" x14ac:dyDescent="0.2">
      <c r="B49" t="s">
        <v>226</v>
      </c>
      <c r="J49" s="28">
        <f ca="1">+IFERROR(J11/J30-1,"n/a")</f>
        <v>-2.4214507658851914E-2</v>
      </c>
      <c r="K49" s="28">
        <f ca="1">+IFERROR(K11/K30-1,"n/a")</f>
        <v>8.6703170957893594E-3</v>
      </c>
      <c r="N49" s="28">
        <f ca="1">+IFERROR(N11/N30-1,"n/a")</f>
        <v>-3.5400994455458967E-3</v>
      </c>
      <c r="O49" s="46">
        <f ca="1">+IFERROR(O11/O30-1,"n/a")</f>
        <v>8.4799656204075369E-3</v>
      </c>
    </row>
    <row r="50" spans="2:15" ht="13.5" x14ac:dyDescent="0.35">
      <c r="B50" t="s">
        <v>227</v>
      </c>
      <c r="J50" s="31">
        <f t="shared" ref="J50:K50" ca="1" si="38">+IFERROR(J12/J31-1,"n/a")</f>
        <v>-1.0683545269748573E-2</v>
      </c>
      <c r="K50" s="31">
        <f t="shared" ca="1" si="38"/>
        <v>-1.3894478487866735E-2</v>
      </c>
      <c r="N50" s="31">
        <f t="shared" ref="N50:O50" ca="1" si="39">+IFERROR(N12/N31-1,"n/a")</f>
        <v>-6.5284926193522885E-3</v>
      </c>
      <c r="O50" s="47">
        <f t="shared" ca="1" si="39"/>
        <v>-5.4749397913819275E-2</v>
      </c>
    </row>
    <row r="51" spans="2:15" ht="10.15" x14ac:dyDescent="0.2">
      <c r="B51" s="4" t="s">
        <v>224</v>
      </c>
      <c r="J51" s="28">
        <f t="shared" ref="J51:K51" ca="1" si="40">+IFERROR(J13/J32-1,"n/a")</f>
        <v>-1.7404604586947925E-2</v>
      </c>
      <c r="K51" s="28">
        <f t="shared" ca="1" si="40"/>
        <v>-2.2640499131727498E-3</v>
      </c>
      <c r="N51" s="28">
        <f t="shared" ref="N51:O51" ca="1" si="41">+IFERROR(N13/N32-1,"n/a")</f>
        <v>-5.0265856262113884E-3</v>
      </c>
      <c r="O51" s="46">
        <f t="shared" ca="1" si="41"/>
        <v>-2.4629575527885472E-2</v>
      </c>
    </row>
    <row r="52" spans="2:15" ht="12" x14ac:dyDescent="0.35">
      <c r="B52" t="s">
        <v>223</v>
      </c>
      <c r="J52" s="47" t="str">
        <f t="shared" ref="J52:K52" si="42">+IFERROR(J14/J33-1,"n/a")</f>
        <v>n/a</v>
      </c>
      <c r="K52" s="47" t="str">
        <f t="shared" si="42"/>
        <v>n/a</v>
      </c>
      <c r="N52" s="47" t="str">
        <f t="shared" ref="N52:O52" si="43">+IFERROR(N14/N33-1,"n/a")</f>
        <v>n/a</v>
      </c>
      <c r="O52" s="47" t="str">
        <f t="shared" si="43"/>
        <v>n/a</v>
      </c>
    </row>
    <row r="53" spans="2:15" x14ac:dyDescent="0.2">
      <c r="B53" s="4" t="s">
        <v>225</v>
      </c>
      <c r="J53" s="28">
        <f t="shared" ref="J53:K53" ca="1" si="44">+IFERROR(J15/J34-1,"n/a")</f>
        <v>-1.7404604586947925E-2</v>
      </c>
      <c r="K53" s="28">
        <f t="shared" ca="1" si="44"/>
        <v>-2.2640499131727498E-3</v>
      </c>
      <c r="N53" s="28">
        <f t="shared" ref="N53:O53" ca="1" si="45">+IFERROR(N15/N34-1,"n/a")</f>
        <v>-5.0265856262113884E-3</v>
      </c>
      <c r="O53" s="46">
        <f t="shared" ca="1" si="45"/>
        <v>-2.4629575527885472E-2</v>
      </c>
    </row>
    <row r="54" spans="2:15" x14ac:dyDescent="0.2">
      <c r="B54" s="4"/>
      <c r="O54" s="55"/>
    </row>
    <row r="55" spans="2:15" x14ac:dyDescent="0.2">
      <c r="B55" t="s">
        <v>94</v>
      </c>
      <c r="J55" s="28">
        <f t="shared" ref="J55:K55" ca="1" si="46">+IFERROR(J24/J43-1,"n/a")</f>
        <v>-6.6396522818361614E-3</v>
      </c>
      <c r="K55" s="28">
        <f t="shared" ca="1" si="46"/>
        <v>0.1127006565028148</v>
      </c>
      <c r="N55" s="28">
        <f t="shared" ref="N55:O55" ca="1" si="47">+IFERROR(N24/N43-1,"n/a")</f>
        <v>2.5167474698437831E-2</v>
      </c>
      <c r="O55" s="46">
        <f t="shared" ca="1" si="47"/>
        <v>-7.8785050680829527E-2</v>
      </c>
    </row>
    <row r="58" spans="2:15" s="190" customFormat="1" x14ac:dyDescent="0.2">
      <c r="B58" s="2" t="s">
        <v>461</v>
      </c>
    </row>
    <row r="59" spans="2:15" x14ac:dyDescent="0.2">
      <c r="B59" s="34" t="s">
        <v>462</v>
      </c>
    </row>
  </sheetData>
  <pageMargins left="0.7" right="0.7" top="0.75" bottom="0.75" header="0.3" footer="0.3"/>
  <pageSetup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CDC58-C770-4338-89CF-2A82A01F719F}">
  <dimension ref="A1:K28"/>
  <sheetViews>
    <sheetView showGridLines="0" zoomScale="130" zoomScaleNormal="130" workbookViewId="0">
      <selection activeCell="F112" sqref="F112"/>
    </sheetView>
  </sheetViews>
  <sheetFormatPr defaultRowHeight="11.25" outlineLevelCol="1" x14ac:dyDescent="0.2"/>
  <cols>
    <col min="1" max="1" width="2.6640625" customWidth="1"/>
    <col min="2" max="2" width="20.6640625" customWidth="1"/>
    <col min="3" max="3" width="2.6640625" customWidth="1"/>
    <col min="4" max="4" width="10.6640625" hidden="1" customWidth="1" outlineLevel="1"/>
    <col min="5" max="5" width="10.6640625" customWidth="1" collapsed="1"/>
    <col min="6" max="9" width="10.6640625" customWidth="1"/>
    <col min="11" max="11" width="10" bestFit="1" customWidth="1"/>
  </cols>
  <sheetData>
    <row r="1" spans="1:11" ht="10.15" x14ac:dyDescent="0.2">
      <c r="G1" t="s">
        <v>243</v>
      </c>
      <c r="I1" s="59">
        <f ca="1">+I2-1</f>
        <v>45795</v>
      </c>
    </row>
    <row r="2" spans="1:11" s="1" customFormat="1" ht="10.15" x14ac:dyDescent="0.2">
      <c r="B2" s="1" t="s">
        <v>0</v>
      </c>
      <c r="I2" s="59">
        <f ca="1">+TODAY()</f>
        <v>45796</v>
      </c>
    </row>
    <row r="3" spans="1:11" s="2" customFormat="1" ht="10.15" x14ac:dyDescent="0.2">
      <c r="B3" s="2" t="s">
        <v>454</v>
      </c>
    </row>
    <row r="4" spans="1:11" s="1" customFormat="1" ht="10.15" x14ac:dyDescent="0.2">
      <c r="B4" s="3" t="s">
        <v>109</v>
      </c>
    </row>
    <row r="5" spans="1:11" s="1" customFormat="1" ht="10.15" x14ac:dyDescent="0.2"/>
    <row r="6" spans="1:11" ht="10.15" x14ac:dyDescent="0.2">
      <c r="E6" s="8" t="s">
        <v>453</v>
      </c>
      <c r="F6" s="8"/>
      <c r="G6" s="8"/>
      <c r="H6" s="210" t="s">
        <v>361</v>
      </c>
      <c r="I6" s="8"/>
    </row>
    <row r="7" spans="1:11" ht="12" x14ac:dyDescent="0.35">
      <c r="D7" s="7" t="s">
        <v>242</v>
      </c>
      <c r="E7" s="7" t="s">
        <v>360</v>
      </c>
      <c r="F7" s="7" t="s">
        <v>450</v>
      </c>
      <c r="G7" s="7" t="s">
        <v>451</v>
      </c>
      <c r="H7" s="162" t="s">
        <v>450</v>
      </c>
      <c r="I7" s="162" t="s">
        <v>451</v>
      </c>
    </row>
    <row r="9" spans="1:11" ht="10.15" x14ac:dyDescent="0.2">
      <c r="A9" t="s">
        <v>246</v>
      </c>
      <c r="B9" t="s">
        <v>226</v>
      </c>
      <c r="D9" s="160">
        <f>+'Historical Financials'!AC12</f>
        <v>37932.830999999998</v>
      </c>
      <c r="E9" s="160">
        <f>+'Historical Financials'!AG12</f>
        <v>49115.866000000002</v>
      </c>
      <c r="F9" s="11">
        <v>54392.863604598228</v>
      </c>
      <c r="G9" s="212">
        <f ca="1">_xll.VAData("PDD_US",G$1,$A9,"consensus.vaactuals","CD","IMPL",$I$1)</f>
        <v>49115.866000000002</v>
      </c>
      <c r="H9" s="165">
        <f t="shared" ref="H9:I13" si="0">+IFERROR($E9/F9-1,"n/a")</f>
        <v>-9.7016359406238761E-2</v>
      </c>
      <c r="I9" s="165">
        <f t="shared" ca="1" si="0"/>
        <v>0</v>
      </c>
      <c r="K9" s="211">
        <f ca="1">_xll.VAData("PDD_US",G$1,$A9,"consensus.vaactuals","CD","IMPL",$I$1)</f>
        <v>49115.866000000002</v>
      </c>
    </row>
    <row r="10" spans="1:11" ht="12" x14ac:dyDescent="0.35">
      <c r="A10" t="s">
        <v>247</v>
      </c>
      <c r="B10" t="s">
        <v>227</v>
      </c>
      <c r="D10" s="161">
        <f>+'Historical Financials'!AC13</f>
        <v>14347.916999999999</v>
      </c>
      <c r="E10" s="161">
        <f>+'Historical Financials'!AG13</f>
        <v>47943.665000000001</v>
      </c>
      <c r="F10" s="13">
        <v>49600.980205581756</v>
      </c>
      <c r="G10" s="15">
        <f ca="1">+G11-G9</f>
        <v>47943.665000000001</v>
      </c>
      <c r="H10" s="166">
        <f t="shared" si="0"/>
        <v>-3.341295270199629E-2</v>
      </c>
      <c r="I10" s="166">
        <f t="shared" ca="1" si="0"/>
        <v>0</v>
      </c>
    </row>
    <row r="11" spans="1:11" ht="10.15" x14ac:dyDescent="0.2">
      <c r="B11" s="4" t="s">
        <v>224</v>
      </c>
      <c r="D11" s="14">
        <f>SUM(D9:D10)</f>
        <v>52280.748</v>
      </c>
      <c r="E11" s="14">
        <f>SUM(E9:E10)</f>
        <v>97059.531000000003</v>
      </c>
      <c r="F11" s="14">
        <f>SUM(F9:F10)</f>
        <v>103993.84381017998</v>
      </c>
      <c r="G11" s="14">
        <f ca="1">+G13-G12</f>
        <v>97059.531000000003</v>
      </c>
      <c r="H11" s="165">
        <f t="shared" si="0"/>
        <v>-6.6680031779930982E-2</v>
      </c>
      <c r="I11" s="165">
        <f t="shared" ca="1" si="0"/>
        <v>0</v>
      </c>
    </row>
    <row r="12" spans="1:11" ht="12" x14ac:dyDescent="0.35">
      <c r="B12" t="s">
        <v>223</v>
      </c>
      <c r="D12" s="161">
        <f>+'Historical Financials'!AC15</f>
        <v>0</v>
      </c>
      <c r="E12" s="161">
        <f>+'Historical Financials'!AG15</f>
        <v>0</v>
      </c>
      <c r="F12" s="13">
        <v>0</v>
      </c>
      <c r="G12" s="13">
        <v>0</v>
      </c>
      <c r="H12" s="166" t="str">
        <f t="shared" si="0"/>
        <v>n/a</v>
      </c>
      <c r="I12" s="166" t="str">
        <f t="shared" si="0"/>
        <v>n/a</v>
      </c>
    </row>
    <row r="13" spans="1:11" ht="10.15" x14ac:dyDescent="0.2">
      <c r="A13" s="1" t="s">
        <v>73</v>
      </c>
      <c r="B13" s="4" t="s">
        <v>225</v>
      </c>
      <c r="D13" s="14">
        <f>+SUM(D11:D12)</f>
        <v>52280.748</v>
      </c>
      <c r="E13" s="14">
        <f>+SUM(E11:E12)</f>
        <v>97059.531000000003</v>
      </c>
      <c r="F13" s="14">
        <f>+SUM(F11:F12)</f>
        <v>103993.84381017998</v>
      </c>
      <c r="G13" s="212">
        <f ca="1">_xll.VAData("PDD_US",G$1,$A13,"consensus.vaactuals","CD","IMPL",$I$1)</f>
        <v>97059.531000000003</v>
      </c>
      <c r="H13" s="165">
        <f t="shared" si="0"/>
        <v>-6.6680031779930982E-2</v>
      </c>
      <c r="I13" s="165">
        <f t="shared" ca="1" si="0"/>
        <v>0</v>
      </c>
    </row>
    <row r="14" spans="1:11" ht="10.15" x14ac:dyDescent="0.2">
      <c r="B14" s="4"/>
      <c r="H14" s="167"/>
      <c r="I14" s="167"/>
    </row>
    <row r="15" spans="1:11" ht="10.15" x14ac:dyDescent="0.2">
      <c r="B15" s="19" t="s">
        <v>86</v>
      </c>
      <c r="H15" s="167"/>
      <c r="I15" s="167"/>
    </row>
    <row r="16" spans="1:11" ht="10.15" x14ac:dyDescent="0.2">
      <c r="B16" s="20" t="s">
        <v>226</v>
      </c>
      <c r="E16" s="28">
        <f>+IFERROR(E9/$D9-1,"n/a")</f>
        <v>0.29481150510490517</v>
      </c>
      <c r="F16" s="28">
        <f>+IFERROR(F9/$D9-1,"n/a")</f>
        <v>0.43392576221369383</v>
      </c>
      <c r="G16" s="28">
        <f ca="1">+IFERROR(G9/$D9-1,"n/a")</f>
        <v>0.29481150510490517</v>
      </c>
      <c r="H16" s="167"/>
      <c r="I16" s="167"/>
    </row>
    <row r="17" spans="1:9" ht="12" x14ac:dyDescent="0.35">
      <c r="B17" s="20" t="s">
        <v>227</v>
      </c>
      <c r="E17" s="31">
        <f t="shared" ref="E17:F20" si="1">+IFERROR(E10/$D10-1,"n/a")</f>
        <v>2.3415069936632618</v>
      </c>
      <c r="F17" s="31">
        <f t="shared" si="1"/>
        <v>2.4570161094172596</v>
      </c>
      <c r="G17" s="31">
        <f t="shared" ref="G17" ca="1" si="2">+IFERROR(G10/$D10-1,"n/a")</f>
        <v>2.3415069936632618</v>
      </c>
      <c r="H17" s="167"/>
      <c r="I17" s="167"/>
    </row>
    <row r="18" spans="1:9" ht="10.15" x14ac:dyDescent="0.2">
      <c r="B18" s="30" t="s">
        <v>224</v>
      </c>
      <c r="E18" s="28">
        <f t="shared" si="1"/>
        <v>0.85650616552004966</v>
      </c>
      <c r="F18" s="28">
        <f t="shared" si="1"/>
        <v>0.98914223281923941</v>
      </c>
      <c r="G18" s="28">
        <f t="shared" ref="G18" ca="1" si="3">+IFERROR(G11/$D11-1,"n/a")</f>
        <v>0.85650616552004966</v>
      </c>
      <c r="H18" s="167"/>
      <c r="I18" s="167"/>
    </row>
    <row r="19" spans="1:9" ht="12" x14ac:dyDescent="0.35">
      <c r="B19" s="20" t="s">
        <v>223</v>
      </c>
      <c r="E19" s="47" t="str">
        <f t="shared" si="1"/>
        <v>n/a</v>
      </c>
      <c r="F19" s="47" t="str">
        <f t="shared" si="1"/>
        <v>n/a</v>
      </c>
      <c r="G19" s="47" t="str">
        <f t="shared" ref="G19" si="4">+IFERROR(G12/$D12-1,"n/a")</f>
        <v>n/a</v>
      </c>
      <c r="H19" s="167"/>
      <c r="I19" s="167"/>
    </row>
    <row r="20" spans="1:9" ht="10.15" x14ac:dyDescent="0.2">
      <c r="B20" s="30" t="s">
        <v>225</v>
      </c>
      <c r="E20" s="28">
        <f t="shared" si="1"/>
        <v>0.85650616552004966</v>
      </c>
      <c r="F20" s="28">
        <f t="shared" si="1"/>
        <v>0.98914223281923941</v>
      </c>
      <c r="G20" s="28">
        <f t="shared" ref="G20" ca="1" si="5">+IFERROR(G13/$D13-1,"n/a")</f>
        <v>0.85650616552004966</v>
      </c>
      <c r="H20" s="167"/>
      <c r="I20" s="167"/>
    </row>
    <row r="21" spans="1:9" ht="10.15" x14ac:dyDescent="0.2">
      <c r="B21" s="4"/>
      <c r="H21" s="167"/>
      <c r="I21" s="167"/>
    </row>
    <row r="22" spans="1:9" ht="10.15" x14ac:dyDescent="0.2">
      <c r="A22" t="s">
        <v>452</v>
      </c>
      <c r="B22" t="s">
        <v>94</v>
      </c>
      <c r="D22" s="160">
        <f>+'Historical Financials'!AC61</f>
        <v>14609.383999999995</v>
      </c>
      <c r="E22" s="160">
        <f>+'Historical Financials'!AG61</f>
        <v>34987.298000000003</v>
      </c>
      <c r="F22" s="11">
        <v>36033.636312125745</v>
      </c>
      <c r="G22" s="212">
        <f ca="1">_xll.VAData("PDD_US",G$1,$A22,"consensus.vaactuals","CD","IMPL",$I$1)</f>
        <v>34987.298000000003</v>
      </c>
      <c r="H22" s="165">
        <f>+IFERROR($E22/F22-1,"n/a")</f>
        <v>-2.9037821857952117E-2</v>
      </c>
      <c r="I22" s="165">
        <f ca="1">+IFERROR($E22/G22-1,"n/a")</f>
        <v>0</v>
      </c>
    </row>
    <row r="23" spans="1:9" ht="10.15" x14ac:dyDescent="0.2">
      <c r="B23" s="20" t="s">
        <v>86</v>
      </c>
      <c r="E23" s="28">
        <f>+IFERROR(E22/$D22-1,"n/a")</f>
        <v>1.3948510080917864</v>
      </c>
      <c r="F23" s="28">
        <f>+IFERROR(F22/$D22-1,"n/a")</f>
        <v>1.4664719821264032</v>
      </c>
      <c r="G23" s="28">
        <f ca="1">+IFERROR(G22/$D22-1,"n/a")</f>
        <v>1.3948510080917864</v>
      </c>
      <c r="H23" s="167"/>
      <c r="I23" s="167"/>
    </row>
    <row r="24" spans="1:9" ht="10.15" x14ac:dyDescent="0.2">
      <c r="B24" s="20" t="s">
        <v>88</v>
      </c>
      <c r="D24" s="29">
        <f>+D22/D13</f>
        <v>0.27944099040051978</v>
      </c>
      <c r="E24" s="29">
        <f>+E22/E13</f>
        <v>0.36047256399786232</v>
      </c>
      <c r="F24" s="29">
        <f>+F22/F13</f>
        <v>0.34649778286778166</v>
      </c>
      <c r="G24" s="29">
        <f ca="1">+G22/G13</f>
        <v>0.36047256399786232</v>
      </c>
      <c r="H24" s="167"/>
      <c r="I24" s="167"/>
    </row>
    <row r="25" spans="1:9" ht="10.15" x14ac:dyDescent="0.2">
      <c r="H25" s="167"/>
      <c r="I25" s="167"/>
    </row>
    <row r="26" spans="1:9" ht="10.15" x14ac:dyDescent="0.2">
      <c r="A26" t="s">
        <v>70</v>
      </c>
      <c r="B26" t="s">
        <v>96</v>
      </c>
      <c r="D26" s="160">
        <f>+'Historical Financials'!AC67</f>
        <v>12718.754999999994</v>
      </c>
      <c r="E26" s="160">
        <f>+'Historical Financials'!AG67</f>
        <v>32564.536000000004</v>
      </c>
      <c r="F26" s="11">
        <v>33255.094312125744</v>
      </c>
      <c r="G26" s="212">
        <f ca="1">G22-_xll.VAData("PDD_US",G$1,$A26,"consensus.vaactuals","CD","IMPL",$I$1)</f>
        <v>32564.536000000004</v>
      </c>
      <c r="H26" s="165">
        <f>+IFERROR($E26/F26-1,"n/a")</f>
        <v>-2.0765489510999324E-2</v>
      </c>
      <c r="I26" s="165">
        <f ca="1">+IFERROR($E26/G26-1,"n/a")</f>
        <v>0</v>
      </c>
    </row>
    <row r="27" spans="1:9" ht="10.15" x14ac:dyDescent="0.2">
      <c r="B27" s="20" t="s">
        <v>86</v>
      </c>
      <c r="E27" s="28">
        <f>+IFERROR(E26/$D26-1,"n/a")</f>
        <v>1.5603556322926275</v>
      </c>
      <c r="F27" s="28">
        <f>+IFERROR(F26/$D26-1,"n/a")</f>
        <v>1.6146501219754419</v>
      </c>
      <c r="G27" s="28">
        <f ca="1">+IFERROR(G26/$D26-1,"n/a")</f>
        <v>1.5603556322926275</v>
      </c>
      <c r="H27" s="167"/>
      <c r="I27" s="167"/>
    </row>
    <row r="28" spans="1:9" ht="10.15" x14ac:dyDescent="0.2">
      <c r="B28" s="20" t="s">
        <v>88</v>
      </c>
      <c r="D28" s="29">
        <f>+D26/D13</f>
        <v>0.24327798446954113</v>
      </c>
      <c r="E28" s="29">
        <f>+E26/E13</f>
        <v>0.33551095564226457</v>
      </c>
      <c r="F28" s="29">
        <f>+F26/F13</f>
        <v>0.31977945129931235</v>
      </c>
      <c r="G28" s="29">
        <f ca="1">+G26/G13</f>
        <v>0.33551095564226457</v>
      </c>
      <c r="H28" s="167"/>
      <c r="I28" s="167"/>
    </row>
  </sheetData>
  <phoneticPr fontId="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1F9A-4BEF-4D5E-922D-FA4762B7FC00}">
  <sheetPr>
    <pageSetUpPr fitToPage="1"/>
  </sheetPr>
  <dimension ref="B2:J48"/>
  <sheetViews>
    <sheetView view="pageBreakPreview" zoomScaleNormal="100" zoomScaleSheetLayoutView="100" workbookViewId="0">
      <selection activeCell="J26" sqref="J26"/>
    </sheetView>
  </sheetViews>
  <sheetFormatPr defaultRowHeight="11.25" x14ac:dyDescent="0.2"/>
  <cols>
    <col min="1" max="1" width="2.83203125" customWidth="1"/>
    <col min="2" max="2" width="50.83203125" customWidth="1"/>
    <col min="3" max="9" width="15.83203125" customWidth="1"/>
  </cols>
  <sheetData>
    <row r="2" spans="2:8" ht="10.15" x14ac:dyDescent="0.2">
      <c r="B2" s="1" t="s">
        <v>0</v>
      </c>
      <c r="H2" s="59">
        <f ca="1">TODAY()</f>
        <v>45796</v>
      </c>
    </row>
    <row r="3" spans="2:8" s="2" customFormat="1" ht="10.15" x14ac:dyDescent="0.2">
      <c r="B3" s="2" t="s">
        <v>536</v>
      </c>
    </row>
    <row r="4" spans="2:8" ht="10.15" x14ac:dyDescent="0.2">
      <c r="B4" s="3" t="s">
        <v>537</v>
      </c>
    </row>
    <row r="5" spans="2:8" ht="10.15" x14ac:dyDescent="0.2">
      <c r="E5" s="8" t="s">
        <v>538</v>
      </c>
      <c r="F5" s="9"/>
      <c r="G5" s="8" t="s">
        <v>539</v>
      </c>
      <c r="H5" s="9"/>
    </row>
    <row r="6" spans="2:8" ht="27.6" x14ac:dyDescent="0.35">
      <c r="B6" s="3" t="s">
        <v>540</v>
      </c>
      <c r="C6" s="255" t="s">
        <v>541</v>
      </c>
      <c r="D6" s="255" t="s">
        <v>541</v>
      </c>
      <c r="E6" s="256" t="s">
        <v>542</v>
      </c>
      <c r="F6" s="255" t="s">
        <v>569</v>
      </c>
      <c r="G6" s="256" t="s">
        <v>542</v>
      </c>
      <c r="H6" s="255" t="s">
        <v>569</v>
      </c>
    </row>
    <row r="7" spans="2:8" ht="10.15" x14ac:dyDescent="0.2">
      <c r="C7" s="257" t="s">
        <v>543</v>
      </c>
      <c r="D7" s="257" t="s">
        <v>544</v>
      </c>
      <c r="E7" s="257" t="s">
        <v>544</v>
      </c>
      <c r="F7" s="257" t="s">
        <v>545</v>
      </c>
      <c r="G7" s="257" t="s">
        <v>544</v>
      </c>
      <c r="H7" s="257" t="s">
        <v>545</v>
      </c>
    </row>
    <row r="8" spans="2:8" ht="10.15" x14ac:dyDescent="0.2">
      <c r="C8" s="257"/>
    </row>
    <row r="9" spans="2:8" ht="10.15" x14ac:dyDescent="0.2">
      <c r="B9" s="24" t="s">
        <v>546</v>
      </c>
      <c r="C9" s="257"/>
    </row>
    <row r="10" spans="2:8" ht="12" x14ac:dyDescent="0.35">
      <c r="B10" t="s">
        <v>546</v>
      </c>
      <c r="C10" s="23" t="s">
        <v>65</v>
      </c>
      <c r="D10" s="23">
        <v>193149865</v>
      </c>
      <c r="E10" s="23">
        <f>193146679+70</f>
        <v>193146749</v>
      </c>
      <c r="F10" s="36">
        <f>+IFERROR(D10-E10,"n/a")</f>
        <v>3116</v>
      </c>
      <c r="G10" s="25">
        <f>+E10</f>
        <v>193146749</v>
      </c>
      <c r="H10" s="25">
        <f>+F10</f>
        <v>3116</v>
      </c>
    </row>
    <row r="11" spans="2:8" s="1" customFormat="1" ht="10.15" x14ac:dyDescent="0.2">
      <c r="B11" s="38" t="s">
        <v>546</v>
      </c>
      <c r="C11" s="41" t="str">
        <f>+C10</f>
        <v>n/a</v>
      </c>
      <c r="D11" s="41">
        <f>+D10</f>
        <v>193149865</v>
      </c>
      <c r="E11" s="41">
        <f>+E10</f>
        <v>193146749</v>
      </c>
      <c r="F11" s="49">
        <f>+IFERROR(D11-E11,"n/a")</f>
        <v>3116</v>
      </c>
      <c r="G11" s="42">
        <f>+E11</f>
        <v>193146749</v>
      </c>
      <c r="H11" s="42">
        <f>+F11</f>
        <v>3116</v>
      </c>
    </row>
    <row r="12" spans="2:8" ht="10.15" x14ac:dyDescent="0.2">
      <c r="C12" s="257"/>
    </row>
    <row r="13" spans="2:8" ht="10.15" x14ac:dyDescent="0.2">
      <c r="B13" s="24" t="s">
        <v>547</v>
      </c>
      <c r="C13" s="257"/>
    </row>
    <row r="14" spans="2:8" ht="12" x14ac:dyDescent="0.35">
      <c r="B14" t="s">
        <v>548</v>
      </c>
      <c r="C14" s="23">
        <v>1364738</v>
      </c>
      <c r="D14" s="23">
        <v>1391393</v>
      </c>
      <c r="E14" s="23">
        <f>63973+2000+2955+1317391</f>
        <v>1386319</v>
      </c>
      <c r="F14" s="36">
        <f>+IFERROR(D14-E14,"n/a")</f>
        <v>5074</v>
      </c>
      <c r="G14" s="25">
        <f>+E14</f>
        <v>1386319</v>
      </c>
      <c r="H14" s="25">
        <f>+F14</f>
        <v>5074</v>
      </c>
    </row>
    <row r="15" spans="2:8" s="1" customFormat="1" ht="10.15" x14ac:dyDescent="0.2">
      <c r="B15" s="38" t="s">
        <v>547</v>
      </c>
      <c r="C15" s="41">
        <f>+C14</f>
        <v>1364738</v>
      </c>
      <c r="D15" s="41">
        <f>+D14</f>
        <v>1391393</v>
      </c>
      <c r="E15" s="41">
        <f>+E14</f>
        <v>1386319</v>
      </c>
      <c r="F15" s="49">
        <f>+IFERROR(D15-E15,"n/a")</f>
        <v>5074</v>
      </c>
      <c r="G15" s="42">
        <f>+E15</f>
        <v>1386319</v>
      </c>
      <c r="H15" s="42">
        <f>+F15</f>
        <v>5074</v>
      </c>
    </row>
    <row r="16" spans="2:8" ht="10.15" x14ac:dyDescent="0.2">
      <c r="C16" s="257"/>
    </row>
    <row r="17" spans="2:8" ht="10.15" x14ac:dyDescent="0.2">
      <c r="B17" s="24" t="s">
        <v>549</v>
      </c>
      <c r="C17" s="257"/>
    </row>
    <row r="18" spans="2:8" ht="10.15" x14ac:dyDescent="0.2">
      <c r="B18" t="s">
        <v>550</v>
      </c>
      <c r="C18" s="12">
        <v>899554</v>
      </c>
      <c r="D18" s="58">
        <f>+C18</f>
        <v>899554</v>
      </c>
      <c r="E18" s="12" t="s">
        <v>65</v>
      </c>
      <c r="F18" s="17" t="str">
        <f>+IFERROR(D18-E18,"n/a")</f>
        <v>n/a</v>
      </c>
      <c r="G18" s="37" t="str">
        <f t="shared" ref="G18:H21" si="0">+E18</f>
        <v>n/a</v>
      </c>
      <c r="H18" s="37" t="str">
        <f t="shared" si="0"/>
        <v>n/a</v>
      </c>
    </row>
    <row r="19" spans="2:8" ht="10.15" x14ac:dyDescent="0.2">
      <c r="B19" t="s">
        <v>551</v>
      </c>
      <c r="C19" s="12">
        <v>210588375</v>
      </c>
      <c r="D19" s="58">
        <f>+C19</f>
        <v>210588375</v>
      </c>
      <c r="E19" s="12" t="s">
        <v>65</v>
      </c>
      <c r="F19" s="17" t="str">
        <f t="shared" ref="F19:F21" si="1">+IFERROR(D19-E19,"n/a")</f>
        <v>n/a</v>
      </c>
      <c r="G19" s="37" t="str">
        <f t="shared" si="0"/>
        <v>n/a</v>
      </c>
      <c r="H19" s="37" t="str">
        <f t="shared" si="0"/>
        <v>n/a</v>
      </c>
    </row>
    <row r="20" spans="2:8" ht="12" x14ac:dyDescent="0.35">
      <c r="B20" t="s">
        <v>552</v>
      </c>
      <c r="C20" s="54">
        <v>0</v>
      </c>
      <c r="D20" s="25">
        <f>+D21-SUM(D18:D19)</f>
        <v>1721620</v>
      </c>
      <c r="E20" s="23" t="s">
        <v>65</v>
      </c>
      <c r="F20" s="36" t="str">
        <f t="shared" si="1"/>
        <v>n/a</v>
      </c>
      <c r="G20" s="35" t="str">
        <f t="shared" si="0"/>
        <v>n/a</v>
      </c>
      <c r="H20" s="35" t="str">
        <f t="shared" si="0"/>
        <v>n/a</v>
      </c>
    </row>
    <row r="21" spans="2:8" ht="10.15" x14ac:dyDescent="0.2">
      <c r="B21" s="38" t="s">
        <v>549</v>
      </c>
      <c r="C21" s="42">
        <f>SUM(C18:C20)</f>
        <v>211487929</v>
      </c>
      <c r="D21" s="40">
        <v>213209549</v>
      </c>
      <c r="E21" s="40">
        <f>1070678+8285690+69254862</f>
        <v>78611230</v>
      </c>
      <c r="F21" s="49">
        <f t="shared" si="1"/>
        <v>134598319</v>
      </c>
      <c r="G21" s="42">
        <f t="shared" si="0"/>
        <v>78611230</v>
      </c>
      <c r="H21" s="42">
        <f t="shared" si="0"/>
        <v>134598319</v>
      </c>
    </row>
    <row r="22" spans="2:8" ht="10.15" x14ac:dyDescent="0.2">
      <c r="B22" s="38"/>
      <c r="C22" s="10"/>
      <c r="D22" s="12"/>
      <c r="E22" s="12"/>
      <c r="F22" s="17"/>
    </row>
    <row r="23" spans="2:8" ht="10.15" x14ac:dyDescent="0.2">
      <c r="B23" s="24" t="s">
        <v>553</v>
      </c>
      <c r="C23" s="10"/>
      <c r="D23" s="12"/>
      <c r="E23" s="12"/>
      <c r="F23" s="17"/>
    </row>
    <row r="24" spans="2:8" ht="11.45" x14ac:dyDescent="0.2">
      <c r="B24" t="s">
        <v>554</v>
      </c>
      <c r="C24" s="12">
        <v>5008389</v>
      </c>
      <c r="D24" s="58">
        <f>+C24</f>
        <v>5008389</v>
      </c>
      <c r="E24" s="12" t="s">
        <v>65</v>
      </c>
      <c r="F24" s="17" t="str">
        <f>+IFERROR(D24-E24,"n/a")</f>
        <v>n/a</v>
      </c>
      <c r="G24" s="12" t="s">
        <v>65</v>
      </c>
      <c r="H24" s="17" t="str">
        <f>+IFERROR(D24-G24,"n/a")</f>
        <v>n/a</v>
      </c>
    </row>
    <row r="25" spans="2:8" ht="10.15" x14ac:dyDescent="0.2">
      <c r="B25" t="s">
        <v>555</v>
      </c>
      <c r="C25" s="12">
        <v>90976577</v>
      </c>
      <c r="D25" s="58">
        <f t="shared" ref="D25:D26" si="2">+C25</f>
        <v>90976577</v>
      </c>
      <c r="E25" s="12" t="s">
        <v>65</v>
      </c>
      <c r="F25" s="17" t="str">
        <f t="shared" ref="F25:F34" si="3">+IFERROR(D25-E25,"n/a")</f>
        <v>n/a</v>
      </c>
      <c r="G25" s="12" t="s">
        <v>65</v>
      </c>
      <c r="H25" s="17" t="str">
        <f t="shared" ref="H25:H34" si="4">+IFERROR(D25-G25,"n/a")</f>
        <v>n/a</v>
      </c>
    </row>
    <row r="26" spans="2:8" ht="12" x14ac:dyDescent="0.35">
      <c r="B26" t="s">
        <v>556</v>
      </c>
      <c r="C26" s="23">
        <v>31738835</v>
      </c>
      <c r="D26" s="54">
        <f t="shared" si="2"/>
        <v>31738835</v>
      </c>
      <c r="E26" s="23" t="s">
        <v>65</v>
      </c>
      <c r="F26" s="36" t="str">
        <f t="shared" si="3"/>
        <v>n/a</v>
      </c>
      <c r="G26" s="23" t="s">
        <v>65</v>
      </c>
      <c r="H26" s="36" t="str">
        <f t="shared" si="4"/>
        <v>n/a</v>
      </c>
    </row>
    <row r="27" spans="2:8" ht="10.15" x14ac:dyDescent="0.2">
      <c r="B27" s="4" t="s">
        <v>557</v>
      </c>
      <c r="C27" s="17">
        <f>SUM(C24:C26)</f>
        <v>127723801</v>
      </c>
      <c r="D27" s="10">
        <f>SUM(D24:D26)</f>
        <v>127723801</v>
      </c>
      <c r="E27" s="10">
        <f>+IFERROR(E34-E33,"n/a")</f>
        <v>0</v>
      </c>
      <c r="F27" s="17">
        <f t="shared" si="3"/>
        <v>127723801</v>
      </c>
      <c r="G27" s="10">
        <f>+IFERROR(G34-G33,"n/a")</f>
        <v>76306914</v>
      </c>
      <c r="H27" s="17">
        <f t="shared" si="4"/>
        <v>51416887</v>
      </c>
    </row>
    <row r="28" spans="2:8" ht="10.15" x14ac:dyDescent="0.2">
      <c r="B28" t="s">
        <v>558</v>
      </c>
      <c r="C28" s="12" t="s">
        <v>65</v>
      </c>
      <c r="D28" s="12" t="s">
        <v>65</v>
      </c>
      <c r="E28" s="12" t="s">
        <v>65</v>
      </c>
      <c r="F28" s="17" t="str">
        <f t="shared" si="3"/>
        <v>n/a</v>
      </c>
      <c r="G28" s="12" t="s">
        <v>65</v>
      </c>
      <c r="H28" s="17" t="str">
        <f t="shared" si="4"/>
        <v>n/a</v>
      </c>
    </row>
    <row r="29" spans="2:8" ht="10.15" x14ac:dyDescent="0.2">
      <c r="B29" t="s">
        <v>559</v>
      </c>
      <c r="C29" s="12" t="s">
        <v>65</v>
      </c>
      <c r="D29" s="12" t="s">
        <v>65</v>
      </c>
      <c r="E29" s="12" t="s">
        <v>65</v>
      </c>
      <c r="F29" s="17" t="str">
        <f t="shared" si="3"/>
        <v>n/a</v>
      </c>
      <c r="G29" s="12" t="s">
        <v>65</v>
      </c>
      <c r="H29" s="17" t="str">
        <f t="shared" si="4"/>
        <v>n/a</v>
      </c>
    </row>
    <row r="30" spans="2:8" ht="10.15" x14ac:dyDescent="0.2">
      <c r="B30" t="s">
        <v>560</v>
      </c>
      <c r="C30" s="12" t="s">
        <v>65</v>
      </c>
      <c r="D30" s="12" t="s">
        <v>65</v>
      </c>
      <c r="E30" s="12" t="s">
        <v>65</v>
      </c>
      <c r="F30" s="17" t="str">
        <f t="shared" si="3"/>
        <v>n/a</v>
      </c>
      <c r="G30" s="12" t="s">
        <v>65</v>
      </c>
      <c r="H30" s="17" t="str">
        <f t="shared" si="4"/>
        <v>n/a</v>
      </c>
    </row>
    <row r="31" spans="2:8" ht="10.15" x14ac:dyDescent="0.2">
      <c r="B31" t="s">
        <v>561</v>
      </c>
      <c r="C31" s="12" t="s">
        <v>65</v>
      </c>
      <c r="D31" s="12" t="s">
        <v>65</v>
      </c>
      <c r="E31" s="12" t="s">
        <v>65</v>
      </c>
      <c r="F31" s="17" t="str">
        <f t="shared" si="3"/>
        <v>n/a</v>
      </c>
      <c r="G31" s="12" t="s">
        <v>65</v>
      </c>
      <c r="H31" s="17" t="str">
        <f t="shared" si="4"/>
        <v>n/a</v>
      </c>
    </row>
    <row r="32" spans="2:8" ht="12" x14ac:dyDescent="0.35">
      <c r="B32" t="s">
        <v>562</v>
      </c>
      <c r="C32" s="23" t="s">
        <v>65</v>
      </c>
      <c r="D32" s="23" t="s">
        <v>65</v>
      </c>
      <c r="E32" s="23" t="s">
        <v>65</v>
      </c>
      <c r="F32" s="36" t="str">
        <f t="shared" si="3"/>
        <v>n/a</v>
      </c>
      <c r="G32" s="23" t="s">
        <v>65</v>
      </c>
      <c r="H32" s="36" t="str">
        <f t="shared" si="4"/>
        <v>n/a</v>
      </c>
    </row>
    <row r="33" spans="2:10" ht="12" x14ac:dyDescent="0.35">
      <c r="B33" s="4" t="s">
        <v>563</v>
      </c>
      <c r="C33" s="36" t="str">
        <f>+IFERROR(C27+C28+C29+C30+C31+C32,"n/a")</f>
        <v>n/a</v>
      </c>
      <c r="D33" s="25">
        <f>+IFERROR(D34-D27,"n/a")</f>
        <v>141123150</v>
      </c>
      <c r="E33" s="258">
        <f>+E34</f>
        <v>76306914</v>
      </c>
      <c r="F33" s="36">
        <f t="shared" si="3"/>
        <v>64816236</v>
      </c>
      <c r="G33" s="258">
        <v>0</v>
      </c>
      <c r="H33" s="36">
        <f t="shared" si="4"/>
        <v>141123150</v>
      </c>
    </row>
    <row r="34" spans="2:10" ht="10.15" x14ac:dyDescent="0.2">
      <c r="B34" s="43" t="s">
        <v>553</v>
      </c>
      <c r="C34" s="41" t="str">
        <f>+IFERROR(C27+C33,"n/a")</f>
        <v>n/a</v>
      </c>
      <c r="D34" s="40">
        <v>268846951</v>
      </c>
      <c r="E34" s="40">
        <f>4241721+1754436+7266487+63044270</f>
        <v>76306914</v>
      </c>
      <c r="F34" s="49">
        <f t="shared" si="3"/>
        <v>192540037</v>
      </c>
      <c r="G34" s="40">
        <f>4241721+1754436+7266487+63044270</f>
        <v>76306914</v>
      </c>
      <c r="H34" s="49">
        <f t="shared" si="4"/>
        <v>192540037</v>
      </c>
    </row>
    <row r="36" spans="2:10" ht="10.15" x14ac:dyDescent="0.2">
      <c r="B36" s="24" t="s">
        <v>381</v>
      </c>
    </row>
    <row r="37" spans="2:10" ht="10.15" x14ac:dyDescent="0.2">
      <c r="B37" t="s">
        <v>547</v>
      </c>
      <c r="F37" s="10">
        <f>+F15</f>
        <v>5074</v>
      </c>
      <c r="H37" s="10">
        <f>+H15</f>
        <v>5074</v>
      </c>
    </row>
    <row r="38" spans="2:10" ht="10.15" x14ac:dyDescent="0.2">
      <c r="B38" t="s">
        <v>549</v>
      </c>
      <c r="F38" s="10">
        <f>+F21</f>
        <v>134598319</v>
      </c>
      <c r="H38" s="10">
        <f>+H21</f>
        <v>134598319</v>
      </c>
    </row>
    <row r="39" spans="2:10" ht="12" x14ac:dyDescent="0.35">
      <c r="B39" t="s">
        <v>557</v>
      </c>
      <c r="F39" s="25">
        <f>+F27</f>
        <v>127723801</v>
      </c>
      <c r="H39" s="25">
        <f>+H27</f>
        <v>51416887</v>
      </c>
    </row>
    <row r="40" spans="2:10" s="1" customFormat="1" ht="10.15" x14ac:dyDescent="0.2">
      <c r="B40" s="38" t="s">
        <v>564</v>
      </c>
      <c r="F40" s="42">
        <f>SUM(F37:F39)</f>
        <v>262327194</v>
      </c>
      <c r="H40" s="42">
        <f>SUM(H37:H39)</f>
        <v>186020280</v>
      </c>
    </row>
    <row r="41" spans="2:10" ht="10.15" x14ac:dyDescent="0.2">
      <c r="B41" t="s">
        <v>546</v>
      </c>
      <c r="F41" s="10">
        <f>+F11</f>
        <v>3116</v>
      </c>
      <c r="H41" s="10">
        <f>+H11</f>
        <v>3116</v>
      </c>
    </row>
    <row r="42" spans="2:10" ht="12.6" thickBot="1" x14ac:dyDescent="0.4">
      <c r="B42" t="s">
        <v>563</v>
      </c>
      <c r="F42" s="25">
        <f>+F33</f>
        <v>64816236</v>
      </c>
      <c r="H42" s="25">
        <f>+H33</f>
        <v>141123150</v>
      </c>
    </row>
    <row r="43" spans="2:10" ht="12.6" thickBot="1" x14ac:dyDescent="0.4">
      <c r="B43" s="38" t="s">
        <v>565</v>
      </c>
      <c r="F43" s="259">
        <f>+SUM(F41:F42)</f>
        <v>64819352</v>
      </c>
      <c r="G43" s="33"/>
      <c r="H43" s="259">
        <f>+SUM(H41:H42)</f>
        <v>141126266</v>
      </c>
      <c r="I43" s="33"/>
      <c r="J43" s="33"/>
    </row>
    <row r="44" spans="2:10" s="1" customFormat="1" ht="10.15" x14ac:dyDescent="0.2">
      <c r="B44" s="43" t="s">
        <v>566</v>
      </c>
      <c r="F44" s="42">
        <f>+F40+F43</f>
        <v>327146546</v>
      </c>
      <c r="H44" s="42">
        <f>+H40+H43</f>
        <v>327146546</v>
      </c>
    </row>
    <row r="47" spans="2:10" s="190" customFormat="1" ht="10.15" x14ac:dyDescent="0.2">
      <c r="B47" s="2" t="s">
        <v>567</v>
      </c>
    </row>
    <row r="48" spans="2:10" ht="10.15" x14ac:dyDescent="0.2">
      <c r="B48" s="34" t="s">
        <v>568</v>
      </c>
    </row>
  </sheetData>
  <pageMargins left="0.3" right="0.3" top="0.3" bottom="0.3" header="0.3" footer="0.3"/>
  <pageSetup scale="87" orientation="portrait" r:id="rId1"/>
  <headerFooter>
    <oddFooter>Page &amp;P of &amp;N</oddFooter>
  </headerFooter>
  <colBreaks count="1" manualBreakCount="1">
    <brk id="8" max="1048575" man="1"/>
  </col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40B07-E36B-45CA-A751-8750E669AD44}">
  <dimension ref="A2:AC110"/>
  <sheetViews>
    <sheetView view="pageBreakPreview" zoomScaleNormal="100" zoomScaleSheetLayoutView="100" workbookViewId="0">
      <selection activeCell="B53" sqref="B53"/>
    </sheetView>
  </sheetViews>
  <sheetFormatPr defaultRowHeight="11.25" outlineLevelRow="1" outlineLevelCol="1" x14ac:dyDescent="0.2"/>
  <cols>
    <col min="1" max="1" width="2.83203125" customWidth="1"/>
    <col min="2" max="2" width="30.83203125" customWidth="1"/>
    <col min="3" max="3" width="2.83203125" customWidth="1"/>
    <col min="4" max="4" width="9.33203125" hidden="1" customWidth="1" outlineLevel="1"/>
    <col min="5" max="5" width="9.33203125" customWidth="1" collapsed="1"/>
    <col min="6" max="26" width="9.33203125" customWidth="1"/>
  </cols>
  <sheetData>
    <row r="2" spans="2:27" x14ac:dyDescent="0.2">
      <c r="B2" s="1" t="s">
        <v>0</v>
      </c>
      <c r="Z2" s="59">
        <f ca="1">TODAY()</f>
        <v>45796</v>
      </c>
    </row>
    <row r="3" spans="2:27" s="190" customFormat="1" x14ac:dyDescent="0.2">
      <c r="B3" s="2" t="s">
        <v>526</v>
      </c>
    </row>
    <row r="4" spans="2:27" x14ac:dyDescent="0.2">
      <c r="B4" s="3" t="s">
        <v>109</v>
      </c>
    </row>
    <row r="5" spans="2:27" x14ac:dyDescent="0.2">
      <c r="E5" s="8" t="s">
        <v>60</v>
      </c>
      <c r="F5" s="9"/>
      <c r="G5" s="9"/>
      <c r="H5" s="9"/>
      <c r="I5" s="9"/>
      <c r="J5" s="9"/>
      <c r="K5" s="9"/>
      <c r="L5" s="9"/>
      <c r="M5" s="9"/>
      <c r="N5" s="9"/>
      <c r="O5" s="9"/>
      <c r="P5" s="9"/>
      <c r="Q5" s="9"/>
      <c r="R5" s="9"/>
      <c r="S5" s="9"/>
      <c r="T5" s="9"/>
      <c r="U5" s="9"/>
      <c r="V5" s="9"/>
      <c r="W5" s="9"/>
      <c r="X5" s="9"/>
      <c r="Y5" s="9"/>
      <c r="Z5" s="9"/>
    </row>
    <row r="6" spans="2:27" ht="13.5" x14ac:dyDescent="0.35">
      <c r="E6" s="7" t="s">
        <v>30</v>
      </c>
      <c r="F6" s="7" t="s">
        <v>31</v>
      </c>
      <c r="G6" s="7" t="s">
        <v>32</v>
      </c>
      <c r="H6" s="7" t="s">
        <v>33</v>
      </c>
      <c r="I6" s="7" t="s">
        <v>34</v>
      </c>
      <c r="J6" s="7" t="s">
        <v>35</v>
      </c>
      <c r="K6" s="7" t="s">
        <v>36</v>
      </c>
      <c r="L6" s="7" t="s">
        <v>37</v>
      </c>
      <c r="M6" s="7" t="s">
        <v>38</v>
      </c>
      <c r="N6" s="7" t="s">
        <v>39</v>
      </c>
      <c r="O6" s="7" t="s">
        <v>40</v>
      </c>
      <c r="P6" s="7" t="s">
        <v>41</v>
      </c>
      <c r="Q6" s="7" t="s">
        <v>42</v>
      </c>
      <c r="R6" s="7" t="s">
        <v>43</v>
      </c>
      <c r="S6" s="7" t="s">
        <v>44</v>
      </c>
      <c r="T6" s="7" t="s">
        <v>45</v>
      </c>
      <c r="U6" s="7" t="s">
        <v>46</v>
      </c>
      <c r="V6" s="7" t="s">
        <v>47</v>
      </c>
      <c r="W6" s="7" t="s">
        <v>48</v>
      </c>
      <c r="X6" s="7" t="s">
        <v>241</v>
      </c>
      <c r="Y6" s="7" t="s">
        <v>242</v>
      </c>
      <c r="Z6" s="7" t="s">
        <v>243</v>
      </c>
    </row>
    <row r="8" spans="2:27" x14ac:dyDescent="0.2">
      <c r="B8" s="24" t="s">
        <v>527</v>
      </c>
    </row>
    <row r="9" spans="2:27" s="1" customFormat="1" x14ac:dyDescent="0.2">
      <c r="B9" s="1" t="s">
        <v>527</v>
      </c>
      <c r="E9" s="42">
        <f t="shared" ref="E9:Z9" si="0">+SUM(E43,E45:E46)</f>
        <v>29421.238999999998</v>
      </c>
      <c r="F9" s="42">
        <f t="shared" si="0"/>
        <v>31787.360999999997</v>
      </c>
      <c r="G9" s="42">
        <f t="shared" si="0"/>
        <v>40254.824000000001</v>
      </c>
      <c r="H9" s="42">
        <f t="shared" si="0"/>
        <v>41057.012999999999</v>
      </c>
      <c r="I9" s="42">
        <f t="shared" si="0"/>
        <v>42575.207999999999</v>
      </c>
      <c r="J9" s="42">
        <f t="shared" si="0"/>
        <v>50511.501836525887</v>
      </c>
      <c r="K9" s="42">
        <f t="shared" si="0"/>
        <v>51198.420836525889</v>
      </c>
      <c r="L9" s="42">
        <f t="shared" si="0"/>
        <v>92676.294999999998</v>
      </c>
      <c r="M9" s="42">
        <f t="shared" si="0"/>
        <v>93317.093052954806</v>
      </c>
      <c r="N9" s="42">
        <f t="shared" si="0"/>
        <v>98157.764553577625</v>
      </c>
      <c r="O9" s="42">
        <f t="shared" si="0"/>
        <v>102424.2526026772</v>
      </c>
      <c r="P9" s="42">
        <f t="shared" si="0"/>
        <v>107243.133</v>
      </c>
      <c r="Q9" s="42">
        <f t="shared" si="0"/>
        <v>112050.55984768557</v>
      </c>
      <c r="R9" s="42">
        <f t="shared" si="0"/>
        <v>131332.90510216766</v>
      </c>
      <c r="S9" s="42">
        <f t="shared" si="0"/>
        <v>148965.51715964079</v>
      </c>
      <c r="T9" s="42">
        <f t="shared" si="0"/>
        <v>164054.50300000003</v>
      </c>
      <c r="U9" s="42">
        <f t="shared" si="0"/>
        <v>175954.33568415116</v>
      </c>
      <c r="V9" s="42">
        <f t="shared" si="0"/>
        <v>205253.32906784388</v>
      </c>
      <c r="W9" s="42">
        <f t="shared" si="0"/>
        <v>235069.40553497756</v>
      </c>
      <c r="X9" s="42">
        <f t="shared" si="0"/>
        <v>262811.20799999998</v>
      </c>
      <c r="Y9" s="42">
        <f t="shared" si="0"/>
        <v>295820.08879739215</v>
      </c>
      <c r="Z9" s="42">
        <f t="shared" si="0"/>
        <v>349422.87157849636</v>
      </c>
    </row>
    <row r="10" spans="2:27" s="1" customFormat="1" x14ac:dyDescent="0.2">
      <c r="E10" s="42"/>
      <c r="F10" s="42"/>
      <c r="G10" s="42"/>
      <c r="H10" s="42"/>
      <c r="I10" s="42"/>
      <c r="J10" s="42"/>
      <c r="K10" s="42"/>
      <c r="L10" s="42"/>
      <c r="M10" s="42"/>
      <c r="N10" s="42"/>
      <c r="O10" s="42"/>
      <c r="P10" s="42"/>
      <c r="Q10" s="42"/>
      <c r="R10" s="42"/>
      <c r="S10" s="42"/>
      <c r="T10" s="42"/>
      <c r="U10" s="42"/>
      <c r="V10" s="42"/>
      <c r="W10" s="42"/>
      <c r="X10" s="42"/>
      <c r="Y10" s="42"/>
      <c r="Z10" s="42"/>
    </row>
    <row r="11" spans="2:27" x14ac:dyDescent="0.2">
      <c r="B11" s="24" t="s">
        <v>529</v>
      </c>
    </row>
    <row r="12" spans="2:27" hidden="1" outlineLevel="1" x14ac:dyDescent="0.2">
      <c r="B12" s="184" t="s">
        <v>520</v>
      </c>
      <c r="E12" s="147">
        <f>+IF(SUM('Historical Financials'!$AO$767:$AQ$767,'Historical Financials'!$AO$780:$AQ$780,'Historical Financials'!$L767:L767,'Historical Financials'!$L771:L771,'Historical Financials'!$L772:L772,'Historical Financials'!$L774:L774,'Historical Financials'!$L776:L776,'Historical Financials'!$L780:L780)=0,"n/a",IFERROR(SUM('Historical Financials'!$AO$767:$AQ$767,'Historical Financials'!$AO$780:$AQ$780,'Historical Financials'!$L767:L767,'Historical Financials'!$L771:L771,'Historical Financials'!$L772:L772,'Historical Financials'!$L774:L774,'Historical Financials'!$L776:L776,'Historical Financials'!$L780:L780),"n/a"))</f>
        <v>19663.328999999998</v>
      </c>
      <c r="F12" s="147">
        <f>+IF(SUM('Historical Financials'!$AO$767:$AQ$767,'Historical Financials'!$AO$780:$AQ$780,'Historical Financials'!$L767:M767,'Historical Financials'!$L771:M771,'Historical Financials'!$L772:M772,'Historical Financials'!$L774:M774,'Historical Financials'!$L776:M776,'Historical Financials'!$L780:M780)=0,"n/a",IFERROR(SUM('Historical Financials'!$AO$767:$AQ$767,'Historical Financials'!$AO$780:$AQ$780,'Historical Financials'!$L767:M767,'Historical Financials'!$L771:M771,'Historical Financials'!$L772:M772,'Historical Financials'!$L774:M774,'Historical Financials'!$L776:M776,'Historical Financials'!$L780:M780),"n/a"))</f>
        <v>19663.328999999998</v>
      </c>
      <c r="G12" s="147">
        <f>+IF(SUM('Historical Financials'!$AO$767:$AQ$767,'Historical Financials'!$AO$780:$AQ$780,'Historical Financials'!$L767:N767,'Historical Financials'!$L771:N771,'Historical Financials'!$L772:N772,'Historical Financials'!$L774:N774,'Historical Financials'!$L776:N776,'Historical Financials'!$L780:N780)=0,"n/a",IFERROR(SUM('Historical Financials'!$AO$767:$AQ$767,'Historical Financials'!$AO$780:$AQ$780,'Historical Financials'!$L767:N767,'Historical Financials'!$L771:N771,'Historical Financials'!$L772:N772,'Historical Financials'!$L774:N774,'Historical Financials'!$L776:N776,'Historical Financials'!$L780:N780),"n/a"))</f>
        <v>19663.328999999998</v>
      </c>
      <c r="H12" s="147">
        <f>+IF(SUM('Historical Financials'!$AO$767:$AQ$767,'Historical Financials'!$AO$780:$AQ$780,'Historical Financials'!$L767:O767,'Historical Financials'!$L771:O771,'Historical Financials'!$L772:O772,'Historical Financials'!$L774:O774,'Historical Financials'!$L776:O776,'Historical Financials'!$L780:O780)=0,"n/a",IFERROR(SUM('Historical Financials'!$AO$767:$AQ$767,'Historical Financials'!$AO$780:$AQ$780,'Historical Financials'!$L767:O767,'Historical Financials'!$L771:O771,'Historical Financials'!$L772:O772,'Historical Financials'!$L774:O774,'Historical Financials'!$L776:O776,'Historical Financials'!$L780:O780),"n/a"))</f>
        <v>35828.048999999999</v>
      </c>
      <c r="I12" s="147">
        <f>+IF(SUM('Historical Financials'!$AO$767:$AQ$767,'Historical Financials'!$AO$780:$AQ$780,'Historical Financials'!$L767:P767,'Historical Financials'!$L771:P771,'Historical Financials'!$L772:P772,'Historical Financials'!$L774:P774,'Historical Financials'!$L776:P776,'Historical Financials'!$L780:P780)=0,"n/a",IFERROR(SUM('Historical Financials'!$AO$767:$AQ$767,'Historical Financials'!$AO$780:$AQ$780,'Historical Financials'!$L767:P767,'Historical Financials'!$L771:P771,'Historical Financials'!$L772:P772,'Historical Financials'!$L774:P774,'Historical Financials'!$L776:P776,'Historical Financials'!$L780:P780),"n/a"))</f>
        <v>35828.048999999999</v>
      </c>
      <c r="J12" s="147">
        <f>+IF(SUM('Historical Financials'!$AO$767:$AQ$767,'Historical Financials'!$AO$780:$AQ$780,'Historical Financials'!$L767:Q767,'Historical Financials'!$L771:Q771,'Historical Financials'!$L772:Q772,'Historical Financials'!$L774:Q774,'Historical Financials'!$L776:Q776,'Historical Financials'!$L780:Q780)=0,"n/a",IFERROR(SUM('Historical Financials'!$AO$767:$AQ$767,'Historical Financials'!$AO$780:$AQ$780,'Historical Financials'!$L767:Q767,'Historical Financials'!$L771:Q771,'Historical Financials'!$L772:Q772,'Historical Financials'!$L774:Q774,'Historical Financials'!$L776:Q776,'Historical Financials'!$L780:Q780),"n/a"))</f>
        <v>35828.048999999999</v>
      </c>
      <c r="K12" s="147">
        <f>+IF(SUM('Historical Financials'!$AO$767:$AQ$767,'Historical Financials'!$AO$780:$AQ$780,'Historical Financials'!$L767:R767,'Historical Financials'!$L771:R771,'Historical Financials'!$L772:R772,'Historical Financials'!$L774:R774,'Historical Financials'!$L776:R776,'Historical Financials'!$L780:R780)=0,"n/a",IFERROR(SUM('Historical Financials'!$AO$767:$AQ$767,'Historical Financials'!$AO$780:$AQ$780,'Historical Financials'!$L767:R767,'Historical Financials'!$L771:R771,'Historical Financials'!$L772:R772,'Historical Financials'!$L774:R774,'Historical Financials'!$L776:R776,'Historical Financials'!$L780:R780),"n/a"))</f>
        <v>35828.048999999999</v>
      </c>
      <c r="L12" s="147">
        <f>+IF(SUM('Historical Financials'!$AO$767:$AQ$767,'Historical Financials'!$AO$780:$AQ$780,'Historical Financials'!$L767:S767,'Historical Financials'!$L771:S771,'Historical Financials'!$L772:S772,'Historical Financials'!$L774:S774,'Historical Financials'!$L776:S776,'Historical Financials'!$L780:S780)=0,"n/a",IFERROR(SUM('Historical Financials'!$AO$767:$AQ$767,'Historical Financials'!$AO$780:$AQ$780,'Historical Financials'!$L767:S767,'Historical Financials'!$L771:S771,'Historical Financials'!$L772:S772,'Historical Financials'!$L774:S774,'Historical Financials'!$L776:S776,'Historical Financials'!$L780:S780),"n/a"))</f>
        <v>88549.947999999989</v>
      </c>
      <c r="M12" s="147">
        <f>+IF(SUM('Historical Financials'!$AO$767:$AQ$767,'Historical Financials'!$AO$780:$AQ$780,'Historical Financials'!$L767:T767,'Historical Financials'!$L771:T771,'Historical Financials'!$L772:T772,'Historical Financials'!$L774:T774,'Historical Financials'!$L776:T776,'Historical Financials'!$L780:T780)=0,"n/a",IFERROR(SUM('Historical Financials'!$AO$767:$AQ$767,'Historical Financials'!$AO$780:$AQ$780,'Historical Financials'!$L767:T767,'Historical Financials'!$L771:T771,'Historical Financials'!$L772:T772,'Historical Financials'!$L774:T774,'Historical Financials'!$L776:T776,'Historical Financials'!$L780:T780),"n/a"))</f>
        <v>88549.947999999989</v>
      </c>
      <c r="N12" s="147">
        <f>+IF(SUM('Historical Financials'!$AO$767:$AQ$767,'Historical Financials'!$AO$780:$AQ$780,'Historical Financials'!$L767:U767,'Historical Financials'!$L771:U771,'Historical Financials'!$L772:U772,'Historical Financials'!$L774:U774,'Historical Financials'!$L776:U776,'Historical Financials'!$L780:U780)=0,"n/a",IFERROR(SUM('Historical Financials'!$AO$767:$AQ$767,'Historical Financials'!$AO$780:$AQ$780,'Historical Financials'!$L767:U767,'Historical Financials'!$L771:U771,'Historical Financials'!$L772:U772,'Historical Financials'!$L774:U774,'Historical Financials'!$L776:U776,'Historical Financials'!$L780:U780),"n/a"))</f>
        <v>88549.947999999989</v>
      </c>
      <c r="O12" s="147">
        <f>+IF(SUM('Historical Financials'!$AO$767:$AQ$767,'Historical Financials'!$AO$780:$AQ$780,'Historical Financials'!$L767:V767,'Historical Financials'!$L771:V771,'Historical Financials'!$L772:V772,'Historical Financials'!$L774:V774,'Historical Financials'!$L776:V776,'Historical Financials'!$L780:V780)=0,"n/a",IFERROR(SUM('Historical Financials'!$AO$767:$AQ$767,'Historical Financials'!$AO$780:$AQ$780,'Historical Financials'!$L767:V767,'Historical Financials'!$L771:V771,'Historical Financials'!$L772:V772,'Historical Financials'!$L774:V774,'Historical Financials'!$L776:V776,'Historical Financials'!$L780:V780),"n/a"))</f>
        <v>88549.947999999989</v>
      </c>
      <c r="P12" s="147">
        <f>+IF(SUM('Historical Financials'!$AO$767:$AQ$767,'Historical Financials'!$AO$780:$AQ$780,'Historical Financials'!$L767:W767,'Historical Financials'!$L771:W771,'Historical Financials'!$L772:W772,'Historical Financials'!$L774:W774,'Historical Financials'!$L776:W776,'Historical Financials'!$L780:W780)=0,"n/a",IFERROR(SUM('Historical Financials'!$AO$767:$AQ$767,'Historical Financials'!$AO$780:$AQ$780,'Historical Financials'!$L767:W767,'Historical Financials'!$L771:W771,'Historical Financials'!$L772:W772,'Historical Financials'!$L774:W774,'Historical Financials'!$L776:W776,'Historical Financials'!$L780:W780),"n/a"))</f>
        <v>88549.947999999989</v>
      </c>
      <c r="Q12" s="147">
        <f>+IF(SUM('Historical Financials'!$AO$767:$AQ$767,'Historical Financials'!$AO$780:$AQ$780,'Historical Financials'!$L767:X767,'Historical Financials'!$L771:X771,'Historical Financials'!$L772:X772,'Historical Financials'!$L774:X774,'Historical Financials'!$L776:X776,'Historical Financials'!$L780:X780)=0,"n/a",IFERROR(SUM('Historical Financials'!$AO$767:$AQ$767,'Historical Financials'!$AO$780:$AQ$780,'Historical Financials'!$L767:X767,'Historical Financials'!$L771:X771,'Historical Financials'!$L772:X772,'Historical Financials'!$L774:X774,'Historical Financials'!$L776:X776,'Historical Financials'!$L780:X780),"n/a"))</f>
        <v>88549.947999999989</v>
      </c>
      <c r="R12" s="147">
        <f>+IF(SUM('Historical Financials'!$AO$767:$AQ$767,'Historical Financials'!$AO$780:$AQ$780,'Historical Financials'!$L767:Y767,'Historical Financials'!$L771:Y771,'Historical Financials'!$L772:Y772,'Historical Financials'!$L774:Y774,'Historical Financials'!$L776:Y776,'Historical Financials'!$L780:Y780)=0,"n/a",IFERROR(SUM('Historical Financials'!$AO$767:$AQ$767,'Historical Financials'!$AO$780:$AQ$780,'Historical Financials'!$L767:Y767,'Historical Financials'!$L771:Y771,'Historical Financials'!$L772:Y772,'Historical Financials'!$L774:Y774,'Historical Financials'!$L776:Y776,'Historical Financials'!$L780:Y780),"n/a"))</f>
        <v>88549.947999999989</v>
      </c>
      <c r="S12" s="147">
        <f>+IF(SUM('Historical Financials'!$AO$767:$AQ$767,'Historical Financials'!$AO$780:$AQ$780,'Historical Financials'!$L767:Z767,'Historical Financials'!$L771:Z771,'Historical Financials'!$L772:Z772,'Historical Financials'!$L774:Z774,'Historical Financials'!$L776:Z776,'Historical Financials'!$L780:Z780)=0,"n/a",IFERROR(SUM('Historical Financials'!$AO$767:$AQ$767,'Historical Financials'!$AO$780:$AQ$780,'Historical Financials'!$L767:Z767,'Historical Financials'!$L771:Z771,'Historical Financials'!$L772:Z772,'Historical Financials'!$L774:Z774,'Historical Financials'!$L776:Z776,'Historical Financials'!$L780:Z780),"n/a"))</f>
        <v>88549.947999999989</v>
      </c>
      <c r="T12" s="147">
        <f>+IF(SUM('Historical Financials'!$AO$767:$AQ$767,'Historical Financials'!$AO$780:$AQ$780,'Historical Financials'!$L767:AA767,'Historical Financials'!$L771:AA771,'Historical Financials'!$L772:AA772,'Historical Financials'!$L774:AA774,'Historical Financials'!$L776:AA776,'Historical Financials'!$L780:AA780)=0,"n/a",IFERROR(SUM('Historical Financials'!$AO$767:$AQ$767,'Historical Financials'!$AO$780:$AQ$780,'Historical Financials'!$L767:AA767,'Historical Financials'!$L771:AA771,'Historical Financials'!$L772:AA772,'Historical Financials'!$L774:AA774,'Historical Financials'!$L776:AA776,'Historical Financials'!$L780:AA780),"n/a"))</f>
        <v>88549.947999999989</v>
      </c>
      <c r="U12" s="147">
        <f>+IF(SUM('Historical Financials'!$AO$767:$AQ$767,'Historical Financials'!$AO$780:$AQ$780,'Historical Financials'!$L767:AB767,'Historical Financials'!$L771:AB771,'Historical Financials'!$L772:AB772,'Historical Financials'!$L774:AB774,'Historical Financials'!$L776:AB776,'Historical Financials'!$L780:AB780)=0,"n/a",IFERROR(SUM('Historical Financials'!$AO$767:$AQ$767,'Historical Financials'!$AO$780:$AQ$780,'Historical Financials'!$L767:AB767,'Historical Financials'!$L771:AB771,'Historical Financials'!$L772:AB772,'Historical Financials'!$L774:AB774,'Historical Financials'!$L776:AB776,'Historical Financials'!$L780:AB780),"n/a"))</f>
        <v>88549.947999999989</v>
      </c>
      <c r="V12" s="147">
        <f>+IF(SUM('Historical Financials'!$AO$767:$AQ$767,'Historical Financials'!$AO$780:$AQ$780,'Historical Financials'!$L767:AC767,'Historical Financials'!$L771:AC771,'Historical Financials'!$L772:AC772,'Historical Financials'!$L774:AC774,'Historical Financials'!$L776:AC776,'Historical Financials'!$L780:AC780)=0,"n/a",IFERROR(SUM('Historical Financials'!$AO$767:$AQ$767,'Historical Financials'!$AO$780:$AQ$780,'Historical Financials'!$L767:AC767,'Historical Financials'!$L771:AC771,'Historical Financials'!$L772:AC772,'Historical Financials'!$L774:AC774,'Historical Financials'!$L776:AC776,'Historical Financials'!$L780:AC780),"n/a"))</f>
        <v>88549.947999999989</v>
      </c>
      <c r="W12" s="147">
        <f>+IF(SUM('Historical Financials'!$AO$767:$AQ$767,'Historical Financials'!$AO$780:$AQ$780,'Historical Financials'!$L767:AD767,'Historical Financials'!$L771:AD771,'Historical Financials'!$L772:AD772,'Historical Financials'!$L774:AD774,'Historical Financials'!$L776:AD776,'Historical Financials'!$L780:AD780)=0,"n/a",IFERROR(SUM('Historical Financials'!$AO$767:$AQ$767,'Historical Financials'!$AO$780:$AQ$780,'Historical Financials'!$L767:AD767,'Historical Financials'!$L771:AD771,'Historical Financials'!$L772:AD772,'Historical Financials'!$L774:AD774,'Historical Financials'!$L776:AD776,'Historical Financials'!$L780:AD780),"n/a"))</f>
        <v>88549.947999999989</v>
      </c>
      <c r="X12" s="147">
        <f>+IF(SUM('Historical Financials'!$AO$767:$AQ$767,'Historical Financials'!$AO$780:$AQ$780,'Historical Financials'!$L767:AE767,'Historical Financials'!$L771:AE771,'Historical Financials'!$L772:AE772,'Historical Financials'!$L774:AE774,'Historical Financials'!$L776:AE776,'Historical Financials'!$L780:AE780)=0,"n/a",IFERROR(SUM('Historical Financials'!$AO$767:$AQ$767,'Historical Financials'!$AO$780:$AQ$780,'Historical Financials'!$L767:AE767,'Historical Financials'!$L771:AE771,'Historical Financials'!$L772:AE772,'Historical Financials'!$L774:AE774,'Historical Financials'!$L776:AE776,'Historical Financials'!$L780:AE780),"n/a"))</f>
        <v>88549.947999999989</v>
      </c>
      <c r="Y12" s="147">
        <f>+IF(SUM('Historical Financials'!$AO$767:$AQ$767,'Historical Financials'!$AO$780:$AQ$780,'Historical Financials'!$L767:AF767,'Historical Financials'!$L771:AF771,'Historical Financials'!$L772:AF772,'Historical Financials'!$L774:AF774,'Historical Financials'!$L776:AF776,'Historical Financials'!$L780:AF780)=0,"n/a",IFERROR(SUM('Historical Financials'!$AO$767:$AQ$767,'Historical Financials'!$AO$780:$AQ$780,'Historical Financials'!$L767:AF767,'Historical Financials'!$L771:AF771,'Historical Financials'!$L772:AF772,'Historical Financials'!$L774:AF774,'Historical Financials'!$L776:AF776,'Historical Financials'!$L780:AF780),"n/a"))</f>
        <v>88549.947999999989</v>
      </c>
      <c r="Z12" s="147">
        <f>+IF(SUM('Historical Financials'!$AO$767:$AQ$767,'Historical Financials'!$AO$780:$AQ$780,'Historical Financials'!$L767:AG767,'Historical Financials'!$L771:AG771,'Historical Financials'!$L772:AG772,'Historical Financials'!$L774:AG774,'Historical Financials'!$L776:AG776,'Historical Financials'!$L780:AG780)=0,"n/a",IFERROR(SUM('Historical Financials'!$AO$767:$AQ$767,'Historical Financials'!$AO$780:$AQ$780,'Historical Financials'!$L767:AG767,'Historical Financials'!$L771:AG771,'Historical Financials'!$L772:AG772,'Historical Financials'!$L774:AG774,'Historical Financials'!$L776:AG776,'Historical Financials'!$L780:AG780),"n/a"))</f>
        <v>88549.947999999989</v>
      </c>
    </row>
    <row r="13" spans="2:27" ht="13.5" hidden="1" outlineLevel="1" x14ac:dyDescent="0.35">
      <c r="B13" s="184" t="s">
        <v>521</v>
      </c>
      <c r="E13" s="251">
        <f>+SUM('Historical Financials'!$L240:L240)*1000</f>
        <v>0</v>
      </c>
      <c r="F13" s="251">
        <f>+SUM('Historical Financials'!$L240:M240)*1000</f>
        <v>0</v>
      </c>
      <c r="G13" s="251">
        <f>+SUM('Historical Financials'!$L240:N240)*1000</f>
        <v>0</v>
      </c>
      <c r="H13" s="251">
        <f>+SUM('Historical Financials'!$L240:O240)*1000</f>
        <v>0</v>
      </c>
      <c r="I13" s="251">
        <f>+SUM('Historical Financials'!$L240:P240)*1000</f>
        <v>0</v>
      </c>
      <c r="J13" s="251">
        <f>+SUM('Historical Financials'!$L240:Q240)*1000</f>
        <v>0</v>
      </c>
      <c r="K13" s="251">
        <f>+SUM('Historical Financials'!$L240:R240)*1000</f>
        <v>0</v>
      </c>
      <c r="L13" s="251">
        <f>+SUM('Historical Financials'!$L240:S240)*1000</f>
        <v>0</v>
      </c>
      <c r="M13" s="251">
        <f>+SUM('Historical Financials'!$L240:T240)*1000</f>
        <v>0</v>
      </c>
      <c r="N13" s="251">
        <f>+SUM('Historical Financials'!$L240:U240)*1000</f>
        <v>0</v>
      </c>
      <c r="O13" s="251">
        <f>+SUM('Historical Financials'!$L240:V240)*1000</f>
        <v>0</v>
      </c>
      <c r="P13" s="251">
        <f>+SUM('Historical Financials'!$L240:W240)*1000</f>
        <v>0</v>
      </c>
      <c r="Q13" s="251">
        <f>+SUM('Historical Financials'!$L240:X240)*1000</f>
        <v>0</v>
      </c>
      <c r="R13" s="251">
        <f>+SUM('Historical Financials'!$L240:Y240)*1000</f>
        <v>0</v>
      </c>
      <c r="S13" s="251">
        <f>+SUM('Historical Financials'!$L240:Z240)*1000</f>
        <v>22.784804633205063</v>
      </c>
      <c r="T13" s="251">
        <f>+SUM('Historical Financials'!$L240:AA240)*1000</f>
        <v>1779.3318504551937</v>
      </c>
      <c r="U13" s="251">
        <f>+SUM('Historical Financials'!$L240:AB240)*1000</f>
        <v>6719.1740435564707</v>
      </c>
      <c r="V13" s="251">
        <f>+SUM('Historical Financials'!$L240:AC240)*1000</f>
        <v>23915.794226079543</v>
      </c>
      <c r="W13" s="251">
        <f>+SUM('Historical Financials'!$L240:AD240)*1000</f>
        <v>59597.342399259011</v>
      </c>
      <c r="X13" s="251">
        <f>+SUM('Historical Financials'!$L240:AE240)*1000</f>
        <v>109790.52192035379</v>
      </c>
      <c r="Y13" s="251">
        <f>+SUM('Historical Financials'!$L240:AF240)*1000</f>
        <v>165325.75496238901</v>
      </c>
      <c r="Z13" s="251">
        <f>+SUM('Historical Financials'!$L240:AG240)*1000</f>
        <v>232541.8138217002</v>
      </c>
    </row>
    <row r="14" spans="2:27" hidden="1" outlineLevel="1" x14ac:dyDescent="0.2">
      <c r="B14" s="4" t="s">
        <v>522</v>
      </c>
      <c r="E14" s="147">
        <f>SUM(E12:E13)</f>
        <v>19663.328999999998</v>
      </c>
      <c r="F14" s="147">
        <f t="shared" ref="F14:Z14" si="1">SUM(F12:F13)</f>
        <v>19663.328999999998</v>
      </c>
      <c r="G14" s="147">
        <f t="shared" si="1"/>
        <v>19663.328999999998</v>
      </c>
      <c r="H14" s="147">
        <f t="shared" si="1"/>
        <v>35828.048999999999</v>
      </c>
      <c r="I14" s="147">
        <f t="shared" si="1"/>
        <v>35828.048999999999</v>
      </c>
      <c r="J14" s="147">
        <f t="shared" si="1"/>
        <v>35828.048999999999</v>
      </c>
      <c r="K14" s="147">
        <f t="shared" si="1"/>
        <v>35828.048999999999</v>
      </c>
      <c r="L14" s="147">
        <f t="shared" si="1"/>
        <v>88549.947999999989</v>
      </c>
      <c r="M14" s="147">
        <f t="shared" si="1"/>
        <v>88549.947999999989</v>
      </c>
      <c r="N14" s="147">
        <f t="shared" si="1"/>
        <v>88549.947999999989</v>
      </c>
      <c r="O14" s="147">
        <f t="shared" si="1"/>
        <v>88549.947999999989</v>
      </c>
      <c r="P14" s="147">
        <f t="shared" si="1"/>
        <v>88549.947999999989</v>
      </c>
      <c r="Q14" s="147">
        <f t="shared" si="1"/>
        <v>88549.947999999989</v>
      </c>
      <c r="R14" s="147">
        <f t="shared" si="1"/>
        <v>88549.947999999989</v>
      </c>
      <c r="S14" s="147">
        <f t="shared" si="1"/>
        <v>88572.732804633197</v>
      </c>
      <c r="T14" s="147">
        <f t="shared" si="1"/>
        <v>90329.27985045519</v>
      </c>
      <c r="U14" s="147">
        <f t="shared" si="1"/>
        <v>95269.122043556461</v>
      </c>
      <c r="V14" s="147">
        <f t="shared" si="1"/>
        <v>112465.74222607953</v>
      </c>
      <c r="W14" s="147">
        <f t="shared" si="1"/>
        <v>148147.29039925901</v>
      </c>
      <c r="X14" s="147">
        <f t="shared" si="1"/>
        <v>198340.46992035379</v>
      </c>
      <c r="Y14" s="147">
        <f t="shared" si="1"/>
        <v>253875.70296238898</v>
      </c>
      <c r="Z14" s="147">
        <f t="shared" si="1"/>
        <v>321091.7618217002</v>
      </c>
      <c r="AA14" s="147"/>
    </row>
    <row r="15" spans="2:27" hidden="1" outlineLevel="1" x14ac:dyDescent="0.2">
      <c r="B15" s="181" t="s">
        <v>523</v>
      </c>
      <c r="E15" s="242">
        <f t="shared" ref="E15:Z15" si="2">+E14/SUM(E43,E45:E46)</f>
        <v>0.66833789698659529</v>
      </c>
      <c r="F15" s="242">
        <f t="shared" si="2"/>
        <v>0.61858953940844597</v>
      </c>
      <c r="G15" s="242">
        <f t="shared" si="2"/>
        <v>0.4884713692947707</v>
      </c>
      <c r="H15" s="242">
        <f t="shared" si="2"/>
        <v>0.87264139259229601</v>
      </c>
      <c r="I15" s="242">
        <f t="shared" si="2"/>
        <v>0.84152375720630657</v>
      </c>
      <c r="J15" s="242">
        <f t="shared" si="2"/>
        <v>0.70930476618875771</v>
      </c>
      <c r="K15" s="242">
        <f t="shared" si="2"/>
        <v>0.69978816562325719</v>
      </c>
      <c r="L15" s="242">
        <f t="shared" si="2"/>
        <v>0.95547570174228469</v>
      </c>
      <c r="M15" s="242">
        <f t="shared" si="2"/>
        <v>0.9489145568406252</v>
      </c>
      <c r="N15" s="242">
        <f t="shared" si="2"/>
        <v>0.90211862915507424</v>
      </c>
      <c r="O15" s="242">
        <f t="shared" si="2"/>
        <v>0.86454082651207398</v>
      </c>
      <c r="P15" s="242">
        <f t="shared" si="2"/>
        <v>0.82569340826698889</v>
      </c>
      <c r="Q15" s="242">
        <f t="shared" si="2"/>
        <v>0.79026778733072978</v>
      </c>
      <c r="R15" s="242">
        <f t="shared" si="2"/>
        <v>0.67424038119856122</v>
      </c>
      <c r="S15" s="242">
        <f t="shared" si="2"/>
        <v>0.59458547517217086</v>
      </c>
      <c r="T15" s="242">
        <f t="shared" si="2"/>
        <v>0.55060530615520609</v>
      </c>
      <c r="U15" s="242">
        <f t="shared" si="2"/>
        <v>0.54144231043314772</v>
      </c>
      <c r="V15" s="242">
        <f t="shared" si="2"/>
        <v>0.54793626362525605</v>
      </c>
      <c r="W15" s="242">
        <f t="shared" si="2"/>
        <v>0.63022786849739654</v>
      </c>
      <c r="X15" s="242">
        <f t="shared" si="2"/>
        <v>0.75468801893849902</v>
      </c>
      <c r="Y15" s="242">
        <f t="shared" si="2"/>
        <v>0.85820981257384799</v>
      </c>
      <c r="Z15" s="242">
        <f t="shared" si="2"/>
        <v>0.91892027665844511</v>
      </c>
    </row>
    <row r="16" spans="2:27" hidden="1" outlineLevel="1" x14ac:dyDescent="0.2">
      <c r="B16" s="252"/>
      <c r="E16" s="147"/>
      <c r="F16" s="147"/>
      <c r="G16" s="147"/>
      <c r="H16" s="147"/>
      <c r="I16" s="147"/>
      <c r="J16" s="147"/>
      <c r="K16" s="147"/>
      <c r="L16" s="147"/>
      <c r="M16" s="147"/>
      <c r="N16" s="147"/>
      <c r="O16" s="147"/>
      <c r="P16" s="147"/>
      <c r="Q16" s="147"/>
      <c r="R16" s="147"/>
      <c r="S16" s="147"/>
      <c r="T16" s="147"/>
      <c r="U16" s="147"/>
      <c r="V16" s="147"/>
      <c r="W16" s="147"/>
      <c r="X16" s="147"/>
      <c r="Y16" s="147"/>
      <c r="Z16" s="147"/>
    </row>
    <row r="17" spans="2:26" collapsed="1" x14ac:dyDescent="0.2">
      <c r="B17" s="184" t="s">
        <v>519</v>
      </c>
      <c r="E17" s="37">
        <f>+IF(SUM('Historical Financials'!$AO$766:$AQ$780,'Historical Financials'!$L766:L780)=0,"n/a",IFERROR(SUM('Historical Financials'!$AO$766:$AQ$780,'Historical Financials'!$L766:L780),"n/a"))</f>
        <v>19229.755000000001</v>
      </c>
      <c r="F17" s="37">
        <f>+IF(SUM('Historical Financials'!$AO$766:$AQ$780,'Historical Financials'!$L766:M780)=0,"n/a",IFERROR(SUM('Historical Financials'!$AO$766:$AQ$780,'Historical Financials'!$L766:M780),"n/a"))</f>
        <v>19229.755000000001</v>
      </c>
      <c r="G17" s="37">
        <f>+IF(SUM('Historical Financials'!$AO$766:$AQ$780,'Historical Financials'!$L766:N780)=0,"n/a",IFERROR(SUM('Historical Financials'!$AO$766:$AQ$780,'Historical Financials'!$L766:N780),"n/a"))</f>
        <v>19229.755000000001</v>
      </c>
      <c r="H17" s="37">
        <f>+IF(SUM('Historical Financials'!$AO$766:$AQ$780,'Historical Financials'!$L766:O780)=0,"n/a",IFERROR(SUM('Historical Financials'!$AO$766:$AQ$780,'Historical Financials'!$L766:O780),"n/a"))</f>
        <v>35084.485999999997</v>
      </c>
      <c r="I17" s="37">
        <f>+IF(SUM('Historical Financials'!$AO$766:$AQ$780,'Historical Financials'!$L766:P780)=0,"n/a",IFERROR(SUM('Historical Financials'!$AO$766:$AQ$780,'Historical Financials'!$L766:P780),"n/a"))</f>
        <v>35084.485999999997</v>
      </c>
      <c r="J17" s="37">
        <f>+IF(SUM('Historical Financials'!$AO$766:$AQ$780,'Historical Financials'!$L766:Q780)=0,"n/a",IFERROR(SUM('Historical Financials'!$AO$766:$AQ$780,'Historical Financials'!$L766:Q780),"n/a"))</f>
        <v>35084.485999999997</v>
      </c>
      <c r="K17" s="37">
        <f>+IF(SUM('Historical Financials'!$AO$766:$AQ$780,'Historical Financials'!$L766:R780)=0,"n/a",IFERROR(SUM('Historical Financials'!$AO$766:$AQ$780,'Historical Financials'!$L766:R780),"n/a"))</f>
        <v>35084.485999999997</v>
      </c>
      <c r="L17" s="37">
        <f>+IF(SUM('Historical Financials'!$AO$766:$AQ$780,'Historical Financials'!$L766:S780)=0,"n/a",IFERROR(SUM('Historical Financials'!$AO$766:$AQ$780,'Historical Financials'!$L766:S780),"n/a"))</f>
        <v>86883.487999999998</v>
      </c>
      <c r="M17" s="37">
        <f>+IF(SUM('Historical Financials'!$AO$766:$AQ$780,'Historical Financials'!$L766:T780)=0,"n/a",IFERROR(SUM('Historical Financials'!$AO$766:$AQ$780,'Historical Financials'!$L766:T780),"n/a"))</f>
        <v>86883.487999999998</v>
      </c>
      <c r="N17" s="37">
        <f>+IF(SUM('Historical Financials'!$AO$766:$AQ$780,'Historical Financials'!$L766:U780)=0,"n/a",IFERROR(SUM('Historical Financials'!$AO$766:$AQ$780,'Historical Financials'!$L766:U780),"n/a"))</f>
        <v>86883.487999999998</v>
      </c>
      <c r="O17" s="37">
        <f>+IF(SUM('Historical Financials'!$AO$766:$AQ$780,'Historical Financials'!$L766:V780)=0,"n/a",IFERROR(SUM('Historical Financials'!$AO$766:$AQ$780,'Historical Financials'!$L766:V780),"n/a"))</f>
        <v>86883.487999999998</v>
      </c>
      <c r="P17" s="37">
        <f>+IF(SUM('Historical Financials'!$AO$766:$AQ$780,'Historical Financials'!$L766:W780)=0,"n/a",IFERROR(SUM('Historical Financials'!$AO$766:$AQ$780,'Historical Financials'!$L766:W780),"n/a"))</f>
        <v>85008.016000000003</v>
      </c>
      <c r="Q17" s="37">
        <f>+IF(SUM('Historical Financials'!$AO$766:$AQ$780,'Historical Financials'!$L766:X780)=0,"n/a",IFERROR(SUM('Historical Financials'!$AO$766:$AQ$780,'Historical Financials'!$L766:X780),"n/a"))</f>
        <v>85008.016000000003</v>
      </c>
      <c r="R17" s="37">
        <f>+IF(SUM('Historical Financials'!$AO$766:$AQ$780,'Historical Financials'!$L766:Y780)=0,"n/a",IFERROR(SUM('Historical Financials'!$AO$766:$AQ$780,'Historical Financials'!$L766:Y780),"n/a"))</f>
        <v>85008.016000000003</v>
      </c>
      <c r="S17" s="37">
        <f>+IF(SUM('Historical Financials'!$AO$766:$AQ$780,'Historical Financials'!$L766:Z780)=0,"n/a",IFERROR(SUM('Historical Financials'!$AO$766:$AQ$780,'Historical Financials'!$L766:Z780),"n/a"))</f>
        <v>85008.016000000003</v>
      </c>
      <c r="T17" s="37">
        <f>+IF(SUM('Historical Financials'!$AO$766:$AQ$780,'Historical Financials'!$L766:AA780)=0,"n/a",IFERROR(SUM('Historical Financials'!$AO$766:$AQ$780,'Historical Financials'!$L766:AA780),"n/a"))</f>
        <v>85008.016000000003</v>
      </c>
      <c r="U17" s="37">
        <f>+IF(SUM('Historical Financials'!$AO$766:$AQ$780,'Historical Financials'!$L766:AB780)=0,"n/a",IFERROR(SUM('Historical Financials'!$AO$766:$AQ$780,'Historical Financials'!$L766:AB780),"n/a"))</f>
        <v>85008.016000000003</v>
      </c>
      <c r="V17" s="37">
        <f>+IF(SUM('Historical Financials'!$AO$766:$AQ$780,'Historical Financials'!$L766:AC780)=0,"n/a",IFERROR(SUM('Historical Financials'!$AO$766:$AQ$780,'Historical Financials'!$L766:AC780),"n/a"))</f>
        <v>85008.016000000003</v>
      </c>
      <c r="W17" s="37">
        <f>+IF(SUM('Historical Financials'!$AO$766:$AQ$780,'Historical Financials'!$L766:AD780)=0,"n/a",IFERROR(SUM('Historical Financials'!$AO$766:$AQ$780,'Historical Financials'!$L766:AD780),"n/a"))</f>
        <v>85008.016000000003</v>
      </c>
      <c r="X17" s="37">
        <f>+IF(SUM('Historical Financials'!$AO$766:$AQ$780,'Historical Financials'!$L766:AE780)=0,"n/a",IFERROR(SUM('Historical Financials'!$AO$766:$AQ$780,'Historical Financials'!$L766:AE780),"n/a"))</f>
        <v>76039.198999999993</v>
      </c>
      <c r="Y17" s="37">
        <f>+IF(SUM('Historical Financials'!$AO$766:$AQ$780,'Historical Financials'!$L766:AF780)=0,"n/a",IFERROR(SUM('Historical Financials'!$AO$766:$AQ$780,'Historical Financials'!$L766:AF780),"n/a"))</f>
        <v>76039.198999999993</v>
      </c>
      <c r="Z17" s="37">
        <f>+IF(SUM('Historical Financials'!$AO$766:$AQ$780,'Historical Financials'!$L766:AG780)=0,"n/a",IFERROR(SUM('Historical Financials'!$AO$766:$AQ$780,'Historical Financials'!$L766:AG780),"n/a"))</f>
        <v>76039.198999999993</v>
      </c>
    </row>
    <row r="18" spans="2:26" x14ac:dyDescent="0.2">
      <c r="B18" s="184" t="s">
        <v>532</v>
      </c>
      <c r="E18" s="10">
        <f>+E13</f>
        <v>0</v>
      </c>
      <c r="F18" s="10">
        <f t="shared" ref="F18:Z18" si="3">+F13</f>
        <v>0</v>
      </c>
      <c r="G18" s="10">
        <f t="shared" si="3"/>
        <v>0</v>
      </c>
      <c r="H18" s="10">
        <f t="shared" si="3"/>
        <v>0</v>
      </c>
      <c r="I18" s="10">
        <f t="shared" si="3"/>
        <v>0</v>
      </c>
      <c r="J18" s="10">
        <f t="shared" si="3"/>
        <v>0</v>
      </c>
      <c r="K18" s="10">
        <f t="shared" si="3"/>
        <v>0</v>
      </c>
      <c r="L18" s="10">
        <f t="shared" si="3"/>
        <v>0</v>
      </c>
      <c r="M18" s="10">
        <f t="shared" si="3"/>
        <v>0</v>
      </c>
      <c r="N18" s="10">
        <f t="shared" si="3"/>
        <v>0</v>
      </c>
      <c r="O18" s="10">
        <f t="shared" si="3"/>
        <v>0</v>
      </c>
      <c r="P18" s="10">
        <f t="shared" si="3"/>
        <v>0</v>
      </c>
      <c r="Q18" s="10">
        <f t="shared" si="3"/>
        <v>0</v>
      </c>
      <c r="R18" s="10">
        <f t="shared" si="3"/>
        <v>0</v>
      </c>
      <c r="S18" s="10">
        <f t="shared" si="3"/>
        <v>22.784804633205063</v>
      </c>
      <c r="T18" s="10">
        <f t="shared" si="3"/>
        <v>1779.3318504551937</v>
      </c>
      <c r="U18" s="10">
        <f t="shared" si="3"/>
        <v>6719.1740435564707</v>
      </c>
      <c r="V18" s="10">
        <f t="shared" si="3"/>
        <v>23915.794226079543</v>
      </c>
      <c r="W18" s="10">
        <f t="shared" si="3"/>
        <v>59597.342399259011</v>
      </c>
      <c r="X18" s="10">
        <f t="shared" si="3"/>
        <v>109790.52192035379</v>
      </c>
      <c r="Y18" s="10">
        <f t="shared" si="3"/>
        <v>165325.75496238901</v>
      </c>
      <c r="Z18" s="10">
        <f t="shared" si="3"/>
        <v>232541.8138217002</v>
      </c>
    </row>
    <row r="19" spans="2:26" x14ac:dyDescent="0.2">
      <c r="B19" s="184" t="s">
        <v>533</v>
      </c>
      <c r="E19" s="10">
        <f>+-SUM('Historical Financials'!$L441:L441)</f>
        <v>0</v>
      </c>
      <c r="F19" s="10">
        <f>+-SUM('Historical Financials'!$L441:M441)</f>
        <v>0</v>
      </c>
      <c r="G19" s="10">
        <f>+-SUM('Historical Financials'!$L441:N441)</f>
        <v>0</v>
      </c>
      <c r="H19" s="10">
        <f>+-SUM('Historical Financials'!$L441:O441)</f>
        <v>0</v>
      </c>
      <c r="I19" s="10">
        <f>+-SUM('Historical Financials'!$L441:P441)</f>
        <v>0</v>
      </c>
      <c r="J19" s="10">
        <f>+-SUM('Historical Financials'!$L441:Q441)</f>
        <v>0</v>
      </c>
      <c r="K19" s="10">
        <f>+-SUM('Historical Financials'!$L441:R441)</f>
        <v>0</v>
      </c>
      <c r="L19" s="10">
        <f>+-SUM('Historical Financials'!$L441:S441)</f>
        <v>0</v>
      </c>
      <c r="M19" s="10">
        <f>+-SUM('Historical Financials'!$L441:T441)</f>
        <v>0</v>
      </c>
      <c r="N19" s="10">
        <f>+-SUM('Historical Financials'!$L441:U441)</f>
        <v>0</v>
      </c>
      <c r="O19" s="10">
        <f>+-SUM('Historical Financials'!$L441:V441)</f>
        <v>0</v>
      </c>
      <c r="P19" s="10">
        <f>+-SUM('Historical Financials'!$L441:W441)</f>
        <v>0</v>
      </c>
      <c r="Q19" s="10">
        <f>+-SUM('Historical Financials'!$L441:X441)</f>
        <v>0</v>
      </c>
      <c r="R19" s="10">
        <f>+-SUM('Historical Financials'!$L441:Y441)</f>
        <v>0</v>
      </c>
      <c r="S19" s="10">
        <f>+-SUM('Historical Financials'!$L441:Z441)</f>
        <v>-1067.9970399999984</v>
      </c>
      <c r="T19" s="10">
        <f>+-SUM('Historical Financials'!$L441:AA441)</f>
        <v>-3331.3859800000009</v>
      </c>
      <c r="U19" s="10">
        <f>+-SUM('Historical Financials'!$L441:AB441)</f>
        <v>-6455.1046400000032</v>
      </c>
      <c r="V19" s="10">
        <f>+-SUM('Historical Financials'!$L441:AC441)</f>
        <v>-9795.5242799999996</v>
      </c>
      <c r="W19" s="10">
        <f>+-SUM('Historical Financials'!$L441:AD441)</f>
        <v>-16479.637347199998</v>
      </c>
      <c r="X19" s="10">
        <f>+-SUM('Historical Financials'!$L441:AE441)</f>
        <v>-25384.317077600004</v>
      </c>
      <c r="Y19" s="10">
        <f>+-SUM('Historical Financials'!$L441:AF441)</f>
        <v>-33198.905396400005</v>
      </c>
      <c r="Z19" s="10">
        <f>+-SUM('Historical Financials'!$L441:AG441)</f>
        <v>-43019.338631600003</v>
      </c>
    </row>
    <row r="20" spans="2:26" ht="13.5" x14ac:dyDescent="0.35">
      <c r="B20" s="184" t="s">
        <v>534</v>
      </c>
      <c r="E20" s="25">
        <f>-(SUM('Historical Financials'!$L381:L381)-SUM('Historical Financials'!$L403:L403))*0.33</f>
        <v>0</v>
      </c>
      <c r="F20" s="25">
        <f>-(SUM('Historical Financials'!$L381:M381)-SUM('Historical Financials'!$L403:M403))*0.33</f>
        <v>0</v>
      </c>
      <c r="G20" s="25">
        <f>-(SUM('Historical Financials'!$L381:N381)-SUM('Historical Financials'!$L403:N403))*0.33</f>
        <v>0</v>
      </c>
      <c r="H20" s="25">
        <f>-(SUM('Historical Financials'!$L381:O381)-SUM('Historical Financials'!$L403:O403))*0.33</f>
        <v>0</v>
      </c>
      <c r="I20" s="25">
        <f>-(SUM('Historical Financials'!$L381:P381)-SUM('Historical Financials'!$L403:P403))*0.33</f>
        <v>0</v>
      </c>
      <c r="J20" s="25">
        <f>-(SUM('Historical Financials'!$L381:Q381)-SUM('Historical Financials'!$L403:Q403))*0.33</f>
        <v>0</v>
      </c>
      <c r="K20" s="25">
        <f>-(SUM('Historical Financials'!$L381:R381)-SUM('Historical Financials'!$L403:R403))*0.33</f>
        <v>0</v>
      </c>
      <c r="L20" s="25">
        <f>-(SUM('Historical Financials'!$L381:S381)-SUM('Historical Financials'!$L403:S403))*0.33</f>
        <v>0</v>
      </c>
      <c r="M20" s="25">
        <f>-(SUM('Historical Financials'!$L381:T381)-SUM('Historical Financials'!$L403:T403))*0.33</f>
        <v>0</v>
      </c>
      <c r="N20" s="25">
        <f>-(SUM('Historical Financials'!$L381:U381)-SUM('Historical Financials'!$L403:U403))*0.33</f>
        <v>0</v>
      </c>
      <c r="O20" s="25">
        <f>-(SUM('Historical Financials'!$L381:V381)-SUM('Historical Financials'!$L403:V403))*0.33</f>
        <v>0</v>
      </c>
      <c r="P20" s="25">
        <f>-(SUM('Historical Financials'!$L381:W381)-SUM('Historical Financials'!$L403:W403))*0.33</f>
        <v>0</v>
      </c>
      <c r="Q20" s="25">
        <f>-(SUM('Historical Financials'!$L381:X381)-SUM('Historical Financials'!$L403:X403))*0.33</f>
        <v>0</v>
      </c>
      <c r="R20" s="25">
        <f>-(SUM('Historical Financials'!$L381:Y381)-SUM('Historical Financials'!$L403:Y403))*0.33</f>
        <v>0</v>
      </c>
      <c r="S20" s="25">
        <f>-(SUM('Historical Financials'!$L381:Z381)-SUM('Historical Financials'!$L403:Z403))*0.33</f>
        <v>-28.687139770251633</v>
      </c>
      <c r="T20" s="25">
        <f>-(SUM('Historical Financials'!$L381:AA381)-SUM('Historical Financials'!$L403:AA403))*0.33</f>
        <v>-303.3251564062719</v>
      </c>
      <c r="U20" s="25">
        <f>-(SUM('Historical Financials'!$L381:AB381)-SUM('Historical Financials'!$L403:AB403))*0.33</f>
        <v>-1237.2635246588954</v>
      </c>
      <c r="V20" s="25">
        <f>-(SUM('Historical Financials'!$L381:AC381)-SUM('Historical Financials'!$L403:AC403))*0.33</f>
        <v>-4198.768626912487</v>
      </c>
      <c r="W20" s="25">
        <f>-(SUM('Historical Financials'!$L381:AD381)-SUM('Historical Financials'!$L403:AD403))*0.33</f>
        <v>-9711.4129572024685</v>
      </c>
      <c r="X20" s="25">
        <f>-(SUM('Historical Financials'!$L381:AE381)-SUM('Historical Financials'!$L403:AE403))*0.33</f>
        <v>-17300.784048556776</v>
      </c>
      <c r="Y20" s="25">
        <f>-(SUM('Historical Financials'!$L381:AF381)-SUM('Historical Financials'!$L403:AF403))*0.33</f>
        <v>-24514.076403324176</v>
      </c>
      <c r="Z20" s="25">
        <f>-(SUM('Historical Financials'!$L381:AG381)-SUM('Historical Financials'!$L403:AG403))*0.33</f>
        <v>-31360.347113921012</v>
      </c>
    </row>
    <row r="21" spans="2:26" s="1" customFormat="1" x14ac:dyDescent="0.2">
      <c r="B21" s="38" t="s">
        <v>529</v>
      </c>
      <c r="E21" s="41">
        <f>SUM(E17:E20)</f>
        <v>19229.755000000001</v>
      </c>
      <c r="F21" s="41">
        <f t="shared" ref="F21:Z21" si="4">SUM(F17:F20)</f>
        <v>19229.755000000001</v>
      </c>
      <c r="G21" s="41">
        <f t="shared" si="4"/>
        <v>19229.755000000001</v>
      </c>
      <c r="H21" s="41">
        <f t="shared" si="4"/>
        <v>35084.485999999997</v>
      </c>
      <c r="I21" s="41">
        <f t="shared" si="4"/>
        <v>35084.485999999997</v>
      </c>
      <c r="J21" s="41">
        <f t="shared" si="4"/>
        <v>35084.485999999997</v>
      </c>
      <c r="K21" s="41">
        <f t="shared" si="4"/>
        <v>35084.485999999997</v>
      </c>
      <c r="L21" s="41">
        <f t="shared" si="4"/>
        <v>86883.487999999998</v>
      </c>
      <c r="M21" s="41">
        <f t="shared" si="4"/>
        <v>86883.487999999998</v>
      </c>
      <c r="N21" s="41">
        <f t="shared" si="4"/>
        <v>86883.487999999998</v>
      </c>
      <c r="O21" s="41">
        <f t="shared" si="4"/>
        <v>86883.487999999998</v>
      </c>
      <c r="P21" s="41">
        <f t="shared" si="4"/>
        <v>85008.016000000003</v>
      </c>
      <c r="Q21" s="41">
        <f t="shared" si="4"/>
        <v>85008.016000000003</v>
      </c>
      <c r="R21" s="41">
        <f t="shared" si="4"/>
        <v>85008.016000000003</v>
      </c>
      <c r="S21" s="41">
        <f t="shared" si="4"/>
        <v>83934.11662486296</v>
      </c>
      <c r="T21" s="41">
        <f t="shared" si="4"/>
        <v>83152.636714048931</v>
      </c>
      <c r="U21" s="41">
        <f t="shared" si="4"/>
        <v>84034.821878897579</v>
      </c>
      <c r="V21" s="41">
        <f t="shared" si="4"/>
        <v>94929.517319167062</v>
      </c>
      <c r="W21" s="41">
        <f t="shared" si="4"/>
        <v>118414.30809485655</v>
      </c>
      <c r="X21" s="41">
        <f t="shared" si="4"/>
        <v>143144.619794197</v>
      </c>
      <c r="Y21" s="41">
        <f t="shared" si="4"/>
        <v>183651.97216266484</v>
      </c>
      <c r="Z21" s="41">
        <f t="shared" si="4"/>
        <v>234201.32707617915</v>
      </c>
    </row>
    <row r="22" spans="2:26" s="3" customFormat="1" x14ac:dyDescent="0.2">
      <c r="B22" s="30" t="s">
        <v>528</v>
      </c>
      <c r="E22" s="242">
        <f>+E21/E9</f>
        <v>0.65360112808301518</v>
      </c>
      <c r="F22" s="242">
        <f t="shared" ref="F22:Z22" si="5">+F21/F9</f>
        <v>0.60494971570618905</v>
      </c>
      <c r="G22" s="242">
        <f t="shared" si="5"/>
        <v>0.47770063533255047</v>
      </c>
      <c r="H22" s="242">
        <f t="shared" si="5"/>
        <v>0.85453089341886601</v>
      </c>
      <c r="I22" s="242">
        <f t="shared" si="5"/>
        <v>0.82405906272965235</v>
      </c>
      <c r="J22" s="242">
        <f t="shared" si="5"/>
        <v>0.69458409915322883</v>
      </c>
      <c r="K22" s="242">
        <f t="shared" si="5"/>
        <v>0.68526500284106584</v>
      </c>
      <c r="L22" s="242">
        <f t="shared" si="5"/>
        <v>0.93749418877826307</v>
      </c>
      <c r="M22" s="242">
        <f t="shared" si="5"/>
        <v>0.93105652091729951</v>
      </c>
      <c r="N22" s="242">
        <f t="shared" si="5"/>
        <v>0.88514126615603839</v>
      </c>
      <c r="O22" s="242">
        <f t="shared" si="5"/>
        <v>0.84827065653129319</v>
      </c>
      <c r="P22" s="242">
        <f t="shared" si="5"/>
        <v>0.79266628661436067</v>
      </c>
      <c r="Q22" s="242">
        <f t="shared" si="5"/>
        <v>0.75865766414335201</v>
      </c>
      <c r="R22" s="242">
        <f t="shared" si="5"/>
        <v>0.64727126788118949</v>
      </c>
      <c r="S22" s="242">
        <f t="shared" si="5"/>
        <v>0.56344661654088646</v>
      </c>
      <c r="T22" s="242">
        <f t="shared" si="5"/>
        <v>0.50685982520119499</v>
      </c>
      <c r="U22" s="242">
        <f t="shared" si="5"/>
        <v>0.47759449377675606</v>
      </c>
      <c r="V22" s="242">
        <f t="shared" si="5"/>
        <v>0.46249928198625861</v>
      </c>
      <c r="W22" s="242">
        <f t="shared" si="5"/>
        <v>0.50374189625130472</v>
      </c>
      <c r="X22" s="242">
        <f t="shared" si="5"/>
        <v>0.54466710489073589</v>
      </c>
      <c r="Y22" s="242">
        <f t="shared" si="5"/>
        <v>0.62082319327693969</v>
      </c>
      <c r="Z22" s="242">
        <f t="shared" si="5"/>
        <v>0.67025185277136856</v>
      </c>
    </row>
    <row r="23" spans="2:26" x14ac:dyDescent="0.2">
      <c r="B23" s="30" t="s">
        <v>530</v>
      </c>
      <c r="E23" s="230" t="s">
        <v>65</v>
      </c>
      <c r="F23" s="230" t="s">
        <v>65</v>
      </c>
      <c r="G23" s="230" t="s">
        <v>65</v>
      </c>
      <c r="H23" s="230">
        <f>2289.578+22570.941+442.814+661.714+6157.221</f>
        <v>32122.267999999996</v>
      </c>
      <c r="I23" s="230" t="s">
        <v>65</v>
      </c>
      <c r="J23" s="230" t="s">
        <v>65</v>
      </c>
      <c r="K23" s="230" t="s">
        <v>65</v>
      </c>
      <c r="L23" s="230">
        <f>18812.263+51684.405+2889.824+5840.247</f>
        <v>79226.739000000001</v>
      </c>
      <c r="M23" s="230" t="s">
        <v>65</v>
      </c>
      <c r="N23" s="230" t="s">
        <v>65</v>
      </c>
      <c r="O23" s="230" t="s">
        <v>65</v>
      </c>
      <c r="P23" s="230">
        <f>3992.973+74210.278+11125.028+2.269</f>
        <v>89330.54800000001</v>
      </c>
      <c r="Q23" s="230" t="s">
        <v>65</v>
      </c>
      <c r="R23" s="230" t="s">
        <v>65</v>
      </c>
      <c r="S23" s="230" t="s">
        <v>65</v>
      </c>
      <c r="T23" s="230">
        <f>31539.317+69838.647+6412.148+61.553</f>
        <v>107851.66499999999</v>
      </c>
      <c r="U23" s="230" t="s">
        <v>65</v>
      </c>
      <c r="V23" s="230" t="s">
        <v>65</v>
      </c>
      <c r="W23" s="230" t="s">
        <v>65</v>
      </c>
      <c r="X23" s="230">
        <f>174554.145+3.116+17985.892</f>
        <v>192543.15299999999</v>
      </c>
      <c r="Y23" s="230" t="s">
        <v>65</v>
      </c>
      <c r="Z23" s="230" t="s">
        <v>65</v>
      </c>
    </row>
    <row r="24" spans="2:26" ht="10.15" x14ac:dyDescent="0.2">
      <c r="B24" s="30" t="s">
        <v>531</v>
      </c>
      <c r="E24" s="230" t="s">
        <v>65</v>
      </c>
      <c r="F24" s="230" t="s">
        <v>65</v>
      </c>
      <c r="G24" s="230" t="s">
        <v>65</v>
      </c>
      <c r="H24" s="230" t="s">
        <v>65</v>
      </c>
      <c r="I24" s="230" t="s">
        <v>65</v>
      </c>
      <c r="J24" s="230" t="s">
        <v>65</v>
      </c>
      <c r="K24" s="230" t="s">
        <v>65</v>
      </c>
      <c r="L24" s="230" t="s">
        <v>65</v>
      </c>
      <c r="M24" s="230" t="s">
        <v>65</v>
      </c>
      <c r="N24" s="230" t="s">
        <v>65</v>
      </c>
      <c r="O24" s="230" t="s">
        <v>65</v>
      </c>
      <c r="P24" s="230">
        <v>89330.547999999995</v>
      </c>
      <c r="Q24" s="230" t="s">
        <v>65</v>
      </c>
      <c r="R24" s="230" t="s">
        <v>65</v>
      </c>
      <c r="S24" s="230" t="s">
        <v>65</v>
      </c>
      <c r="T24" s="230">
        <v>78704.945999999996</v>
      </c>
      <c r="U24" s="230" t="s">
        <v>65</v>
      </c>
      <c r="V24" s="230" t="s">
        <v>65</v>
      </c>
      <c r="W24" s="230" t="s">
        <v>65</v>
      </c>
      <c r="X24" s="230">
        <v>141126.266</v>
      </c>
      <c r="Y24" s="230" t="s">
        <v>65</v>
      </c>
      <c r="Z24" s="230" t="s">
        <v>65</v>
      </c>
    </row>
    <row r="25" spans="2:26" ht="10.15" x14ac:dyDescent="0.2">
      <c r="B25" s="30" t="s">
        <v>535</v>
      </c>
      <c r="E25" s="230" t="s">
        <v>65</v>
      </c>
      <c r="F25" s="230" t="s">
        <v>65</v>
      </c>
      <c r="G25" s="230" t="s">
        <v>65</v>
      </c>
      <c r="H25" s="230" t="s">
        <v>65</v>
      </c>
      <c r="I25" s="230" t="s">
        <v>65</v>
      </c>
      <c r="J25" s="230" t="s">
        <v>65</v>
      </c>
      <c r="K25" s="230" t="s">
        <v>65</v>
      </c>
      <c r="L25" s="230" t="s">
        <v>65</v>
      </c>
      <c r="M25" s="230" t="s">
        <v>65</v>
      </c>
      <c r="N25" s="230" t="s">
        <v>65</v>
      </c>
      <c r="O25" s="230" t="s">
        <v>65</v>
      </c>
      <c r="P25" s="230">
        <v>56857.336000000003</v>
      </c>
      <c r="Q25" s="230" t="s">
        <v>65</v>
      </c>
      <c r="R25" s="230" t="s">
        <v>65</v>
      </c>
      <c r="S25" s="230" t="s">
        <v>65</v>
      </c>
      <c r="T25" s="230">
        <v>48931.724000000002</v>
      </c>
      <c r="U25" s="230" t="s">
        <v>65</v>
      </c>
      <c r="V25" s="230" t="s">
        <v>65</v>
      </c>
      <c r="W25" s="230" t="s">
        <v>65</v>
      </c>
      <c r="X25" s="230">
        <v>64819.351999999999</v>
      </c>
      <c r="Y25" s="230" t="s">
        <v>65</v>
      </c>
      <c r="Z25" s="230" t="s">
        <v>65</v>
      </c>
    </row>
    <row r="26" spans="2:26" x14ac:dyDescent="0.2">
      <c r="B26" s="30"/>
      <c r="E26" s="230"/>
      <c r="F26" s="230"/>
      <c r="G26" s="230"/>
      <c r="H26" s="230"/>
      <c r="I26" s="230"/>
      <c r="J26" s="230"/>
      <c r="K26" s="230"/>
      <c r="L26" s="230"/>
      <c r="M26" s="230"/>
      <c r="N26" s="230"/>
      <c r="O26" s="230"/>
      <c r="P26" s="230"/>
      <c r="Q26" s="230"/>
      <c r="R26" s="230"/>
      <c r="S26" s="230"/>
      <c r="T26" s="230"/>
      <c r="U26" s="230"/>
      <c r="V26" s="230"/>
      <c r="W26" s="230"/>
      <c r="X26" s="230"/>
      <c r="Y26" s="230"/>
      <c r="Z26" s="230"/>
    </row>
    <row r="27" spans="2:26" x14ac:dyDescent="0.2">
      <c r="B27" s="1" t="s">
        <v>0</v>
      </c>
      <c r="Z27" s="59">
        <f ca="1">TODAY()</f>
        <v>45796</v>
      </c>
    </row>
    <row r="28" spans="2:26" s="190" customFormat="1" x14ac:dyDescent="0.2">
      <c r="B28" s="2" t="s">
        <v>477</v>
      </c>
    </row>
    <row r="29" spans="2:26" x14ac:dyDescent="0.2">
      <c r="B29" s="3" t="s">
        <v>109</v>
      </c>
    </row>
    <row r="30" spans="2:26" x14ac:dyDescent="0.2">
      <c r="E30" s="8" t="s">
        <v>60</v>
      </c>
      <c r="F30" s="9"/>
      <c r="G30" s="9"/>
      <c r="H30" s="9"/>
      <c r="I30" s="9"/>
      <c r="J30" s="9"/>
      <c r="K30" s="9"/>
      <c r="L30" s="9"/>
      <c r="M30" s="9"/>
      <c r="N30" s="9"/>
      <c r="O30" s="9"/>
      <c r="P30" s="9"/>
      <c r="Q30" s="9"/>
      <c r="R30" s="9"/>
      <c r="S30" s="9"/>
      <c r="T30" s="9"/>
      <c r="U30" s="9"/>
      <c r="V30" s="9"/>
      <c r="W30" s="9"/>
      <c r="X30" s="9"/>
      <c r="Y30" s="9"/>
      <c r="Z30" s="9"/>
    </row>
    <row r="31" spans="2:26" ht="13.5" x14ac:dyDescent="0.35">
      <c r="E31" s="7" t="s">
        <v>30</v>
      </c>
      <c r="F31" s="7" t="s">
        <v>31</v>
      </c>
      <c r="G31" s="7" t="s">
        <v>32</v>
      </c>
      <c r="H31" s="7" t="s">
        <v>33</v>
      </c>
      <c r="I31" s="7" t="s">
        <v>34</v>
      </c>
      <c r="J31" s="7" t="s">
        <v>35</v>
      </c>
      <c r="K31" s="7" t="s">
        <v>36</v>
      </c>
      <c r="L31" s="7" t="s">
        <v>37</v>
      </c>
      <c r="M31" s="7" t="s">
        <v>38</v>
      </c>
      <c r="N31" s="7" t="s">
        <v>39</v>
      </c>
      <c r="O31" s="7" t="s">
        <v>40</v>
      </c>
      <c r="P31" s="7" t="s">
        <v>41</v>
      </c>
      <c r="Q31" s="7" t="s">
        <v>42</v>
      </c>
      <c r="R31" s="7" t="s">
        <v>43</v>
      </c>
      <c r="S31" s="7" t="s">
        <v>44</v>
      </c>
      <c r="T31" s="7" t="s">
        <v>45</v>
      </c>
      <c r="U31" s="7" t="s">
        <v>46</v>
      </c>
      <c r="V31" s="7" t="s">
        <v>47</v>
      </c>
      <c r="W31" s="7" t="s">
        <v>48</v>
      </c>
      <c r="X31" s="7" t="s">
        <v>241</v>
      </c>
      <c r="Y31" s="7" t="s">
        <v>242</v>
      </c>
      <c r="Z31" s="7" t="s">
        <v>243</v>
      </c>
    </row>
    <row r="32" spans="2:26" hidden="1" outlineLevel="1" x14ac:dyDescent="0.2">
      <c r="B32" t="s">
        <v>375</v>
      </c>
      <c r="E32" s="175">
        <v>43466</v>
      </c>
      <c r="F32" s="235">
        <f>+E33+1</f>
        <v>43556</v>
      </c>
      <c r="G32" s="235">
        <f t="shared" ref="G32:Z32" si="6">+F33+1</f>
        <v>43647</v>
      </c>
      <c r="H32" s="235">
        <f t="shared" si="6"/>
        <v>43739</v>
      </c>
      <c r="I32" s="235">
        <f t="shared" si="6"/>
        <v>43831</v>
      </c>
      <c r="J32" s="235">
        <f t="shared" si="6"/>
        <v>43922</v>
      </c>
      <c r="K32" s="235">
        <f t="shared" si="6"/>
        <v>44013</v>
      </c>
      <c r="L32" s="235">
        <f t="shared" si="6"/>
        <v>44105</v>
      </c>
      <c r="M32" s="235">
        <f t="shared" si="6"/>
        <v>44197</v>
      </c>
      <c r="N32" s="235">
        <f t="shared" si="6"/>
        <v>44287</v>
      </c>
      <c r="O32" s="235">
        <f t="shared" si="6"/>
        <v>44378</v>
      </c>
      <c r="P32" s="235">
        <f t="shared" si="6"/>
        <v>44470</v>
      </c>
      <c r="Q32" s="235">
        <f t="shared" si="6"/>
        <v>44562</v>
      </c>
      <c r="R32" s="235">
        <f t="shared" si="6"/>
        <v>44652</v>
      </c>
      <c r="S32" s="235">
        <f t="shared" si="6"/>
        <v>44743</v>
      </c>
      <c r="T32" s="235">
        <f t="shared" si="6"/>
        <v>44835</v>
      </c>
      <c r="U32" s="235">
        <f t="shared" si="6"/>
        <v>44927</v>
      </c>
      <c r="V32" s="235">
        <f t="shared" si="6"/>
        <v>45017</v>
      </c>
      <c r="W32" s="235">
        <f t="shared" si="6"/>
        <v>45108</v>
      </c>
      <c r="X32" s="235">
        <f t="shared" si="6"/>
        <v>45200</v>
      </c>
      <c r="Y32" s="235">
        <f t="shared" si="6"/>
        <v>45292</v>
      </c>
      <c r="Z32" s="235">
        <f t="shared" si="6"/>
        <v>45383</v>
      </c>
    </row>
    <row r="33" spans="2:27" hidden="1" outlineLevel="1" x14ac:dyDescent="0.2">
      <c r="B33" t="s">
        <v>376</v>
      </c>
      <c r="E33" s="175">
        <v>43555</v>
      </c>
      <c r="F33" s="175">
        <v>43646</v>
      </c>
      <c r="G33" s="175">
        <v>43738</v>
      </c>
      <c r="H33" s="175">
        <v>43830</v>
      </c>
      <c r="I33" s="175">
        <v>43921</v>
      </c>
      <c r="J33" s="175">
        <v>44012</v>
      </c>
      <c r="K33" s="175">
        <v>44104</v>
      </c>
      <c r="L33" s="175">
        <v>44196</v>
      </c>
      <c r="M33" s="175">
        <v>44286</v>
      </c>
      <c r="N33" s="175">
        <v>44377</v>
      </c>
      <c r="O33" s="175">
        <v>44469</v>
      </c>
      <c r="P33" s="175">
        <v>44561</v>
      </c>
      <c r="Q33" s="175">
        <v>44651</v>
      </c>
      <c r="R33" s="175">
        <v>44742</v>
      </c>
      <c r="S33" s="175">
        <v>44834</v>
      </c>
      <c r="T33" s="175">
        <v>44926</v>
      </c>
      <c r="U33" s="175">
        <v>45016</v>
      </c>
      <c r="V33" s="175">
        <v>45107</v>
      </c>
      <c r="W33" s="175">
        <v>45199</v>
      </c>
      <c r="X33" s="175">
        <v>45291</v>
      </c>
      <c r="Y33" s="175">
        <v>45382</v>
      </c>
      <c r="Z33" s="175">
        <v>45473</v>
      </c>
    </row>
    <row r="34" spans="2:27" hidden="1" outlineLevel="1" x14ac:dyDescent="0.2">
      <c r="B34" t="s">
        <v>491</v>
      </c>
      <c r="E34" s="10">
        <f>+E33-E32+1</f>
        <v>90</v>
      </c>
      <c r="F34" s="10">
        <f t="shared" ref="F34:Z34" si="7">+F33-F32+1</f>
        <v>91</v>
      </c>
      <c r="G34" s="10">
        <f t="shared" si="7"/>
        <v>92</v>
      </c>
      <c r="H34" s="10">
        <f t="shared" si="7"/>
        <v>92</v>
      </c>
      <c r="I34" s="10">
        <f t="shared" si="7"/>
        <v>91</v>
      </c>
      <c r="J34" s="10">
        <f t="shared" si="7"/>
        <v>91</v>
      </c>
      <c r="K34" s="10">
        <f t="shared" si="7"/>
        <v>92</v>
      </c>
      <c r="L34" s="10">
        <f t="shared" si="7"/>
        <v>92</v>
      </c>
      <c r="M34" s="10">
        <f t="shared" si="7"/>
        <v>90</v>
      </c>
      <c r="N34" s="10">
        <f t="shared" si="7"/>
        <v>91</v>
      </c>
      <c r="O34" s="10">
        <f t="shared" si="7"/>
        <v>92</v>
      </c>
      <c r="P34" s="10">
        <f t="shared" si="7"/>
        <v>92</v>
      </c>
      <c r="Q34" s="10">
        <f t="shared" si="7"/>
        <v>90</v>
      </c>
      <c r="R34" s="10">
        <f t="shared" si="7"/>
        <v>91</v>
      </c>
      <c r="S34" s="10">
        <f t="shared" si="7"/>
        <v>92</v>
      </c>
      <c r="T34" s="10">
        <f t="shared" si="7"/>
        <v>92</v>
      </c>
      <c r="U34" s="10">
        <f t="shared" si="7"/>
        <v>90</v>
      </c>
      <c r="V34" s="10">
        <f t="shared" si="7"/>
        <v>91</v>
      </c>
      <c r="W34" s="10">
        <f t="shared" si="7"/>
        <v>92</v>
      </c>
      <c r="X34" s="10">
        <f t="shared" si="7"/>
        <v>92</v>
      </c>
      <c r="Y34" s="10">
        <f t="shared" si="7"/>
        <v>91</v>
      </c>
      <c r="Z34" s="10">
        <f t="shared" si="7"/>
        <v>91</v>
      </c>
    </row>
    <row r="35" spans="2:27" collapsed="1" x14ac:dyDescent="0.2"/>
    <row r="36" spans="2:27" x14ac:dyDescent="0.2">
      <c r="B36" s="6" t="s">
        <v>495</v>
      </c>
      <c r="C36" s="5"/>
    </row>
    <row r="37" spans="2:27" x14ac:dyDescent="0.2">
      <c r="B37" s="1"/>
    </row>
    <row r="38" spans="2:27" x14ac:dyDescent="0.2">
      <c r="B38" t="s">
        <v>478</v>
      </c>
      <c r="E38" s="160">
        <f>+'Historical Financials'!L567</f>
        <v>252.102</v>
      </c>
      <c r="F38" s="160">
        <f>+'Historical Financials'!M567</f>
        <v>402.56799999999998</v>
      </c>
      <c r="G38" s="160">
        <f>+'Historical Financials'!N567</f>
        <v>414.61500000000001</v>
      </c>
      <c r="H38" s="160">
        <f>+'Historical Financials'!O567</f>
        <v>472.54</v>
      </c>
      <c r="I38" s="160">
        <f>+'Historical Financials'!P567</f>
        <v>460.28199999999998</v>
      </c>
      <c r="J38" s="160">
        <f>+'Historical Financials'!Q567</f>
        <v>838.27599999999995</v>
      </c>
      <c r="K38" s="160">
        <f>+'Historical Financials'!R567</f>
        <v>485.41300000000001</v>
      </c>
      <c r="L38" s="160">
        <f>+'Historical Financials'!S567</f>
        <v>671.39499999999998</v>
      </c>
      <c r="M38" s="160">
        <f>+'Historical Financials'!T567</f>
        <v>970.47699999999998</v>
      </c>
      <c r="N38" s="160">
        <f>+'Historical Financials'!U567</f>
        <v>544.62900000000002</v>
      </c>
      <c r="O38" s="160">
        <f>+'Historical Financials'!V567</f>
        <v>631.91300000000001</v>
      </c>
      <c r="P38" s="160">
        <f>+'Historical Financials'!W567</f>
        <v>914.64299999999957</v>
      </c>
      <c r="Q38" s="160">
        <f>+'Historical Financials'!X567</f>
        <v>796.26099999999997</v>
      </c>
      <c r="R38" s="160">
        <f>+'Historical Financials'!Y567</f>
        <v>756.99099999999999</v>
      </c>
      <c r="S38" s="160">
        <f>+'Historical Financials'!Z567</f>
        <v>1092.1500000000001</v>
      </c>
      <c r="T38" s="160">
        <f>+'Historical Financials'!AA567</f>
        <v>1351.6979999999999</v>
      </c>
      <c r="U38" s="160">
        <f>+'Historical Financials'!AB567</f>
        <v>1463.5989999999999</v>
      </c>
      <c r="V38" s="160">
        <f>+'Historical Financials'!AC567</f>
        <v>2287.741</v>
      </c>
      <c r="W38" s="160">
        <f>+'Historical Financials'!AD567</f>
        <v>2127.3560000000002</v>
      </c>
      <c r="X38" s="160">
        <f>+'Historical Financials'!AE567</f>
        <v>4359.384</v>
      </c>
      <c r="Y38" s="160">
        <f>+'Historical Financials'!AF567</f>
        <v>5048.5889999999999</v>
      </c>
      <c r="Z38" s="160">
        <f>+'Historical Financials'!AG567</f>
        <v>4855.5919999999996</v>
      </c>
    </row>
    <row r="39" spans="2:27" ht="13.5" x14ac:dyDescent="0.35">
      <c r="B39" t="s">
        <v>494</v>
      </c>
      <c r="E39" s="25">
        <f>+E48</f>
        <v>41154.581000000006</v>
      </c>
      <c r="F39" s="25">
        <f t="shared" ref="F39:Z39" si="8">+F48</f>
        <v>46369.187000000005</v>
      </c>
      <c r="G39" s="25">
        <f t="shared" si="8"/>
        <v>53763.2215</v>
      </c>
      <c r="H39" s="25">
        <f t="shared" si="8"/>
        <v>63780.77</v>
      </c>
      <c r="I39" s="25">
        <f t="shared" si="8"/>
        <v>69091.140500000009</v>
      </c>
      <c r="J39" s="25">
        <f t="shared" si="8"/>
        <v>76263.682918262944</v>
      </c>
      <c r="K39" s="25">
        <f t="shared" si="8"/>
        <v>86495.636836525897</v>
      </c>
      <c r="L39" s="25">
        <f t="shared" si="8"/>
        <v>117555.12341826293</v>
      </c>
      <c r="M39" s="25">
        <f t="shared" si="8"/>
        <v>142856.78752647736</v>
      </c>
      <c r="N39" s="25">
        <f t="shared" si="8"/>
        <v>143493.33280326621</v>
      </c>
      <c r="O39" s="25">
        <f t="shared" si="8"/>
        <v>150013.12307812739</v>
      </c>
      <c r="P39" s="25">
        <f t="shared" si="8"/>
        <v>160257.40130133857</v>
      </c>
      <c r="Q39" s="25">
        <f t="shared" si="8"/>
        <v>161819.97442384277</v>
      </c>
      <c r="R39" s="25">
        <f t="shared" si="8"/>
        <v>168959.51147492661</v>
      </c>
      <c r="S39" s="25">
        <f t="shared" si="8"/>
        <v>189456.68413090421</v>
      </c>
      <c r="T39" s="25">
        <f t="shared" si="8"/>
        <v>209901.31657982041</v>
      </c>
      <c r="U39" s="25">
        <f t="shared" si="8"/>
        <v>224440.89934207557</v>
      </c>
      <c r="V39" s="25">
        <f t="shared" si="8"/>
        <v>242080.76637599751</v>
      </c>
      <c r="W39" s="25">
        <f t="shared" si="8"/>
        <v>274395.68280141067</v>
      </c>
      <c r="X39" s="25">
        <f t="shared" si="8"/>
        <v>308139.77376748878</v>
      </c>
      <c r="Y39" s="25">
        <f t="shared" si="8"/>
        <v>339864.88089869608</v>
      </c>
      <c r="Z39" s="25">
        <f t="shared" si="8"/>
        <v>381858.29468794423</v>
      </c>
    </row>
    <row r="40" spans="2:27" s="1" customFormat="1" x14ac:dyDescent="0.2">
      <c r="B40" s="38" t="s">
        <v>495</v>
      </c>
      <c r="E40" s="237">
        <f>365/E34*E38/E39</f>
        <v>2.4843252970226243E-2</v>
      </c>
      <c r="F40" s="237">
        <f t="shared" ref="F40:Z40" si="9">365/F34*F38/F39</f>
        <v>3.4822603729839474E-2</v>
      </c>
      <c r="G40" s="237">
        <f t="shared" si="9"/>
        <v>3.0596007823901959E-2</v>
      </c>
      <c r="H40" s="237">
        <f t="shared" si="9"/>
        <v>2.9393672841461809E-2</v>
      </c>
      <c r="I40" s="237">
        <f t="shared" si="9"/>
        <v>2.6721024296248862E-2</v>
      </c>
      <c r="J40" s="237">
        <f t="shared" si="9"/>
        <v>4.408803372083997E-2</v>
      </c>
      <c r="K40" s="237">
        <f t="shared" si="9"/>
        <v>2.2264976427159425E-2</v>
      </c>
      <c r="L40" s="237">
        <f t="shared" si="9"/>
        <v>2.2659043751799491E-2</v>
      </c>
      <c r="M40" s="237">
        <f t="shared" si="9"/>
        <v>2.7550832249811127E-2</v>
      </c>
      <c r="N40" s="237">
        <f t="shared" si="9"/>
        <v>1.522371033824235E-2</v>
      </c>
      <c r="O40" s="237">
        <f t="shared" si="9"/>
        <v>1.6712178840504969E-2</v>
      </c>
      <c r="P40" s="237">
        <f t="shared" si="9"/>
        <v>2.2643239284526558E-2</v>
      </c>
      <c r="Q40" s="237">
        <f t="shared" si="9"/>
        <v>1.9956008111606867E-2</v>
      </c>
      <c r="R40" s="237">
        <f t="shared" si="9"/>
        <v>1.797047444037007E-2</v>
      </c>
      <c r="S40" s="237">
        <f t="shared" si="9"/>
        <v>2.2870591412069801E-2</v>
      </c>
      <c r="T40" s="237">
        <f t="shared" si="9"/>
        <v>2.5548743469958352E-2</v>
      </c>
      <c r="U40" s="237">
        <f t="shared" si="9"/>
        <v>2.6446637279370397E-2</v>
      </c>
      <c r="V40" s="237">
        <f t="shared" si="9"/>
        <v>3.7905134506790082E-2</v>
      </c>
      <c r="W40" s="237">
        <f t="shared" si="9"/>
        <v>3.0758697110262207E-2</v>
      </c>
      <c r="X40" s="237">
        <f t="shared" si="9"/>
        <v>5.6128366560571047E-2</v>
      </c>
      <c r="Y40" s="237">
        <f t="shared" si="9"/>
        <v>5.9582016672195946E-2</v>
      </c>
      <c r="Z40" s="237">
        <f t="shared" si="9"/>
        <v>5.1002496016910606E-2</v>
      </c>
    </row>
    <row r="42" spans="2:27" x14ac:dyDescent="0.2">
      <c r="B42" s="253" t="s">
        <v>524</v>
      </c>
    </row>
    <row r="43" spans="2:27" x14ac:dyDescent="0.2">
      <c r="B43" s="184" t="s">
        <v>481</v>
      </c>
      <c r="D43" s="160">
        <f>+'Historical Financials'!K791</f>
        <v>14160.322</v>
      </c>
      <c r="E43" s="160">
        <f>+'Historical Financials'!L791</f>
        <v>22501.690999999999</v>
      </c>
      <c r="F43" s="160">
        <f>+'Historical Financials'!M791</f>
        <v>23851.94</v>
      </c>
      <c r="G43" s="160">
        <f>+'Historical Financials'!N791</f>
        <v>15694.045</v>
      </c>
      <c r="H43" s="160">
        <f>+'Historical Financials'!O791</f>
        <v>5768.1859999999997</v>
      </c>
      <c r="I43" s="160">
        <f>+'Historical Financials'!P791</f>
        <v>5526.7359999999999</v>
      </c>
      <c r="J43" s="160">
        <f>+'Historical Financials'!Q791</f>
        <v>4209.6229999999996</v>
      </c>
      <c r="K43" s="160">
        <f>+'Historical Financials'!R791</f>
        <v>5715.6760000000004</v>
      </c>
      <c r="L43" s="160">
        <f>+'Historical Financials'!S791</f>
        <v>22421.188999999998</v>
      </c>
      <c r="M43" s="160">
        <f>+'Historical Financials'!T791</f>
        <v>17012.977999999999</v>
      </c>
      <c r="N43" s="160">
        <f>+'Historical Financials'!U791</f>
        <v>19154.776999999998</v>
      </c>
      <c r="O43" s="160">
        <f>+'Historical Financials'!V791</f>
        <v>11132.800999999999</v>
      </c>
      <c r="P43" s="160">
        <f>+'Historical Financials'!W791</f>
        <v>6426.7150000000001</v>
      </c>
      <c r="Q43" s="160">
        <f>+'Historical Financials'!X791</f>
        <v>7404.9920000000002</v>
      </c>
      <c r="R43" s="160">
        <f>+'Historical Financials'!Y791</f>
        <v>13057.463</v>
      </c>
      <c r="S43" s="160">
        <f>+'Historical Financials'!Z791</f>
        <v>25601.546999999999</v>
      </c>
      <c r="T43" s="160">
        <f>+'Historical Financials'!AA791</f>
        <v>34326.192000000003</v>
      </c>
      <c r="U43" s="160">
        <f>+'Historical Financials'!AB791</f>
        <v>19771.264999999999</v>
      </c>
      <c r="V43" s="160">
        <f>+'Historical Financials'!AC791</f>
        <v>31379.326000000001</v>
      </c>
      <c r="W43" s="160">
        <f>+'Historical Financials'!AD791</f>
        <v>54939.760999999999</v>
      </c>
      <c r="X43" s="160">
        <f>+'Historical Financials'!AE791</f>
        <v>59794.468999999997</v>
      </c>
      <c r="Y43" s="160">
        <f>+'Historical Financials'!AF791</f>
        <v>55591.887999999999</v>
      </c>
      <c r="Z43" s="160">
        <f>+'Historical Financials'!AG791</f>
        <v>56756.328999999998</v>
      </c>
    </row>
    <row r="44" spans="2:27" x14ac:dyDescent="0.2">
      <c r="B44" s="184" t="s">
        <v>480</v>
      </c>
      <c r="D44" s="160">
        <f>+'Historical Financials'!K792</f>
        <v>16379.364</v>
      </c>
      <c r="E44" s="160">
        <f>+'Historical Financials'!L792</f>
        <v>14717.548000000001</v>
      </c>
      <c r="F44" s="160">
        <f>+'Historical Financials'!M792</f>
        <v>16812.225999999999</v>
      </c>
      <c r="G44" s="160">
        <f>+'Historical Financials'!N792</f>
        <v>18672.031999999999</v>
      </c>
      <c r="H44" s="160">
        <f>+'Historical Financials'!O792</f>
        <v>27577.670999999998</v>
      </c>
      <c r="I44" s="160">
        <f>+'Historical Financials'!P792</f>
        <v>26972.388999999999</v>
      </c>
      <c r="J44" s="160">
        <f>+'Historical Financials'!Q792</f>
        <v>32468.267</v>
      </c>
      <c r="K44" s="160">
        <f>+'Historical Financials'!R792</f>
        <v>38813.084000000003</v>
      </c>
      <c r="L44" s="160">
        <f>+'Historical Financials'!S792</f>
        <v>52422.447</v>
      </c>
      <c r="M44" s="160">
        <f>+'Historical Financials'!T792</f>
        <v>47297.74</v>
      </c>
      <c r="N44" s="160">
        <f>+'Historical Financials'!U792</f>
        <v>48214.067999999999</v>
      </c>
      <c r="O44" s="160">
        <f>+'Historical Financials'!V792</f>
        <v>51230.161</v>
      </c>
      <c r="P44" s="160">
        <f>+'Historical Financials'!W792</f>
        <v>59617.256000000001</v>
      </c>
      <c r="Q44" s="160">
        <f>+'Historical Financials'!X792</f>
        <v>44729</v>
      </c>
      <c r="R44" s="160">
        <f>+'Historical Financials'!Y792</f>
        <v>49806.557999999997</v>
      </c>
      <c r="S44" s="160">
        <f>+'Historical Financials'!Z792</f>
        <v>48808.387999999999</v>
      </c>
      <c r="T44" s="160">
        <f>+'Historical Financials'!AA792</f>
        <v>57974.224999999999</v>
      </c>
      <c r="U44" s="160">
        <f>+'Historical Financials'!AB792</f>
        <v>50898.735000000001</v>
      </c>
      <c r="V44" s="160">
        <f>+'Historical Financials'!AC792</f>
        <v>52055.133000000002</v>
      </c>
      <c r="W44" s="160">
        <f>+'Historical Financials'!AD792</f>
        <v>56413.498</v>
      </c>
      <c r="X44" s="160">
        <f>+'Historical Financials'!AE792</f>
        <v>61985.436000000002</v>
      </c>
      <c r="Y44" s="160">
        <f>+'Historical Financials'!AF792</f>
        <v>59113.029000000002</v>
      </c>
      <c r="Z44" s="160">
        <f>+'Historical Financials'!AG792</f>
        <v>59360.6</v>
      </c>
      <c r="AA44" s="33"/>
    </row>
    <row r="45" spans="2:27" x14ac:dyDescent="0.2">
      <c r="B45" s="184" t="s">
        <v>479</v>
      </c>
      <c r="D45" s="160">
        <f>+'Historical Financials'!K795</f>
        <v>7630.6890000000003</v>
      </c>
      <c r="E45" s="160">
        <f>+'Historical Financials'!L795</f>
        <v>6919.5479999999998</v>
      </c>
      <c r="F45" s="160">
        <f>+'Historical Financials'!M795</f>
        <v>7935.4210000000003</v>
      </c>
      <c r="G45" s="160">
        <f>+'Historical Financials'!N795</f>
        <v>24560.778999999999</v>
      </c>
      <c r="H45" s="160">
        <f>+'Historical Financials'!O795</f>
        <v>35288.826999999997</v>
      </c>
      <c r="I45" s="160">
        <f>+'Historical Financials'!P795</f>
        <v>37048.472000000002</v>
      </c>
      <c r="J45" s="160">
        <f>+'Historical Financials'!Q795</f>
        <v>44801.078000000001</v>
      </c>
      <c r="K45" s="160">
        <f>+'Historical Financials'!R795</f>
        <v>39859.089</v>
      </c>
      <c r="L45" s="160">
        <f>+'Historical Financials'!S795</f>
        <v>64551.093999999997</v>
      </c>
      <c r="M45" s="160">
        <f>+'Historical Financials'!T795</f>
        <v>66342.812999999995</v>
      </c>
      <c r="N45" s="160">
        <f>+'Historical Financials'!U795</f>
        <v>73026.501999999993</v>
      </c>
      <c r="O45" s="160">
        <f>+'Historical Financials'!V795</f>
        <v>86785.027000000002</v>
      </c>
      <c r="P45" s="160">
        <f>+'Historical Financials'!W795</f>
        <v>86516.618000000002</v>
      </c>
      <c r="Q45" s="160">
        <f>+'Historical Financials'!X795</f>
        <v>87815.868000000002</v>
      </c>
      <c r="R45" s="160">
        <f>+'Historical Financials'!Y795</f>
        <v>106322.57799999999</v>
      </c>
      <c r="S45" s="160">
        <f>+'Historical Financials'!Z795</f>
        <v>112207.94899999999</v>
      </c>
      <c r="T45" s="160">
        <f>+'Historical Financials'!AA795</f>
        <v>115112.554</v>
      </c>
      <c r="U45" s="160">
        <f>+'Historical Financials'!AB795</f>
        <v>137263.55300000001</v>
      </c>
      <c r="V45" s="160">
        <f>+'Historical Financials'!AC795</f>
        <v>148129.26</v>
      </c>
      <c r="W45" s="160">
        <f>+'Historical Financials'!AD795</f>
        <v>147906.90400000001</v>
      </c>
      <c r="X45" s="160">
        <f>+'Historical Financials'!AE795</f>
        <v>157415.36499999999</v>
      </c>
      <c r="Y45" s="160">
        <f>+'Historical Financials'!AF795</f>
        <v>186539.73199999999</v>
      </c>
      <c r="Z45" s="160">
        <f>+'Historical Financials'!AG795</f>
        <v>228170.85</v>
      </c>
    </row>
    <row r="46" spans="2:27" ht="13.5" x14ac:dyDescent="0.35">
      <c r="B46" s="184" t="s">
        <v>490</v>
      </c>
      <c r="D46" s="54">
        <v>0</v>
      </c>
      <c r="E46" s="54">
        <v>0</v>
      </c>
      <c r="F46" s="54">
        <v>0</v>
      </c>
      <c r="G46" s="54">
        <v>0</v>
      </c>
      <c r="H46" s="25">
        <f>+SUM(H60:H61)</f>
        <v>0</v>
      </c>
      <c r="I46" s="54">
        <v>0</v>
      </c>
      <c r="J46" s="54">
        <f>+J64+K46-K64</f>
        <v>1500.8008365258902</v>
      </c>
      <c r="K46" s="54">
        <f>+$L46/$L64*K64</f>
        <v>5623.6558365258907</v>
      </c>
      <c r="L46" s="25">
        <f>+SUM(L60:L61)</f>
        <v>5704.0119999999997</v>
      </c>
      <c r="M46" s="54">
        <f>+(P46/P64*0.75+L46/L64*0.25)*M64</f>
        <v>9961.3020529548066</v>
      </c>
      <c r="N46" s="54">
        <f>+(P46/P64*0.5+L46/L64*0.5)*N64</f>
        <v>5976.4855535776296</v>
      </c>
      <c r="O46" s="54">
        <f>+(P46/P64*0.25+L46/L64*0.75)*O64</f>
        <v>4506.4246026771871</v>
      </c>
      <c r="P46" s="25">
        <f>+SUM(P60:P61)</f>
        <v>14299.800000000001</v>
      </c>
      <c r="Q46" s="54">
        <f>+(T46/T64*0.75+P46/P64*0.25)*Q64</f>
        <v>16829.699847685559</v>
      </c>
      <c r="R46" s="54">
        <f>+(T46/T64*0.5+P46/P64*0.5)*R64</f>
        <v>11952.864102167672</v>
      </c>
      <c r="S46" s="54">
        <f>+(T46/T64*0.25+P46/P64*0.75)*S64</f>
        <v>11156.02115964081</v>
      </c>
      <c r="T46" s="25">
        <f>+SUM(T60:T61)</f>
        <v>14615.757</v>
      </c>
      <c r="U46" s="54">
        <f>+(X46/X64*0.75+T46/T64*0.25)*U64</f>
        <v>18919.517684151131</v>
      </c>
      <c r="V46" s="54">
        <f>+(X46/X64*0.5+T46/T64*0.5)*V64</f>
        <v>25744.743067843876</v>
      </c>
      <c r="W46" s="54">
        <f>+(X46/X64*0.25+T46/T64*0.75)*W64</f>
        <v>32222.740534977547</v>
      </c>
      <c r="X46" s="25">
        <f>+SUM(X60:X61)</f>
        <v>45601.373999999996</v>
      </c>
      <c r="Y46" s="54">
        <f>+$X46/$X64*Y64</f>
        <v>53688.468797392168</v>
      </c>
      <c r="Z46" s="54">
        <f>+$X46/$X64*Z64</f>
        <v>64495.692578496339</v>
      </c>
    </row>
    <row r="47" spans="2:27" x14ac:dyDescent="0.2">
      <c r="B47" s="4" t="s">
        <v>492</v>
      </c>
      <c r="D47" s="10">
        <f>SUM(D43:D46)</f>
        <v>38170.375</v>
      </c>
      <c r="E47" s="10">
        <f>SUM(E43:E46)</f>
        <v>44138.787000000004</v>
      </c>
      <c r="F47" s="10">
        <f t="shared" ref="F47:Z47" si="10">SUM(F43:F46)</f>
        <v>48599.587</v>
      </c>
      <c r="G47" s="10">
        <f t="shared" si="10"/>
        <v>58926.856</v>
      </c>
      <c r="H47" s="10">
        <f t="shared" si="10"/>
        <v>68634.683999999994</v>
      </c>
      <c r="I47" s="10">
        <f t="shared" si="10"/>
        <v>69547.597000000009</v>
      </c>
      <c r="J47" s="10">
        <f t="shared" si="10"/>
        <v>82979.76883652588</v>
      </c>
      <c r="K47" s="10">
        <f t="shared" si="10"/>
        <v>90011.504836525899</v>
      </c>
      <c r="L47" s="10">
        <f t="shared" si="10"/>
        <v>145098.74199999997</v>
      </c>
      <c r="M47" s="10">
        <f t="shared" si="10"/>
        <v>140614.83305295478</v>
      </c>
      <c r="N47" s="10">
        <f t="shared" si="10"/>
        <v>146371.83255357764</v>
      </c>
      <c r="O47" s="10">
        <f t="shared" si="10"/>
        <v>153654.41360267717</v>
      </c>
      <c r="P47" s="10">
        <f t="shared" si="10"/>
        <v>166860.389</v>
      </c>
      <c r="Q47" s="10">
        <f t="shared" si="10"/>
        <v>156779.55984768554</v>
      </c>
      <c r="R47" s="10">
        <f t="shared" si="10"/>
        <v>181139.46310216765</v>
      </c>
      <c r="S47" s="10">
        <f t="shared" si="10"/>
        <v>197773.9051596408</v>
      </c>
      <c r="T47" s="10">
        <f t="shared" si="10"/>
        <v>222028.72800000003</v>
      </c>
      <c r="U47" s="10">
        <f t="shared" si="10"/>
        <v>226853.07068415114</v>
      </c>
      <c r="V47" s="10">
        <f t="shared" si="10"/>
        <v>257308.46206784388</v>
      </c>
      <c r="W47" s="10">
        <f t="shared" si="10"/>
        <v>291482.90353497752</v>
      </c>
      <c r="X47" s="10">
        <f t="shared" si="10"/>
        <v>324796.64400000003</v>
      </c>
      <c r="Y47" s="10">
        <f t="shared" si="10"/>
        <v>354933.11779739213</v>
      </c>
      <c r="Z47" s="10">
        <f t="shared" si="10"/>
        <v>408783.47157849633</v>
      </c>
    </row>
    <row r="48" spans="2:27" x14ac:dyDescent="0.2">
      <c r="B48" s="4" t="s">
        <v>493</v>
      </c>
      <c r="D48" s="10">
        <f>+AVERAGE(B47:D47)</f>
        <v>38170.375</v>
      </c>
      <c r="E48" s="10">
        <f>+AVERAGE(C47:E47)</f>
        <v>41154.581000000006</v>
      </c>
      <c r="F48" s="10">
        <f t="shared" ref="F48:Z48" si="11">+AVERAGE(E47:F47)</f>
        <v>46369.187000000005</v>
      </c>
      <c r="G48" s="10">
        <f t="shared" si="11"/>
        <v>53763.2215</v>
      </c>
      <c r="H48" s="10">
        <f t="shared" si="11"/>
        <v>63780.77</v>
      </c>
      <c r="I48" s="10">
        <f t="shared" si="11"/>
        <v>69091.140500000009</v>
      </c>
      <c r="J48" s="10">
        <f t="shared" si="11"/>
        <v>76263.682918262944</v>
      </c>
      <c r="K48" s="10">
        <f t="shared" si="11"/>
        <v>86495.636836525897</v>
      </c>
      <c r="L48" s="10">
        <f t="shared" si="11"/>
        <v>117555.12341826293</v>
      </c>
      <c r="M48" s="10">
        <f t="shared" si="11"/>
        <v>142856.78752647736</v>
      </c>
      <c r="N48" s="10">
        <f t="shared" si="11"/>
        <v>143493.33280326621</v>
      </c>
      <c r="O48" s="10">
        <f t="shared" si="11"/>
        <v>150013.12307812739</v>
      </c>
      <c r="P48" s="10">
        <f t="shared" si="11"/>
        <v>160257.40130133857</v>
      </c>
      <c r="Q48" s="10">
        <f t="shared" si="11"/>
        <v>161819.97442384277</v>
      </c>
      <c r="R48" s="10">
        <f t="shared" si="11"/>
        <v>168959.51147492661</v>
      </c>
      <c r="S48" s="10">
        <f t="shared" si="11"/>
        <v>189456.68413090421</v>
      </c>
      <c r="T48" s="10">
        <f t="shared" si="11"/>
        <v>209901.31657982041</v>
      </c>
      <c r="U48" s="10">
        <f t="shared" si="11"/>
        <v>224440.89934207557</v>
      </c>
      <c r="V48" s="10">
        <f t="shared" si="11"/>
        <v>242080.76637599751</v>
      </c>
      <c r="W48" s="10">
        <f t="shared" si="11"/>
        <v>274395.68280141067</v>
      </c>
      <c r="X48" s="10">
        <f t="shared" si="11"/>
        <v>308139.77376748878</v>
      </c>
      <c r="Y48" s="10">
        <f t="shared" si="11"/>
        <v>339864.88089869608</v>
      </c>
      <c r="Z48" s="10">
        <f t="shared" si="11"/>
        <v>381858.29468794423</v>
      </c>
    </row>
    <row r="49" spans="2:27" hidden="1" outlineLevel="1" x14ac:dyDescent="0.2">
      <c r="B49" s="30"/>
    </row>
    <row r="50" spans="2:27" hidden="1" outlineLevel="1" x14ac:dyDescent="0.2">
      <c r="B50" s="19" t="s">
        <v>66</v>
      </c>
    </row>
    <row r="51" spans="2:27" hidden="1" outlineLevel="1" x14ac:dyDescent="0.2">
      <c r="B51" s="20" t="s">
        <v>486</v>
      </c>
      <c r="E51" s="230" t="s">
        <v>65</v>
      </c>
      <c r="F51" s="230" t="s">
        <v>65</v>
      </c>
      <c r="G51" s="230" t="s">
        <v>65</v>
      </c>
      <c r="H51" s="224">
        <v>0</v>
      </c>
      <c r="I51" s="230" t="s">
        <v>65</v>
      </c>
      <c r="J51" s="230" t="s">
        <v>65</v>
      </c>
      <c r="K51" s="230" t="s">
        <v>65</v>
      </c>
      <c r="L51" s="174">
        <v>2217.8879999999999</v>
      </c>
      <c r="M51" s="230" t="s">
        <v>65</v>
      </c>
      <c r="N51" s="230" t="s">
        <v>65</v>
      </c>
      <c r="O51" s="230" t="s">
        <v>65</v>
      </c>
      <c r="P51" s="174">
        <v>8936.4240000000009</v>
      </c>
      <c r="Q51" s="230" t="s">
        <v>65</v>
      </c>
      <c r="R51" s="230" t="s">
        <v>65</v>
      </c>
      <c r="S51" s="230" t="s">
        <v>65</v>
      </c>
      <c r="T51" s="174">
        <v>5536.768</v>
      </c>
      <c r="U51" s="230" t="s">
        <v>65</v>
      </c>
      <c r="V51" s="230" t="s">
        <v>65</v>
      </c>
      <c r="W51" s="230" t="s">
        <v>65</v>
      </c>
      <c r="X51" s="174">
        <v>11510.069</v>
      </c>
      <c r="Y51" s="230" t="s">
        <v>65</v>
      </c>
      <c r="Z51" s="230" t="s">
        <v>65</v>
      </c>
      <c r="AA51" s="33"/>
    </row>
    <row r="52" spans="2:27" ht="13.5" hidden="1" outlineLevel="1" x14ac:dyDescent="0.35">
      <c r="B52" s="20" t="s">
        <v>487</v>
      </c>
      <c r="E52" s="231" t="s">
        <v>65</v>
      </c>
      <c r="F52" s="231" t="s">
        <v>65</v>
      </c>
      <c r="G52" s="231" t="s">
        <v>65</v>
      </c>
      <c r="H52" s="234">
        <v>0</v>
      </c>
      <c r="I52" s="231" t="s">
        <v>65</v>
      </c>
      <c r="J52" s="231" t="s">
        <v>65</v>
      </c>
      <c r="K52" s="231" t="s">
        <v>65</v>
      </c>
      <c r="L52" s="228">
        <v>2097.2080000000001</v>
      </c>
      <c r="M52" s="231" t="s">
        <v>65</v>
      </c>
      <c r="N52" s="231" t="s">
        <v>65</v>
      </c>
      <c r="O52" s="231" t="s">
        <v>65</v>
      </c>
      <c r="P52" s="228">
        <v>4072.4749999999999</v>
      </c>
      <c r="Q52" s="231" t="s">
        <v>65</v>
      </c>
      <c r="R52" s="231" t="s">
        <v>65</v>
      </c>
      <c r="S52" s="231" t="s">
        <v>65</v>
      </c>
      <c r="T52" s="228">
        <v>5503.5150000000003</v>
      </c>
      <c r="U52" s="231" t="s">
        <v>65</v>
      </c>
      <c r="V52" s="231" t="s">
        <v>65</v>
      </c>
      <c r="W52" s="231" t="s">
        <v>65</v>
      </c>
      <c r="X52" s="228">
        <v>17274.928</v>
      </c>
      <c r="Y52" s="231" t="s">
        <v>65</v>
      </c>
      <c r="Z52" s="231" t="s">
        <v>65</v>
      </c>
      <c r="AA52" s="33"/>
    </row>
    <row r="53" spans="2:27" hidden="1" outlineLevel="1" x14ac:dyDescent="0.2">
      <c r="B53" s="30" t="s">
        <v>482</v>
      </c>
      <c r="E53" s="147" t="str">
        <f>+IFERROR(E51+E52,"n/a")</f>
        <v>n/a</v>
      </c>
      <c r="F53" s="147" t="str">
        <f t="shared" ref="F53:G53" si="12">+IFERROR(F51+F52,"n/a")</f>
        <v>n/a</v>
      </c>
      <c r="G53" s="147" t="str">
        <f t="shared" si="12"/>
        <v>n/a</v>
      </c>
      <c r="H53" s="147">
        <f>+IFERROR(H51+H52,"n/a")</f>
        <v>0</v>
      </c>
      <c r="I53" s="147" t="str">
        <f>+IFERROR(I51+I52,"n/a")</f>
        <v>n/a</v>
      </c>
      <c r="J53" s="147" t="str">
        <f t="shared" ref="J53:K53" si="13">+IFERROR(J51+J52,"n/a")</f>
        <v>n/a</v>
      </c>
      <c r="K53" s="147" t="str">
        <f t="shared" si="13"/>
        <v>n/a</v>
      </c>
      <c r="L53" s="147">
        <f>+IFERROR(L51+L52,"n/a")</f>
        <v>4315.0959999999995</v>
      </c>
      <c r="M53" s="147" t="str">
        <f>+IFERROR(M51+M52,"n/a")</f>
        <v>n/a</v>
      </c>
      <c r="N53" s="147" t="str">
        <f t="shared" ref="N53:O53" si="14">+IFERROR(N51+N52,"n/a")</f>
        <v>n/a</v>
      </c>
      <c r="O53" s="147" t="str">
        <f t="shared" si="14"/>
        <v>n/a</v>
      </c>
      <c r="P53" s="147">
        <f>+IFERROR(P51+P52,"n/a")</f>
        <v>13008.899000000001</v>
      </c>
      <c r="Q53" s="147" t="str">
        <f>+IFERROR(Q51+Q52,"n/a")</f>
        <v>n/a</v>
      </c>
      <c r="R53" s="147" t="str">
        <f t="shared" ref="R53:S53" si="15">+IFERROR(R51+R52,"n/a")</f>
        <v>n/a</v>
      </c>
      <c r="S53" s="147" t="str">
        <f t="shared" si="15"/>
        <v>n/a</v>
      </c>
      <c r="T53" s="147">
        <f>+IFERROR(T51+T52,"n/a")</f>
        <v>11040.282999999999</v>
      </c>
      <c r="U53" s="147" t="str">
        <f>+IFERROR(U51+U52,"n/a")</f>
        <v>n/a</v>
      </c>
      <c r="V53" s="147" t="str">
        <f t="shared" ref="V53:Z53" si="16">+IFERROR(V51+V52,"n/a")</f>
        <v>n/a</v>
      </c>
      <c r="W53" s="147" t="str">
        <f t="shared" si="16"/>
        <v>n/a</v>
      </c>
      <c r="X53" s="147">
        <f>+IFERROR(X51+X52,"n/a")</f>
        <v>28784.996999999999</v>
      </c>
      <c r="Y53" s="147" t="str">
        <f t="shared" si="16"/>
        <v>n/a</v>
      </c>
      <c r="Z53" s="147" t="str">
        <f t="shared" si="16"/>
        <v>n/a</v>
      </c>
    </row>
    <row r="54" spans="2:27" hidden="1" outlineLevel="1" x14ac:dyDescent="0.2">
      <c r="B54" s="20"/>
    </row>
    <row r="55" spans="2:27" hidden="1" outlineLevel="1" x14ac:dyDescent="0.2">
      <c r="B55" s="20" t="s">
        <v>497</v>
      </c>
      <c r="E55" s="230" t="s">
        <v>65</v>
      </c>
      <c r="F55" s="230" t="s">
        <v>65</v>
      </c>
      <c r="G55" s="230" t="s">
        <v>65</v>
      </c>
      <c r="H55" s="224">
        <v>0</v>
      </c>
      <c r="I55" s="230" t="s">
        <v>65</v>
      </c>
      <c r="J55" s="230" t="s">
        <v>65</v>
      </c>
      <c r="K55" s="230" t="s">
        <v>65</v>
      </c>
      <c r="L55" s="174">
        <v>1388.9159999999999</v>
      </c>
      <c r="M55" s="230" t="s">
        <v>65</v>
      </c>
      <c r="N55" s="230" t="s">
        <v>65</v>
      </c>
      <c r="O55" s="230" t="s">
        <v>65</v>
      </c>
      <c r="P55" s="174">
        <v>1290.9010000000001</v>
      </c>
      <c r="Q55" s="230" t="s">
        <v>65</v>
      </c>
      <c r="R55" s="230" t="s">
        <v>65</v>
      </c>
      <c r="S55" s="230" t="s">
        <v>65</v>
      </c>
      <c r="T55" s="174">
        <v>0</v>
      </c>
      <c r="U55" s="230" t="s">
        <v>65</v>
      </c>
      <c r="V55" s="230" t="s">
        <v>65</v>
      </c>
      <c r="W55" s="230" t="s">
        <v>65</v>
      </c>
      <c r="X55" s="174">
        <v>0</v>
      </c>
      <c r="Y55" s="230" t="s">
        <v>65</v>
      </c>
      <c r="Z55" s="230" t="s">
        <v>65</v>
      </c>
    </row>
    <row r="56" spans="2:27" hidden="1" outlineLevel="1" x14ac:dyDescent="0.2">
      <c r="B56" s="20" t="s">
        <v>484</v>
      </c>
      <c r="E56" s="230" t="s">
        <v>65</v>
      </c>
      <c r="F56" s="230" t="s">
        <v>65</v>
      </c>
      <c r="G56" s="230" t="s">
        <v>65</v>
      </c>
      <c r="H56" s="224">
        <v>0</v>
      </c>
      <c r="I56" s="230" t="s">
        <v>65</v>
      </c>
      <c r="J56" s="230" t="s">
        <v>65</v>
      </c>
      <c r="K56" s="230" t="s">
        <v>65</v>
      </c>
      <c r="L56" s="174">
        <v>0</v>
      </c>
      <c r="M56" s="230" t="s">
        <v>65</v>
      </c>
      <c r="N56" s="230" t="s">
        <v>65</v>
      </c>
      <c r="O56" s="230" t="s">
        <v>65</v>
      </c>
      <c r="P56" s="174">
        <v>0</v>
      </c>
      <c r="Q56" s="230" t="s">
        <v>65</v>
      </c>
      <c r="R56" s="230" t="s">
        <v>65</v>
      </c>
      <c r="S56" s="230" t="s">
        <v>65</v>
      </c>
      <c r="T56" s="174">
        <v>0</v>
      </c>
      <c r="U56" s="230" t="s">
        <v>65</v>
      </c>
      <c r="V56" s="230" t="s">
        <v>65</v>
      </c>
      <c r="W56" s="230" t="s">
        <v>65</v>
      </c>
      <c r="X56" s="174">
        <v>14184.550999999999</v>
      </c>
      <c r="Y56" s="230" t="s">
        <v>65</v>
      </c>
      <c r="Z56" s="230" t="s">
        <v>65</v>
      </c>
      <c r="AA56" s="33"/>
    </row>
    <row r="57" spans="2:27" ht="13.5" hidden="1" outlineLevel="1" x14ac:dyDescent="0.35">
      <c r="B57" s="20" t="s">
        <v>485</v>
      </c>
      <c r="E57" s="231" t="s">
        <v>65</v>
      </c>
      <c r="F57" s="231" t="s">
        <v>65</v>
      </c>
      <c r="G57" s="231" t="s">
        <v>65</v>
      </c>
      <c r="H57" s="234">
        <v>0</v>
      </c>
      <c r="I57" s="231" t="s">
        <v>65</v>
      </c>
      <c r="J57" s="231" t="s">
        <v>65</v>
      </c>
      <c r="K57" s="231" t="s">
        <v>65</v>
      </c>
      <c r="L57" s="228">
        <v>0</v>
      </c>
      <c r="M57" s="231" t="s">
        <v>65</v>
      </c>
      <c r="N57" s="231" t="s">
        <v>65</v>
      </c>
      <c r="O57" s="231" t="s">
        <v>65</v>
      </c>
      <c r="P57" s="228">
        <v>0</v>
      </c>
      <c r="Q57" s="231" t="s">
        <v>65</v>
      </c>
      <c r="R57" s="231" t="s">
        <v>65</v>
      </c>
      <c r="S57" s="231" t="s">
        <v>65</v>
      </c>
      <c r="T57" s="228">
        <v>3575.4740000000002</v>
      </c>
      <c r="U57" s="231" t="s">
        <v>65</v>
      </c>
      <c r="V57" s="231" t="s">
        <v>65</v>
      </c>
      <c r="W57" s="231" t="s">
        <v>65</v>
      </c>
      <c r="X57" s="228">
        <v>2631.826</v>
      </c>
      <c r="Y57" s="231" t="s">
        <v>65</v>
      </c>
      <c r="Z57" s="231" t="s">
        <v>65</v>
      </c>
      <c r="AA57" s="33"/>
    </row>
    <row r="58" spans="2:27" hidden="1" outlineLevel="1" x14ac:dyDescent="0.2">
      <c r="B58" s="30" t="s">
        <v>483</v>
      </c>
      <c r="E58" s="147" t="str">
        <f t="shared" ref="E58:G58" si="17">+IFERROR(E56+E57+E55,"n/a")</f>
        <v>n/a</v>
      </c>
      <c r="F58" s="147" t="str">
        <f t="shared" si="17"/>
        <v>n/a</v>
      </c>
      <c r="G58" s="147" t="str">
        <f t="shared" si="17"/>
        <v>n/a</v>
      </c>
      <c r="H58" s="147">
        <f t="shared" ref="H58:I58" si="18">+IFERROR(H56+H57+H55,"n/a")</f>
        <v>0</v>
      </c>
      <c r="I58" s="147" t="str">
        <f t="shared" si="18"/>
        <v>n/a</v>
      </c>
      <c r="J58" s="147" t="str">
        <f t="shared" ref="J58" si="19">+IFERROR(J56+J57+J55,"n/a")</f>
        <v>n/a</v>
      </c>
      <c r="K58" s="147" t="str">
        <f t="shared" ref="K58" si="20">+IFERROR(K56+K57+K55,"n/a")</f>
        <v>n/a</v>
      </c>
      <c r="L58" s="147">
        <f t="shared" ref="L58:M58" si="21">+IFERROR(L56+L57+L55,"n/a")</f>
        <v>1388.9159999999999</v>
      </c>
      <c r="M58" s="147" t="str">
        <f t="shared" si="21"/>
        <v>n/a</v>
      </c>
      <c r="N58" s="147" t="str">
        <f t="shared" ref="N58" si="22">+IFERROR(N56+N57+N55,"n/a")</f>
        <v>n/a</v>
      </c>
      <c r="O58" s="147" t="str">
        <f t="shared" ref="O58" si="23">+IFERROR(O56+O57+O55,"n/a")</f>
        <v>n/a</v>
      </c>
      <c r="P58" s="147">
        <f t="shared" ref="P58:S58" si="24">+IFERROR(P56+P57+P55,"n/a")</f>
        <v>1290.9010000000001</v>
      </c>
      <c r="Q58" s="147" t="str">
        <f t="shared" si="24"/>
        <v>n/a</v>
      </c>
      <c r="R58" s="147" t="str">
        <f t="shared" si="24"/>
        <v>n/a</v>
      </c>
      <c r="S58" s="147" t="str">
        <f t="shared" si="24"/>
        <v>n/a</v>
      </c>
      <c r="T58" s="147">
        <f>+IFERROR(T56+T57+T55,"n/a")</f>
        <v>3575.4740000000002</v>
      </c>
      <c r="U58" s="147" t="str">
        <f t="shared" ref="U58:Z58" si="25">+IFERROR(U56+U57+U55,"n/a")</f>
        <v>n/a</v>
      </c>
      <c r="V58" s="147" t="str">
        <f t="shared" si="25"/>
        <v>n/a</v>
      </c>
      <c r="W58" s="147" t="str">
        <f t="shared" si="25"/>
        <v>n/a</v>
      </c>
      <c r="X58" s="147">
        <f t="shared" si="25"/>
        <v>16816.377</v>
      </c>
      <c r="Y58" s="147" t="str">
        <f t="shared" si="25"/>
        <v>n/a</v>
      </c>
      <c r="Z58" s="147" t="str">
        <f t="shared" si="25"/>
        <v>n/a</v>
      </c>
      <c r="AA58" s="238"/>
    </row>
    <row r="59" spans="2:27" hidden="1" outlineLevel="1" x14ac:dyDescent="0.2">
      <c r="B59" s="20"/>
      <c r="E59" s="55"/>
      <c r="F59" s="55"/>
      <c r="G59" s="55"/>
      <c r="H59" s="55"/>
      <c r="I59" s="55"/>
      <c r="J59" s="55"/>
      <c r="K59" s="55"/>
      <c r="M59" s="55"/>
      <c r="N59" s="55"/>
      <c r="O59" s="55"/>
      <c r="Q59" s="55"/>
      <c r="R59" s="55"/>
      <c r="S59" s="55"/>
      <c r="T59" s="174"/>
      <c r="U59" s="55"/>
      <c r="V59" s="55"/>
      <c r="W59" s="55"/>
      <c r="Y59" s="55"/>
      <c r="Z59" s="55"/>
    </row>
    <row r="60" spans="2:27" hidden="1" outlineLevel="1" x14ac:dyDescent="0.2">
      <c r="B60" s="20" t="s">
        <v>482</v>
      </c>
      <c r="E60" s="147" t="str">
        <f>+E53</f>
        <v>n/a</v>
      </c>
      <c r="F60" s="147" t="str">
        <f t="shared" ref="F60:G60" si="26">+F53</f>
        <v>n/a</v>
      </c>
      <c r="G60" s="147" t="str">
        <f t="shared" si="26"/>
        <v>n/a</v>
      </c>
      <c r="H60" s="147">
        <f>+H53</f>
        <v>0</v>
      </c>
      <c r="I60" s="147" t="str">
        <f>+I53</f>
        <v>n/a</v>
      </c>
      <c r="J60" s="147" t="str">
        <f t="shared" ref="J60:K60" si="27">+J53</f>
        <v>n/a</v>
      </c>
      <c r="K60" s="147" t="str">
        <f t="shared" si="27"/>
        <v>n/a</v>
      </c>
      <c r="L60" s="53">
        <f>+L53</f>
        <v>4315.0959999999995</v>
      </c>
      <c r="M60" s="147" t="str">
        <f>+M53</f>
        <v>n/a</v>
      </c>
      <c r="N60" s="147" t="str">
        <f t="shared" ref="N60:O60" si="28">+N53</f>
        <v>n/a</v>
      </c>
      <c r="O60" s="147" t="str">
        <f t="shared" si="28"/>
        <v>n/a</v>
      </c>
      <c r="P60" s="53">
        <f>+P53</f>
        <v>13008.899000000001</v>
      </c>
      <c r="Q60" s="147" t="str">
        <f>+Q53</f>
        <v>n/a</v>
      </c>
      <c r="R60" s="147" t="str">
        <f t="shared" ref="R60:S60" si="29">+R53</f>
        <v>n/a</v>
      </c>
      <c r="S60" s="147" t="str">
        <f t="shared" si="29"/>
        <v>n/a</v>
      </c>
      <c r="T60" s="53">
        <f>+T53</f>
        <v>11040.282999999999</v>
      </c>
      <c r="U60" s="147" t="str">
        <f>+U53</f>
        <v>n/a</v>
      </c>
      <c r="V60" s="147" t="str">
        <f t="shared" ref="V60:W60" si="30">+V53</f>
        <v>n/a</v>
      </c>
      <c r="W60" s="147" t="str">
        <f t="shared" si="30"/>
        <v>n/a</v>
      </c>
      <c r="X60" s="53">
        <f>+X53</f>
        <v>28784.996999999999</v>
      </c>
      <c r="Y60" s="147" t="str">
        <f t="shared" ref="Y60:Z60" si="31">+Y53</f>
        <v>n/a</v>
      </c>
      <c r="Z60" s="147" t="str">
        <f t="shared" si="31"/>
        <v>n/a</v>
      </c>
    </row>
    <row r="61" spans="2:27" hidden="1" outlineLevel="1" x14ac:dyDescent="0.2">
      <c r="B61" s="20" t="s">
        <v>483</v>
      </c>
      <c r="E61" s="147" t="str">
        <f>+E58</f>
        <v>n/a</v>
      </c>
      <c r="F61" s="147" t="str">
        <f t="shared" ref="F61:G61" si="32">+F58</f>
        <v>n/a</v>
      </c>
      <c r="G61" s="147" t="str">
        <f t="shared" si="32"/>
        <v>n/a</v>
      </c>
      <c r="H61" s="147">
        <f>+H58</f>
        <v>0</v>
      </c>
      <c r="I61" s="147" t="str">
        <f>+I58</f>
        <v>n/a</v>
      </c>
      <c r="J61" s="147" t="str">
        <f t="shared" ref="J61:K61" si="33">+J58</f>
        <v>n/a</v>
      </c>
      <c r="K61" s="147" t="str">
        <f t="shared" si="33"/>
        <v>n/a</v>
      </c>
      <c r="L61" s="53">
        <f>+L58</f>
        <v>1388.9159999999999</v>
      </c>
      <c r="M61" s="147" t="str">
        <f>+M58</f>
        <v>n/a</v>
      </c>
      <c r="N61" s="147" t="str">
        <f t="shared" ref="N61:O61" si="34">+N58</f>
        <v>n/a</v>
      </c>
      <c r="O61" s="147" t="str">
        <f t="shared" si="34"/>
        <v>n/a</v>
      </c>
      <c r="P61" s="53">
        <f>+P58</f>
        <v>1290.9010000000001</v>
      </c>
      <c r="Q61" s="147" t="str">
        <f>+Q58</f>
        <v>n/a</v>
      </c>
      <c r="R61" s="147" t="str">
        <f t="shared" ref="R61:S61" si="35">+R58</f>
        <v>n/a</v>
      </c>
      <c r="S61" s="147" t="str">
        <f t="shared" si="35"/>
        <v>n/a</v>
      </c>
      <c r="T61" s="53">
        <f>+T58</f>
        <v>3575.4740000000002</v>
      </c>
      <c r="U61" s="147" t="str">
        <f>+U58</f>
        <v>n/a</v>
      </c>
      <c r="V61" s="147" t="str">
        <f t="shared" ref="V61:W61" si="36">+V58</f>
        <v>n/a</v>
      </c>
      <c r="W61" s="147" t="str">
        <f t="shared" si="36"/>
        <v>n/a</v>
      </c>
      <c r="X61" s="53">
        <f>+X58</f>
        <v>16816.377</v>
      </c>
      <c r="Y61" s="147" t="str">
        <f t="shared" ref="Y61:Z61" si="37">+Y58</f>
        <v>n/a</v>
      </c>
      <c r="Z61" s="147" t="str">
        <f t="shared" si="37"/>
        <v>n/a</v>
      </c>
    </row>
    <row r="62" spans="2:27" hidden="1" outlineLevel="1" x14ac:dyDescent="0.2">
      <c r="B62" s="20" t="s">
        <v>489</v>
      </c>
      <c r="E62" s="230" t="s">
        <v>65</v>
      </c>
      <c r="F62" s="230" t="s">
        <v>65</v>
      </c>
      <c r="G62" s="230" t="s">
        <v>65</v>
      </c>
      <c r="H62" s="224">
        <v>0</v>
      </c>
      <c r="I62" s="230" t="s">
        <v>65</v>
      </c>
      <c r="J62" s="230" t="s">
        <v>65</v>
      </c>
      <c r="K62" s="230" t="s">
        <v>65</v>
      </c>
      <c r="L62" s="174">
        <v>1135.1410000000001</v>
      </c>
      <c r="M62" s="230" t="s">
        <v>65</v>
      </c>
      <c r="N62" s="230" t="s">
        <v>65</v>
      </c>
      <c r="O62" s="230" t="s">
        <v>65</v>
      </c>
      <c r="P62" s="174">
        <v>1968.1559999999999</v>
      </c>
      <c r="Q62" s="230" t="s">
        <v>65</v>
      </c>
      <c r="R62" s="230" t="s">
        <v>65</v>
      </c>
      <c r="S62" s="230" t="s">
        <v>65</v>
      </c>
      <c r="T62" s="174">
        <v>2049.616</v>
      </c>
      <c r="U62" s="230" t="s">
        <v>65</v>
      </c>
      <c r="V62" s="230" t="s">
        <v>65</v>
      </c>
      <c r="W62" s="230" t="s">
        <v>65</v>
      </c>
      <c r="X62" s="174">
        <v>1922.9880000000001</v>
      </c>
      <c r="Y62" s="230" t="s">
        <v>65</v>
      </c>
      <c r="Z62" s="230" t="s">
        <v>65</v>
      </c>
    </row>
    <row r="63" spans="2:27" ht="13.5" hidden="1" outlineLevel="1" x14ac:dyDescent="0.35">
      <c r="B63" s="20" t="s">
        <v>97</v>
      </c>
      <c r="E63" s="232" t="str">
        <f>+IFERROR(E64-E60-E61-E62,"n/a")</f>
        <v>n/a</v>
      </c>
      <c r="F63" s="232" t="str">
        <f t="shared" ref="F63:G63" si="38">+IFERROR(F64-F60-F61-F62,"n/a")</f>
        <v>n/a</v>
      </c>
      <c r="G63" s="232" t="str">
        <f t="shared" si="38"/>
        <v>n/a</v>
      </c>
      <c r="H63" s="232">
        <f>+IFERROR(H64-H60-H61-H62,"n/a")</f>
        <v>503.12</v>
      </c>
      <c r="I63" s="232" t="str">
        <f>+IFERROR(I64-I60-I61-I62,"n/a")</f>
        <v>n/a</v>
      </c>
      <c r="J63" s="232" t="str">
        <f t="shared" ref="J63:K63" si="39">+IFERROR(J64-J60-J61-J62,"n/a")</f>
        <v>n/a</v>
      </c>
      <c r="K63" s="232" t="str">
        <f t="shared" si="39"/>
        <v>n/a</v>
      </c>
      <c r="L63" s="229">
        <f>+IFERROR(L64-L60-L61-L62,"n/a")</f>
        <v>436.15200000000073</v>
      </c>
      <c r="M63" s="232" t="str">
        <f>+IFERROR(M64-M60-M61-M62,"n/a")</f>
        <v>n/a</v>
      </c>
      <c r="N63" s="232" t="str">
        <f t="shared" ref="N63:O63" si="40">+IFERROR(N64-N60-N61-N62,"n/a")</f>
        <v>n/a</v>
      </c>
      <c r="O63" s="232" t="str">
        <f t="shared" si="40"/>
        <v>n/a</v>
      </c>
      <c r="P63" s="229">
        <f>+IFERROR(P64-P60-P61-P62,"n/a")</f>
        <v>158.00999999999931</v>
      </c>
      <c r="Q63" s="232" t="str">
        <f>+IFERROR(Q64-Q60-Q61-Q62,"n/a")</f>
        <v>n/a</v>
      </c>
      <c r="R63" s="232" t="str">
        <f t="shared" ref="R63:S63" si="41">+IFERROR(R64-R60-R61-R62,"n/a")</f>
        <v>n/a</v>
      </c>
      <c r="S63" s="232" t="str">
        <f t="shared" si="41"/>
        <v>n/a</v>
      </c>
      <c r="T63" s="229">
        <f>+IFERROR(T64-T60-T61-T62,"n/a")</f>
        <v>196.74399999999878</v>
      </c>
      <c r="U63" s="232" t="str">
        <f>+IFERROR(U64-U60-U61-U62,"n/a")</f>
        <v>n/a</v>
      </c>
      <c r="V63" s="232" t="str">
        <f t="shared" ref="V63:Z63" si="42">+IFERROR(V64-V60-V61-V62,"n/a")</f>
        <v>n/a</v>
      </c>
      <c r="W63" s="232" t="str">
        <f t="shared" si="42"/>
        <v>n/a</v>
      </c>
      <c r="X63" s="232">
        <f>+IFERROR(X64-X60-X61-X62,"n/a")</f>
        <v>426.91399999999817</v>
      </c>
      <c r="Y63" s="232" t="str">
        <f t="shared" si="42"/>
        <v>n/a</v>
      </c>
      <c r="Z63" s="232" t="str">
        <f t="shared" si="42"/>
        <v>n/a</v>
      </c>
    </row>
    <row r="64" spans="2:27" hidden="1" outlineLevel="1" x14ac:dyDescent="0.2">
      <c r="B64" s="30" t="s">
        <v>488</v>
      </c>
      <c r="E64" s="192">
        <f>+'Historical Financials'!L806</f>
        <v>340.81900000000002</v>
      </c>
      <c r="F64" s="192">
        <f>+'Historical Financials'!M806</f>
        <v>436.93799999999999</v>
      </c>
      <c r="G64" s="192">
        <f>+'Historical Financials'!N806</f>
        <v>449.99</v>
      </c>
      <c r="H64" s="192">
        <f>+'Historical Financials'!O806</f>
        <v>503.12</v>
      </c>
      <c r="I64" s="192">
        <f>+'Historical Financials'!P806</f>
        <v>691.99400000000003</v>
      </c>
      <c r="J64" s="192">
        <f>+'Historical Financials'!Q806</f>
        <v>3049.9580000000001</v>
      </c>
      <c r="K64" s="192">
        <f>+'Historical Financials'!R806</f>
        <v>7172.8130000000001</v>
      </c>
      <c r="L64" s="192">
        <f>+'Historical Financials'!S806</f>
        <v>7275.3050000000003</v>
      </c>
      <c r="M64" s="192">
        <f>+'Historical Financials'!T806</f>
        <v>11733.999</v>
      </c>
      <c r="N64" s="192">
        <f>+'Historical Financials'!U806</f>
        <v>7224.1530000000002</v>
      </c>
      <c r="O64" s="192">
        <f>+'Historical Financials'!V806</f>
        <v>5593.4709999999995</v>
      </c>
      <c r="P64" s="192">
        <f>+'Historical Financials'!W806</f>
        <v>16425.966</v>
      </c>
      <c r="Q64" s="192">
        <f>+'Historical Financials'!X806</f>
        <v>19395.185000000001</v>
      </c>
      <c r="R64" s="192">
        <f>+'Historical Financials'!Y806</f>
        <v>13759.949000000001</v>
      </c>
      <c r="S64" s="192">
        <f>+'Historical Financials'!Z806</f>
        <v>12828.68</v>
      </c>
      <c r="T64" s="192">
        <f>+'Historical Financials'!AA806</f>
        <v>16862.116999999998</v>
      </c>
      <c r="U64" s="233">
        <f>+'Historical Financials'!AB806</f>
        <v>20344.866000000002</v>
      </c>
      <c r="V64" s="192">
        <f>+'Historical Financials'!AC806</f>
        <v>28325.561000000002</v>
      </c>
      <c r="W64" s="192">
        <f>+'Historical Financials'!AD806</f>
        <v>36293.654999999999</v>
      </c>
      <c r="X64" s="192">
        <f>+'Historical Financials'!AE806</f>
        <v>47951.275999999998</v>
      </c>
      <c r="Y64" s="192">
        <f>+'Historical Financials'!AF806</f>
        <v>56455.11</v>
      </c>
      <c r="Z64" s="192">
        <f>+'Historical Financials'!AG806</f>
        <v>67819.244999999995</v>
      </c>
    </row>
    <row r="65" spans="1:29" collapsed="1" x14ac:dyDescent="0.2">
      <c r="B65" s="30"/>
      <c r="E65" s="192"/>
      <c r="F65" s="192"/>
      <c r="G65" s="192"/>
      <c r="H65" s="192"/>
      <c r="I65" s="192"/>
      <c r="J65" s="192"/>
      <c r="K65" s="192"/>
      <c r="L65" s="192"/>
      <c r="M65" s="192"/>
      <c r="N65" s="192"/>
      <c r="O65" s="192"/>
      <c r="P65" s="192"/>
      <c r="Q65" s="192"/>
      <c r="R65" s="192"/>
      <c r="S65" s="192"/>
      <c r="T65" s="192"/>
      <c r="U65" s="233"/>
      <c r="V65" s="192"/>
      <c r="W65" s="192"/>
      <c r="X65" s="192"/>
      <c r="Y65" s="192"/>
      <c r="Z65" s="192"/>
    </row>
    <row r="66" spans="1:29" x14ac:dyDescent="0.2">
      <c r="B66" s="6" t="s">
        <v>518</v>
      </c>
      <c r="C66" s="5"/>
      <c r="E66" s="244"/>
      <c r="F66" s="244"/>
      <c r="G66" s="244"/>
      <c r="H66" s="242"/>
      <c r="I66" s="242"/>
      <c r="J66" s="242"/>
      <c r="K66" s="242"/>
      <c r="L66" s="242"/>
      <c r="M66" s="242"/>
      <c r="N66" s="242"/>
      <c r="O66" s="242"/>
      <c r="P66" s="242"/>
      <c r="Q66" s="242"/>
      <c r="R66" s="242"/>
      <c r="S66" s="242"/>
      <c r="T66" s="242"/>
      <c r="U66" s="242"/>
      <c r="V66" s="242"/>
      <c r="W66" s="242"/>
      <c r="X66" s="242"/>
      <c r="Y66" s="242"/>
      <c r="Z66" s="242"/>
      <c r="AC66" s="244"/>
    </row>
    <row r="67" spans="1:29" x14ac:dyDescent="0.2">
      <c r="B67" s="20"/>
    </row>
    <row r="68" spans="1:29" x14ac:dyDescent="0.2">
      <c r="A68">
        <v>1</v>
      </c>
      <c r="B68" s="184" t="s">
        <v>510</v>
      </c>
      <c r="E68" s="247">
        <v>2.1348699999999998E-2</v>
      </c>
      <c r="F68" s="247">
        <v>2.1066145161290302E-2</v>
      </c>
      <c r="G68" s="247">
        <v>2.1496530303030302E-2</v>
      </c>
      <c r="H68" s="247">
        <v>2.0893822580645201E-2</v>
      </c>
      <c r="I68" s="247">
        <v>1.6489474576271198E-2</v>
      </c>
      <c r="J68" s="247">
        <v>1.18929193548387E-2</v>
      </c>
      <c r="K68" s="247">
        <v>1.87039701492537E-2</v>
      </c>
      <c r="L68" s="247">
        <v>1.9046459016393399E-2</v>
      </c>
      <c r="M68" s="247">
        <v>1.8867166666666699E-2</v>
      </c>
      <c r="N68" s="247">
        <v>1.7729435483871001E-2</v>
      </c>
      <c r="O68" s="247">
        <v>1.7358954545454598E-2</v>
      </c>
      <c r="P68" s="247">
        <v>1.85622741935484E-2</v>
      </c>
      <c r="Q68" s="247">
        <v>1.7914616666666702E-2</v>
      </c>
      <c r="R68" s="247">
        <v>1.5138661290322599E-2</v>
      </c>
      <c r="S68" s="247">
        <v>1.3086446153846201E-2</v>
      </c>
      <c r="T68" s="247">
        <v>1.5408693548387101E-2</v>
      </c>
      <c r="U68" s="247">
        <v>1.81929344262295E-2</v>
      </c>
      <c r="V68" s="247">
        <v>1.7212354838709702E-2</v>
      </c>
      <c r="W68" s="247">
        <v>1.5935624999999998E-2</v>
      </c>
      <c r="X68" s="247">
        <v>1.85082096774194E-2</v>
      </c>
      <c r="Y68" s="247">
        <v>1.6548950819672101E-2</v>
      </c>
      <c r="Z68" s="247">
        <v>1.4920774193548401E-2</v>
      </c>
    </row>
    <row r="69" spans="1:29" x14ac:dyDescent="0.2">
      <c r="A69">
        <v>3</v>
      </c>
      <c r="B69" s="184" t="s">
        <v>502</v>
      </c>
      <c r="E69" s="247">
        <v>2.18870833333333E-2</v>
      </c>
      <c r="F69" s="247">
        <v>2.2659258064516102E-2</v>
      </c>
      <c r="G69" s="247">
        <v>2.2878909090909103E-2</v>
      </c>
      <c r="H69" s="247">
        <v>2.39449677419355E-2</v>
      </c>
      <c r="I69" s="247">
        <v>1.7816542372881401E-2</v>
      </c>
      <c r="J69" s="247">
        <v>1.2952887096774199E-2</v>
      </c>
      <c r="K69" s="247">
        <v>2.1074716417910498E-2</v>
      </c>
      <c r="L69" s="247">
        <v>2.64249508196721E-2</v>
      </c>
      <c r="M69" s="247">
        <v>2.1032766666666699E-2</v>
      </c>
      <c r="N69" s="247">
        <v>1.9373435483871E-2</v>
      </c>
      <c r="O69" s="247">
        <v>1.92133787878788E-2</v>
      </c>
      <c r="P69" s="247">
        <v>2.21098387096774E-2</v>
      </c>
      <c r="Q69" s="247">
        <v>1.8912850000000002E-2</v>
      </c>
      <c r="R69" s="247">
        <v>1.7190016129032301E-2</v>
      </c>
      <c r="S69" s="247">
        <v>1.5027938461538499E-2</v>
      </c>
      <c r="T69" s="247">
        <v>1.88246935483871E-2</v>
      </c>
      <c r="U69" s="247">
        <v>1.98043606557377E-2</v>
      </c>
      <c r="V69" s="247">
        <v>1.8265225806451599E-2</v>
      </c>
      <c r="W69" s="247">
        <v>1.6624406249999998E-2</v>
      </c>
      <c r="X69" s="247">
        <v>2.2198548387096801E-2</v>
      </c>
      <c r="Y69" s="247">
        <v>1.7319327868852499E-2</v>
      </c>
      <c r="Z69" s="247">
        <v>1.5536596774193501E-2</v>
      </c>
    </row>
    <row r="70" spans="1:29" x14ac:dyDescent="0.2">
      <c r="A70">
        <v>6</v>
      </c>
      <c r="B70" s="184" t="s">
        <v>501</v>
      </c>
      <c r="E70" s="247">
        <v>2.2955949999999999E-2</v>
      </c>
      <c r="F70" s="247">
        <v>2.40181935483871E-2</v>
      </c>
      <c r="G70" s="247">
        <v>2.4075712121212098E-2</v>
      </c>
      <c r="H70" s="247">
        <v>2.5197177419354802E-2</v>
      </c>
      <c r="I70" s="247">
        <v>1.86745593220339E-2</v>
      </c>
      <c r="J70" s="247">
        <v>1.41410161290323E-2</v>
      </c>
      <c r="K70" s="247">
        <v>2.3076940298507501E-2</v>
      </c>
      <c r="L70" s="247">
        <v>2.7457508196721297E-2</v>
      </c>
      <c r="M70" s="247">
        <v>2.295055E-2</v>
      </c>
      <c r="N70" s="247">
        <v>2.1312725806451601E-2</v>
      </c>
      <c r="O70" s="247">
        <v>2.0762575757575799E-2</v>
      </c>
      <c r="P70" s="247">
        <v>2.3020854838709699E-2</v>
      </c>
      <c r="Q70" s="247">
        <v>1.9933266666666699E-2</v>
      </c>
      <c r="R70" s="247">
        <v>1.8534112903225798E-2</v>
      </c>
      <c r="S70" s="247">
        <v>1.6670492307692301E-2</v>
      </c>
      <c r="T70" s="247">
        <v>1.9549854838709701E-2</v>
      </c>
      <c r="U70" s="247">
        <v>2.1135311475409799E-2</v>
      </c>
      <c r="V70" s="247">
        <v>1.9424016129032301E-2</v>
      </c>
      <c r="W70" s="247">
        <v>1.8954765625000002E-2</v>
      </c>
      <c r="X70" s="247">
        <v>2.31764193548387E-2</v>
      </c>
      <c r="Y70" s="247">
        <v>1.84638196721311E-2</v>
      </c>
      <c r="Z70" s="247">
        <v>1.5953451612903201E-2</v>
      </c>
    </row>
    <row r="71" spans="1:29" x14ac:dyDescent="0.2">
      <c r="A71">
        <v>9</v>
      </c>
      <c r="B71" s="184" t="s">
        <v>503</v>
      </c>
      <c r="E71" s="247">
        <v>2.36617166666667E-2</v>
      </c>
      <c r="F71" s="247">
        <v>2.5654758064516101E-2</v>
      </c>
      <c r="G71" s="247">
        <v>2.5363560606060598E-2</v>
      </c>
      <c r="H71" s="247">
        <v>2.5646548387096801E-2</v>
      </c>
      <c r="I71" s="247">
        <v>1.98993050847458E-2</v>
      </c>
      <c r="J71" s="247">
        <v>1.5070838709677402E-2</v>
      </c>
      <c r="K71" s="247">
        <v>2.3410611940298497E-2</v>
      </c>
      <c r="L71" s="247">
        <v>2.7304901639344303E-2</v>
      </c>
      <c r="M71" s="247">
        <v>2.3448983333333298E-2</v>
      </c>
      <c r="N71" s="247">
        <v>2.3081000000000001E-2</v>
      </c>
      <c r="O71" s="247">
        <v>2.1064924242424201E-2</v>
      </c>
      <c r="P71" s="247">
        <v>2.29270322580645E-2</v>
      </c>
      <c r="Q71" s="247">
        <v>2.0427933333333301E-2</v>
      </c>
      <c r="R71" s="247">
        <v>1.9519483870967701E-2</v>
      </c>
      <c r="S71" s="247">
        <v>1.7276615384615401E-2</v>
      </c>
      <c r="T71" s="247">
        <v>1.9830048387096798E-2</v>
      </c>
      <c r="U71" s="247">
        <v>2.1426131147540998E-2</v>
      </c>
      <c r="V71" s="247">
        <v>2.0034E-2</v>
      </c>
      <c r="W71" s="247">
        <v>1.8667687500000002E-2</v>
      </c>
      <c r="X71" s="247">
        <v>2.2641241935483902E-2</v>
      </c>
      <c r="Y71" s="247">
        <v>1.87820491803279E-2</v>
      </c>
      <c r="Z71" s="247">
        <v>1.6269580645161298E-2</v>
      </c>
    </row>
    <row r="72" spans="1:29" ht="13.5" x14ac:dyDescent="0.35">
      <c r="A72">
        <v>12</v>
      </c>
      <c r="B72" s="184" t="s">
        <v>504</v>
      </c>
      <c r="E72" s="248">
        <v>2.416105E-2</v>
      </c>
      <c r="F72" s="248">
        <v>2.6435967741935504E-2</v>
      </c>
      <c r="G72" s="248">
        <v>2.5983787878787901E-2</v>
      </c>
      <c r="H72" s="248">
        <v>2.6039500000000004E-2</v>
      </c>
      <c r="I72" s="248">
        <v>2.04717457627119E-2</v>
      </c>
      <c r="J72" s="248">
        <v>1.5398919354838701E-2</v>
      </c>
      <c r="K72" s="248">
        <v>2.3656507462686598E-2</v>
      </c>
      <c r="L72" s="248">
        <v>2.7585754098360699E-2</v>
      </c>
      <c r="M72" s="248">
        <v>2.5603899999999999E-2</v>
      </c>
      <c r="N72" s="248">
        <v>2.4256548387096802E-2</v>
      </c>
      <c r="O72" s="248">
        <v>2.27506363636364E-2</v>
      </c>
      <c r="P72" s="248">
        <v>2.3110580645161298E-2</v>
      </c>
      <c r="Q72" s="248">
        <v>2.0737416666666699E-2</v>
      </c>
      <c r="R72" s="248">
        <v>1.99987741935484E-2</v>
      </c>
      <c r="S72" s="248">
        <v>1.82004153846154E-2</v>
      </c>
      <c r="T72" s="248">
        <v>2.0172903225806501E-2</v>
      </c>
      <c r="U72" s="248">
        <v>2.2041114754098402E-2</v>
      </c>
      <c r="V72" s="248">
        <v>2.0490645161290302E-2</v>
      </c>
      <c r="W72" s="248">
        <v>1.9176203124999999E-2</v>
      </c>
      <c r="X72" s="248">
        <v>2.2614967741935499E-2</v>
      </c>
      <c r="Y72" s="248">
        <v>1.9076098360655699E-2</v>
      </c>
      <c r="Z72" s="248">
        <v>1.6528967741935501E-2</v>
      </c>
    </row>
    <row r="73" spans="1:29" x14ac:dyDescent="0.2">
      <c r="B73" s="4" t="s">
        <v>512</v>
      </c>
      <c r="E73" s="249">
        <f>(-E89/($A69-$A68)+$A69/($A69-$A68))*E68+(1-(-E89/($A69-$A68)+$A69/($A69-$A68)))*E69</f>
        <v>2.1736499618752243E-2</v>
      </c>
      <c r="F73" s="249">
        <f>(-F89/($A69-$A68)+$A69/($A69-$A68))*F68+(1-(-F89/($A69-$A68)+$A69/($A69-$A68)))*F69</f>
        <v>2.2244801721646938E-2</v>
      </c>
      <c r="G73" s="249">
        <f t="shared" ref="G73:O73" si="43">(-G89/($A70-$A69)+$A70/($A70-$A69))*G69+(1-(-G89/($A70-$A69)+$A70/($A70-$A69)))*G70</f>
        <v>2.3278165239142945E-2</v>
      </c>
      <c r="H73" s="249">
        <f t="shared" si="43"/>
        <v>2.4606521215287884E-2</v>
      </c>
      <c r="I73" s="249">
        <f t="shared" si="43"/>
        <v>1.8301676680728008E-2</v>
      </c>
      <c r="J73" s="249">
        <f t="shared" si="43"/>
        <v>1.3781100451985467E-2</v>
      </c>
      <c r="K73" s="249">
        <f t="shared" si="43"/>
        <v>2.2657928002914884E-2</v>
      </c>
      <c r="L73" s="249">
        <f t="shared" si="43"/>
        <v>2.7090574550651524E-2</v>
      </c>
      <c r="M73" s="249">
        <f t="shared" si="43"/>
        <v>2.2763524058074393E-2</v>
      </c>
      <c r="N73" s="249">
        <f t="shared" si="43"/>
        <v>2.0851261244021323E-2</v>
      </c>
      <c r="O73" s="249">
        <f t="shared" si="43"/>
        <v>2.048250805993241E-2</v>
      </c>
      <c r="P73" s="249">
        <f t="shared" ref="P73:X73" si="44">(-P89/($A71-$A70)+$A71/($A71-$A70))*P70+(1-(-P89/($A71-$A70)+$A71/($A71-$A70)))*P71</f>
        <v>2.3012364578167691E-2</v>
      </c>
      <c r="Q73" s="249">
        <f t="shared" si="44"/>
        <v>2.016708647782359E-2</v>
      </c>
      <c r="R73" s="249">
        <f t="shared" si="44"/>
        <v>1.8825536316117459E-2</v>
      </c>
      <c r="S73" s="249">
        <f t="shared" si="44"/>
        <v>1.682194936115778E-2</v>
      </c>
      <c r="T73" s="249">
        <f t="shared" si="44"/>
        <v>1.9648595352769985E-2</v>
      </c>
      <c r="U73" s="249">
        <f t="shared" si="44"/>
        <v>2.1337920294006298E-2</v>
      </c>
      <c r="V73" s="249">
        <f t="shared" si="44"/>
        <v>1.9899165647084396E-2</v>
      </c>
      <c r="W73" s="249">
        <f t="shared" si="44"/>
        <v>1.8754132288699425E-2</v>
      </c>
      <c r="X73" s="249">
        <f t="shared" si="44"/>
        <v>2.2697670342058884E-2</v>
      </c>
      <c r="Y73" s="249">
        <f>(-Y89/($A72-$A71)+$A72/($A72-$A71))*Y71+(1-(-Y89/($A72-$A71)+$A72/($A72-$A71)))*Y72</f>
        <v>1.8807529582909266E-2</v>
      </c>
      <c r="Z73" s="249">
        <f>(-Z89/($A72-$A71)+$A72/($A72-$A71))*Z71+(1-(-Z89/($A72-$A71)+$A72/($A72-$A71)))*Z72</f>
        <v>1.6326117829519603E-2</v>
      </c>
    </row>
    <row r="74" spans="1:29" ht="13.5" x14ac:dyDescent="0.35">
      <c r="B74" s="184" t="s">
        <v>513</v>
      </c>
      <c r="E74" s="250">
        <v>0</v>
      </c>
      <c r="F74" s="250">
        <v>0</v>
      </c>
      <c r="G74" s="250">
        <v>0</v>
      </c>
      <c r="H74" s="250">
        <v>0</v>
      </c>
      <c r="I74" s="250">
        <v>0</v>
      </c>
      <c r="J74" s="250">
        <v>0</v>
      </c>
      <c r="K74" s="250">
        <v>0</v>
      </c>
      <c r="L74" s="250">
        <v>0</v>
      </c>
      <c r="M74" s="250">
        <v>0</v>
      </c>
      <c r="N74" s="250">
        <v>0</v>
      </c>
      <c r="O74" s="250">
        <v>0</v>
      </c>
      <c r="P74" s="250">
        <v>0</v>
      </c>
      <c r="Q74" s="250">
        <v>0</v>
      </c>
      <c r="R74" s="250">
        <v>0</v>
      </c>
      <c r="S74" s="250">
        <v>0</v>
      </c>
      <c r="T74" s="250">
        <v>0</v>
      </c>
      <c r="U74" s="250">
        <v>0</v>
      </c>
      <c r="V74" s="250">
        <v>0</v>
      </c>
      <c r="W74" s="250">
        <v>0</v>
      </c>
      <c r="X74" s="250">
        <v>0</v>
      </c>
      <c r="Y74" s="250">
        <v>0</v>
      </c>
      <c r="Z74" s="250">
        <v>0</v>
      </c>
    </row>
    <row r="75" spans="1:29" x14ac:dyDescent="0.2">
      <c r="B75" s="4" t="s">
        <v>505</v>
      </c>
      <c r="E75" s="249">
        <f>+E73+E74</f>
        <v>2.1736499618752243E-2</v>
      </c>
      <c r="F75" s="249">
        <f t="shared" ref="F75:Z75" si="45">+F73+F74</f>
        <v>2.2244801721646938E-2</v>
      </c>
      <c r="G75" s="249">
        <f t="shared" si="45"/>
        <v>2.3278165239142945E-2</v>
      </c>
      <c r="H75" s="249">
        <f t="shared" si="45"/>
        <v>2.4606521215287884E-2</v>
      </c>
      <c r="I75" s="249">
        <f t="shared" si="45"/>
        <v>1.8301676680728008E-2</v>
      </c>
      <c r="J75" s="249">
        <f t="shared" si="45"/>
        <v>1.3781100451985467E-2</v>
      </c>
      <c r="K75" s="249">
        <f t="shared" si="45"/>
        <v>2.2657928002914884E-2</v>
      </c>
      <c r="L75" s="249">
        <f t="shared" si="45"/>
        <v>2.7090574550651524E-2</v>
      </c>
      <c r="M75" s="249">
        <f t="shared" si="45"/>
        <v>2.2763524058074393E-2</v>
      </c>
      <c r="N75" s="249">
        <f t="shared" si="45"/>
        <v>2.0851261244021323E-2</v>
      </c>
      <c r="O75" s="249">
        <f t="shared" si="45"/>
        <v>2.048250805993241E-2</v>
      </c>
      <c r="P75" s="249">
        <f t="shared" si="45"/>
        <v>2.3012364578167691E-2</v>
      </c>
      <c r="Q75" s="249">
        <f t="shared" si="45"/>
        <v>2.016708647782359E-2</v>
      </c>
      <c r="R75" s="249">
        <f t="shared" si="45"/>
        <v>1.8825536316117459E-2</v>
      </c>
      <c r="S75" s="249">
        <f t="shared" si="45"/>
        <v>1.682194936115778E-2</v>
      </c>
      <c r="T75" s="249">
        <f t="shared" si="45"/>
        <v>1.9648595352769985E-2</v>
      </c>
      <c r="U75" s="249">
        <f t="shared" si="45"/>
        <v>2.1337920294006298E-2</v>
      </c>
      <c r="V75" s="249">
        <f t="shared" si="45"/>
        <v>1.9899165647084396E-2</v>
      </c>
      <c r="W75" s="249">
        <f t="shared" si="45"/>
        <v>1.8754132288699425E-2</v>
      </c>
      <c r="X75" s="249">
        <f t="shared" si="45"/>
        <v>2.2697670342058884E-2</v>
      </c>
      <c r="Y75" s="249">
        <f t="shared" si="45"/>
        <v>1.8807529582909266E-2</v>
      </c>
      <c r="Z75" s="249">
        <f t="shared" si="45"/>
        <v>1.6326117829519603E-2</v>
      </c>
    </row>
    <row r="76" spans="1:29" x14ac:dyDescent="0.2">
      <c r="B76" s="4"/>
      <c r="E76" s="249"/>
      <c r="F76" s="249"/>
      <c r="G76" s="249"/>
      <c r="H76" s="249"/>
      <c r="I76" s="249"/>
      <c r="J76" s="249"/>
      <c r="K76" s="249"/>
      <c r="L76" s="249"/>
      <c r="M76" s="249"/>
      <c r="N76" s="249"/>
      <c r="O76" s="249"/>
      <c r="P76" s="249"/>
      <c r="Q76" s="249"/>
      <c r="R76" s="249"/>
      <c r="S76" s="249"/>
      <c r="T76" s="249"/>
      <c r="U76" s="249"/>
      <c r="V76" s="249"/>
      <c r="W76" s="249"/>
      <c r="X76" s="249"/>
      <c r="Y76" s="249"/>
      <c r="Z76" s="249"/>
    </row>
    <row r="77" spans="1:29" x14ac:dyDescent="0.2">
      <c r="A77">
        <v>1</v>
      </c>
      <c r="B77" s="184" t="s">
        <v>511</v>
      </c>
      <c r="E77" s="247">
        <v>2.4267213114754101E-2</v>
      </c>
      <c r="F77" s="247">
        <v>2.3507936507936499E-2</v>
      </c>
      <c r="G77" s="247">
        <v>2.0715625000000001E-2</v>
      </c>
      <c r="H77" s="247">
        <v>1.6230645161290299E-2</v>
      </c>
      <c r="I77" s="247">
        <v>1.1338709677419401E-2</v>
      </c>
      <c r="J77" s="247">
        <v>1.1333333333333E-3</v>
      </c>
      <c r="K77" s="247">
        <v>9.2812500000000002E-4</v>
      </c>
      <c r="L77" s="247">
        <v>8.3064516129029999E-4</v>
      </c>
      <c r="M77" s="247">
        <v>4.409836065574E-4</v>
      </c>
      <c r="N77" s="247">
        <v>1.7343750000000001E-4</v>
      </c>
      <c r="O77" s="247">
        <v>4.8125000000000002E-4</v>
      </c>
      <c r="P77" s="247">
        <v>5.4354838709679996E-4</v>
      </c>
      <c r="Q77" s="247">
        <v>9.3225806451609997E-4</v>
      </c>
      <c r="R77" s="247">
        <v>6.5387096774192997E-3</v>
      </c>
      <c r="S77" s="247">
        <v>2.2537500000000002E-2</v>
      </c>
      <c r="T77" s="247">
        <v>3.6993442622950796E-2</v>
      </c>
      <c r="U77" s="247">
        <v>4.54661290322581E-2</v>
      </c>
      <c r="V77" s="247">
        <v>4.9757142857142903E-2</v>
      </c>
      <c r="W77" s="247">
        <v>5.4857142857142806E-2</v>
      </c>
      <c r="X77" s="247">
        <v>5.5483870967742002E-2</v>
      </c>
      <c r="Y77" s="247">
        <v>5.51327868852459E-2</v>
      </c>
      <c r="Z77" s="247">
        <v>5.4820634920634895E-2</v>
      </c>
    </row>
    <row r="78" spans="1:29" x14ac:dyDescent="0.2">
      <c r="A78">
        <v>3</v>
      </c>
      <c r="B78" s="184" t="s">
        <v>506</v>
      </c>
      <c r="E78" s="247">
        <v>2.4385245901639402E-2</v>
      </c>
      <c r="F78" s="247">
        <v>2.3547619047619102E-2</v>
      </c>
      <c r="G78" s="247">
        <v>2.0260937499999999E-2</v>
      </c>
      <c r="H78" s="247">
        <v>1.6075806451612898E-2</v>
      </c>
      <c r="I78" s="247">
        <v>1.10403225806452E-2</v>
      </c>
      <c r="J78" s="247">
        <v>1.4222222222222E-3</v>
      </c>
      <c r="K78" s="247">
        <v>1.134375E-3</v>
      </c>
      <c r="L78" s="247">
        <v>9.2903225806449999E-4</v>
      </c>
      <c r="M78" s="247">
        <v>5.1147540983610001E-4</v>
      </c>
      <c r="N78" s="247">
        <v>2.515625E-4</v>
      </c>
      <c r="O78" s="247">
        <v>4.9687500000000003E-4</v>
      </c>
      <c r="P78" s="247">
        <v>5.4193548387100002E-4</v>
      </c>
      <c r="Q78" s="247">
        <v>3.0935483870968001E-3</v>
      </c>
      <c r="R78" s="247">
        <v>1.1037096774193501E-2</v>
      </c>
      <c r="S78" s="247">
        <v>2.7534375E-2</v>
      </c>
      <c r="T78" s="247">
        <v>4.1873770491803297E-2</v>
      </c>
      <c r="U78" s="247">
        <v>4.7817741935483903E-2</v>
      </c>
      <c r="V78" s="247">
        <v>5.2695238095238101E-2</v>
      </c>
      <c r="W78" s="247">
        <v>5.5355555555555602E-2</v>
      </c>
      <c r="X78" s="247">
        <v>5.52451612903226E-2</v>
      </c>
      <c r="Y78" s="247">
        <v>5.4542622950819707E-2</v>
      </c>
      <c r="Z78" s="247">
        <v>5.4665079365079298E-2</v>
      </c>
    </row>
    <row r="79" spans="1:29" x14ac:dyDescent="0.2">
      <c r="A79">
        <v>6</v>
      </c>
      <c r="B79" s="184" t="s">
        <v>507</v>
      </c>
      <c r="E79" s="247">
        <v>2.5055737704918001E-2</v>
      </c>
      <c r="F79" s="247">
        <v>2.3550793650793701E-2</v>
      </c>
      <c r="G79" s="247">
        <v>1.9704687499999998E-2</v>
      </c>
      <c r="H79" s="247">
        <v>1.61354838709677E-2</v>
      </c>
      <c r="I79" s="247">
        <v>1.0975806451612899E-2</v>
      </c>
      <c r="J79" s="247">
        <v>1.6793650793650999E-3</v>
      </c>
      <c r="K79" s="247">
        <v>1.2671874999999999E-3</v>
      </c>
      <c r="L79" s="247">
        <v>1.0274193548387E-3</v>
      </c>
      <c r="M79" s="247">
        <v>6.6229508196719998E-4</v>
      </c>
      <c r="N79" s="247">
        <v>4.1718749999999997E-4</v>
      </c>
      <c r="O79" s="247">
        <v>5.375E-4</v>
      </c>
      <c r="P79" s="247">
        <v>9.5E-4</v>
      </c>
      <c r="Q79" s="247">
        <v>6.1806451612902999E-3</v>
      </c>
      <c r="R79" s="247">
        <v>1.6466129032258102E-2</v>
      </c>
      <c r="S79" s="247">
        <v>3.2468750000000005E-2</v>
      </c>
      <c r="T79" s="247">
        <v>4.5450819672131201E-2</v>
      </c>
      <c r="U79" s="247">
        <v>4.9235483870967697E-2</v>
      </c>
      <c r="V79" s="247">
        <v>5.2306349206349197E-2</v>
      </c>
      <c r="W79" s="247">
        <v>5.5280952380952403E-2</v>
      </c>
      <c r="X79" s="247">
        <v>5.44919354838709E-2</v>
      </c>
      <c r="Y79" s="247">
        <v>5.28311475409836E-2</v>
      </c>
      <c r="Z79" s="247">
        <v>5.3912698412698398E-2</v>
      </c>
    </row>
    <row r="80" spans="1:29" ht="13.5" x14ac:dyDescent="0.35">
      <c r="A80">
        <v>12</v>
      </c>
      <c r="B80" s="184" t="s">
        <v>508</v>
      </c>
      <c r="E80" s="248">
        <v>2.5399999999999999E-2</v>
      </c>
      <c r="F80" s="248">
        <v>2.2588888888888898E-2</v>
      </c>
      <c r="G80" s="248">
        <v>1.8450000000000001E-2</v>
      </c>
      <c r="H80" s="248">
        <v>1.5758064516128999E-2</v>
      </c>
      <c r="I80" s="248">
        <v>1.0677419354838701E-2</v>
      </c>
      <c r="J80" s="248">
        <v>1.7428571428570998E-3</v>
      </c>
      <c r="K80" s="248">
        <v>1.346875E-3</v>
      </c>
      <c r="L80" s="248">
        <v>1.1451612903226E-3</v>
      </c>
      <c r="M80" s="248">
        <v>8.2459016393439995E-4</v>
      </c>
      <c r="N80" s="248">
        <v>5.9687499999999997E-4</v>
      </c>
      <c r="O80" s="248">
        <v>7.5468750000000004E-4</v>
      </c>
      <c r="P80" s="248">
        <v>2.0032258064515999E-3</v>
      </c>
      <c r="Q80" s="248">
        <v>9.8032258064516004E-3</v>
      </c>
      <c r="R80" s="248">
        <v>2.2043548387096799E-2</v>
      </c>
      <c r="S80" s="248">
        <v>3.3976562500000002E-2</v>
      </c>
      <c r="T80" s="248">
        <v>4.61360655737705E-2</v>
      </c>
      <c r="U80" s="248">
        <v>4.7593548387096798E-2</v>
      </c>
      <c r="V80" s="248">
        <v>4.9487301587301601E-2</v>
      </c>
      <c r="W80" s="248">
        <v>5.3899999999999997E-2</v>
      </c>
      <c r="X80" s="248">
        <v>5.2259677419354798E-2</v>
      </c>
      <c r="Y80" s="248">
        <v>4.9000000000000002E-2</v>
      </c>
      <c r="Z80" s="248">
        <v>5.1361904761904803E-2</v>
      </c>
    </row>
    <row r="81" spans="2:29" x14ac:dyDescent="0.2">
      <c r="B81" s="4" t="s">
        <v>514</v>
      </c>
      <c r="E81" s="249">
        <f>(-E89/($A78-$A77)+$A78/($A78-$A77))*E77+(1-(-E89/($A78-$A77)+$A78/($A78-$A77)))*E78</f>
        <v>2.435223259236495E-2</v>
      </c>
      <c r="F81" s="249">
        <f>(-F89/($A78-$A77)+$A78/($A78-$A77))*F77+(1-(-F89/($A78-$A77)+$A78/($A78-$A77)))*F78</f>
        <v>2.3537295435124776E-2</v>
      </c>
      <c r="G81" s="249">
        <f t="shared" ref="G81:O81" si="46">(-G89/($A79-$A78)+$A79/($A79-$A78))*G78+(1-(-G89/($A79-$A78)+$A79/($A79-$A78)))*G79</f>
        <v>2.0075371264928848E-2</v>
      </c>
      <c r="H81" s="249">
        <f t="shared" si="46"/>
        <v>1.6107334561295171E-2</v>
      </c>
      <c r="I81" s="249">
        <f t="shared" si="46"/>
        <v>1.1003844294716299E-2</v>
      </c>
      <c r="J81" s="249">
        <f t="shared" si="46"/>
        <v>1.601469713614759E-3</v>
      </c>
      <c r="K81" s="249">
        <f t="shared" si="46"/>
        <v>1.2393933701588349E-3</v>
      </c>
      <c r="L81" s="249">
        <f t="shared" si="46"/>
        <v>9.9245612960007293E-4</v>
      </c>
      <c r="M81" s="249">
        <f t="shared" si="46"/>
        <v>6.4758685567752668E-4</v>
      </c>
      <c r="N81" s="249">
        <f t="shared" si="46"/>
        <v>3.7777614046162521E-4</v>
      </c>
      <c r="O81" s="249">
        <f t="shared" si="46"/>
        <v>5.3015571103009053E-4</v>
      </c>
      <c r="P81" s="249">
        <f t="shared" ref="P81:Z81" si="47">(-P89/($A80-$A79)+$A80/($A80-$A79))*P79+(1-(-P89/($A80-$A79)+$A80/($A80-$A79)))*P80</f>
        <v>9.9765463412349997E-4</v>
      </c>
      <c r="Q81" s="249">
        <f t="shared" si="47"/>
        <v>7.036808694665303E-3</v>
      </c>
      <c r="R81" s="249">
        <f t="shared" si="47"/>
        <v>1.7290889775534245E-2</v>
      </c>
      <c r="S81" s="249">
        <f t="shared" si="47"/>
        <v>3.2657134873570318E-2</v>
      </c>
      <c r="T81" s="249">
        <f t="shared" si="47"/>
        <v>4.5571560376146431E-2</v>
      </c>
      <c r="U81" s="249">
        <f t="shared" si="47"/>
        <v>4.866353045708606E-2</v>
      </c>
      <c r="V81" s="249">
        <f t="shared" si="47"/>
        <v>5.1208394669099384E-2</v>
      </c>
      <c r="W81" s="249">
        <f t="shared" si="47"/>
        <v>5.479839195691677E-2</v>
      </c>
      <c r="X81" s="249">
        <f t="shared" si="47"/>
        <v>5.3493489635814323E-2</v>
      </c>
      <c r="Y81" s="249">
        <f t="shared" si="47"/>
        <v>5.0749582521027944E-2</v>
      </c>
      <c r="Z81" s="249">
        <f t="shared" si="47"/>
        <v>5.2359310328892072E-2</v>
      </c>
    </row>
    <row r="82" spans="2:29" ht="13.5" x14ac:dyDescent="0.35">
      <c r="B82" s="184" t="s">
        <v>513</v>
      </c>
      <c r="E82" s="250">
        <v>0</v>
      </c>
      <c r="F82" s="250">
        <v>0</v>
      </c>
      <c r="G82" s="250">
        <v>0</v>
      </c>
      <c r="H82" s="250">
        <v>0</v>
      </c>
      <c r="I82" s="250">
        <v>0</v>
      </c>
      <c r="J82" s="250">
        <v>0</v>
      </c>
      <c r="K82" s="250">
        <v>0</v>
      </c>
      <c r="L82" s="250">
        <v>0</v>
      </c>
      <c r="M82" s="250">
        <v>0</v>
      </c>
      <c r="N82" s="250">
        <v>0</v>
      </c>
      <c r="O82" s="250">
        <v>0</v>
      </c>
      <c r="P82" s="250">
        <v>0</v>
      </c>
      <c r="Q82" s="250">
        <v>0</v>
      </c>
      <c r="R82" s="250">
        <v>0</v>
      </c>
      <c r="S82" s="250">
        <v>0</v>
      </c>
      <c r="T82" s="250">
        <v>0</v>
      </c>
      <c r="U82" s="250">
        <v>0</v>
      </c>
      <c r="V82" s="250">
        <v>0</v>
      </c>
      <c r="W82" s="250">
        <v>0</v>
      </c>
      <c r="X82" s="250">
        <v>0</v>
      </c>
      <c r="Y82" s="250">
        <v>0</v>
      </c>
      <c r="Z82" s="250">
        <v>0</v>
      </c>
    </row>
    <row r="83" spans="2:29" x14ac:dyDescent="0.2">
      <c r="B83" s="4" t="s">
        <v>515</v>
      </c>
      <c r="E83" s="249">
        <f>+E81+E82</f>
        <v>2.435223259236495E-2</v>
      </c>
      <c r="F83" s="249">
        <f t="shared" ref="F83" si="48">+F81+F82</f>
        <v>2.3537295435124776E-2</v>
      </c>
      <c r="G83" s="249">
        <f t="shared" ref="G83" si="49">+G81+G82</f>
        <v>2.0075371264928848E-2</v>
      </c>
      <c r="H83" s="249">
        <f t="shared" ref="H83" si="50">+H81+H82</f>
        <v>1.6107334561295171E-2</v>
      </c>
      <c r="I83" s="249">
        <f t="shared" ref="I83" si="51">+I81+I82</f>
        <v>1.1003844294716299E-2</v>
      </c>
      <c r="J83" s="249">
        <f t="shared" ref="J83" si="52">+J81+J82</f>
        <v>1.601469713614759E-3</v>
      </c>
      <c r="K83" s="249">
        <f t="shared" ref="K83" si="53">+K81+K82</f>
        <v>1.2393933701588349E-3</v>
      </c>
      <c r="L83" s="249">
        <f t="shared" ref="L83" si="54">+L81+L82</f>
        <v>9.9245612960007293E-4</v>
      </c>
      <c r="M83" s="249">
        <f t="shared" ref="M83" si="55">+M81+M82</f>
        <v>6.4758685567752668E-4</v>
      </c>
      <c r="N83" s="249">
        <f t="shared" ref="N83" si="56">+N81+N82</f>
        <v>3.7777614046162521E-4</v>
      </c>
      <c r="O83" s="249">
        <f t="shared" ref="O83" si="57">+O81+O82</f>
        <v>5.3015571103009053E-4</v>
      </c>
      <c r="P83" s="249">
        <f t="shared" ref="P83" si="58">+P81+P82</f>
        <v>9.9765463412349997E-4</v>
      </c>
      <c r="Q83" s="249">
        <f t="shared" ref="Q83" si="59">+Q81+Q82</f>
        <v>7.036808694665303E-3</v>
      </c>
      <c r="R83" s="249">
        <f t="shared" ref="R83" si="60">+R81+R82</f>
        <v>1.7290889775534245E-2</v>
      </c>
      <c r="S83" s="249">
        <f t="shared" ref="S83" si="61">+S81+S82</f>
        <v>3.2657134873570318E-2</v>
      </c>
      <c r="T83" s="249">
        <f t="shared" ref="T83" si="62">+T81+T82</f>
        <v>4.5571560376146431E-2</v>
      </c>
      <c r="U83" s="249">
        <f t="shared" ref="U83" si="63">+U81+U82</f>
        <v>4.866353045708606E-2</v>
      </c>
      <c r="V83" s="249">
        <f t="shared" ref="V83" si="64">+V81+V82</f>
        <v>5.1208394669099384E-2</v>
      </c>
      <c r="W83" s="249">
        <f t="shared" ref="W83" si="65">+W81+W82</f>
        <v>5.479839195691677E-2</v>
      </c>
      <c r="X83" s="249">
        <f t="shared" ref="X83" si="66">+X81+X82</f>
        <v>5.3493489635814323E-2</v>
      </c>
      <c r="Y83" s="249">
        <f t="shared" ref="Y83" si="67">+Y81+Y82</f>
        <v>5.0749582521027944E-2</v>
      </c>
      <c r="Z83" s="249">
        <f t="shared" ref="Z83" si="68">+Z81+Z82</f>
        <v>5.2359310328892072E-2</v>
      </c>
    </row>
    <row r="84" spans="2:29" x14ac:dyDescent="0.2">
      <c r="B84" s="4"/>
      <c r="E84" s="249"/>
      <c r="F84" s="249"/>
      <c r="G84" s="249"/>
      <c r="H84" s="249"/>
      <c r="I84" s="249"/>
      <c r="J84" s="249"/>
      <c r="K84" s="249"/>
      <c r="L84" s="249"/>
      <c r="M84" s="249"/>
      <c r="N84" s="249"/>
      <c r="O84" s="249"/>
      <c r="P84" s="249"/>
      <c r="Q84" s="249"/>
      <c r="R84" s="249"/>
      <c r="S84" s="249"/>
      <c r="T84" s="249"/>
      <c r="U84" s="249"/>
      <c r="V84" s="249"/>
      <c r="W84" s="249"/>
      <c r="X84" s="249"/>
      <c r="Y84" s="249"/>
      <c r="Z84" s="249"/>
    </row>
    <row r="85" spans="2:29" x14ac:dyDescent="0.2">
      <c r="B85" s="19" t="s">
        <v>66</v>
      </c>
      <c r="E85" s="247"/>
    </row>
    <row r="86" spans="2:29" x14ac:dyDescent="0.2">
      <c r="B86" s="20" t="s">
        <v>496</v>
      </c>
      <c r="E86" s="239">
        <v>1.5</v>
      </c>
      <c r="F86" s="239">
        <v>1.5</v>
      </c>
      <c r="G86" s="239">
        <v>1.5</v>
      </c>
      <c r="H86" s="239">
        <v>1.5</v>
      </c>
      <c r="I86" s="239">
        <v>1.5</v>
      </c>
      <c r="J86" s="239">
        <v>1.5</v>
      </c>
      <c r="K86" s="239">
        <v>1.5</v>
      </c>
      <c r="L86" s="239">
        <v>1.5</v>
      </c>
      <c r="M86" s="239">
        <v>1.5</v>
      </c>
      <c r="N86" s="239">
        <v>1.5</v>
      </c>
      <c r="O86" s="239">
        <v>1.5</v>
      </c>
      <c r="P86" s="239">
        <v>1.5</v>
      </c>
      <c r="Q86" s="239">
        <v>1.5</v>
      </c>
      <c r="R86" s="239">
        <v>1.5</v>
      </c>
      <c r="S86" s="239">
        <v>1.5</v>
      </c>
      <c r="T86" s="239">
        <v>1.5</v>
      </c>
      <c r="U86" s="239">
        <v>1.5</v>
      </c>
      <c r="V86" s="239">
        <v>1.5</v>
      </c>
      <c r="W86" s="239">
        <v>1.5</v>
      </c>
      <c r="X86" s="239">
        <v>1.5</v>
      </c>
      <c r="Y86" s="239">
        <v>1.5</v>
      </c>
      <c r="Z86" s="239">
        <v>1.5</v>
      </c>
    </row>
    <row r="87" spans="2:29" x14ac:dyDescent="0.2">
      <c r="B87" s="20" t="s">
        <v>479</v>
      </c>
      <c r="E87" s="239">
        <v>7.5</v>
      </c>
      <c r="F87" s="239">
        <v>7.5</v>
      </c>
      <c r="G87" s="239">
        <v>7.5</v>
      </c>
      <c r="H87" s="239">
        <v>7.5</v>
      </c>
      <c r="I87" s="239">
        <v>7.5</v>
      </c>
      <c r="J87" s="239">
        <v>7.5</v>
      </c>
      <c r="K87" s="239">
        <v>7.5</v>
      </c>
      <c r="L87" s="239">
        <v>7.5</v>
      </c>
      <c r="M87" s="239">
        <v>7.5</v>
      </c>
      <c r="N87" s="239">
        <v>7.5</v>
      </c>
      <c r="O87" s="239">
        <v>7.5</v>
      </c>
      <c r="P87" s="239">
        <v>7.5</v>
      </c>
      <c r="Q87" s="239">
        <v>7.5</v>
      </c>
      <c r="R87" s="239">
        <v>7.5</v>
      </c>
      <c r="S87" s="239">
        <v>7.5</v>
      </c>
      <c r="T87" s="239">
        <v>7.5</v>
      </c>
      <c r="U87" s="239">
        <v>7.5</v>
      </c>
      <c r="V87" s="239">
        <v>7.5</v>
      </c>
      <c r="W87" s="239">
        <v>7.5</v>
      </c>
      <c r="X87" s="239">
        <v>7.5</v>
      </c>
      <c r="Y87" s="239">
        <v>7.5</v>
      </c>
      <c r="Z87" s="239">
        <v>7.5</v>
      </c>
    </row>
    <row r="88" spans="2:29" ht="13.5" x14ac:dyDescent="0.35">
      <c r="B88" s="20" t="s">
        <v>490</v>
      </c>
      <c r="E88" s="240">
        <v>0</v>
      </c>
      <c r="F88" s="240">
        <v>0</v>
      </c>
      <c r="G88" s="240">
        <v>0</v>
      </c>
      <c r="H88" s="240">
        <v>0</v>
      </c>
      <c r="I88" s="240">
        <v>0</v>
      </c>
      <c r="J88" s="240">
        <f>+$L88</f>
        <v>20.951080748076969</v>
      </c>
      <c r="K88" s="240">
        <f>+$L88</f>
        <v>20.951080748076969</v>
      </c>
      <c r="L88" s="240">
        <f>+(L51/L46*1.5+L52/L46*2.5+L55/L46*1+L56/L46*3+L57/L46*7)*12</f>
        <v>20.951080748076969</v>
      </c>
      <c r="M88" s="240">
        <f>+L88*0.75+P88*0.25</f>
        <v>20.932276805340862</v>
      </c>
      <c r="N88" s="240">
        <f>+L88*0.5+P88*0.5</f>
        <v>20.913472862604756</v>
      </c>
      <c r="O88" s="240">
        <f>+L88*0.25+P88*0.75</f>
        <v>20.89466891986865</v>
      </c>
      <c r="P88" s="240">
        <f>+(P51/P46*1.5+P52/P46*2.5+P55/P46*1+P56/P46*3+P57/P46*7)*12</f>
        <v>20.875864977132544</v>
      </c>
      <c r="Q88" s="240">
        <f>+P88*0.75+T88*0.25</f>
        <v>25.322957938677746</v>
      </c>
      <c r="R88" s="240">
        <f>+P88*0.5+T88*0.5</f>
        <v>29.770050900222952</v>
      </c>
      <c r="S88" s="240">
        <f>+P88*0.25+T88*0.75</f>
        <v>34.217143861768157</v>
      </c>
      <c r="T88" s="240">
        <f>+(T51/T46*1.5+T52/T46*2.5+T55/T46*1+T56/T46*3+T57/T46*7)*12</f>
        <v>38.66423682331336</v>
      </c>
      <c r="U88" s="240">
        <f>+T88*0.75+X88*0.25</f>
        <v>36.986677602156533</v>
      </c>
      <c r="V88" s="240">
        <f>+T88*0.5+X88*0.5</f>
        <v>35.309118380999706</v>
      </c>
      <c r="W88" s="240">
        <f>+T88*0.25+X88*0.75</f>
        <v>33.631559159842887</v>
      </c>
      <c r="X88" s="240">
        <f>+(X51/X46*1.5+X52/X46*2.5+X55/X46*1+X56/X46*3+X57/X46*7)*12</f>
        <v>31.95399993868606</v>
      </c>
      <c r="Y88" s="240">
        <f>+$X88</f>
        <v>31.95399993868606</v>
      </c>
      <c r="Z88" s="240">
        <f>+$X88</f>
        <v>31.95399993868606</v>
      </c>
    </row>
    <row r="89" spans="2:29" x14ac:dyDescent="0.2">
      <c r="B89" s="30" t="s">
        <v>509</v>
      </c>
      <c r="E89" s="241">
        <f t="shared" ref="E89:Z89" si="69">+SUM(E43:E44)/E47*E86+E45/E47*E87+E46/E47*E88</f>
        <v>2.4406078150720361</v>
      </c>
      <c r="F89" s="241">
        <f t="shared" si="69"/>
        <v>2.479689930286856</v>
      </c>
      <c r="G89" s="241">
        <f t="shared" si="69"/>
        <v>4.0008066610579052</v>
      </c>
      <c r="H89" s="241">
        <f t="shared" si="69"/>
        <v>4.5849265948394251</v>
      </c>
      <c r="I89" s="241">
        <f t="shared" si="69"/>
        <v>4.6962402956927471</v>
      </c>
      <c r="J89" s="241">
        <f t="shared" si="69"/>
        <v>5.0912207329128414</v>
      </c>
      <c r="K89" s="241">
        <f t="shared" si="69"/>
        <v>5.3721796553525074</v>
      </c>
      <c r="L89" s="241">
        <f t="shared" si="69"/>
        <v>4.9339082140353785</v>
      </c>
      <c r="M89" s="241">
        <f t="shared" si="69"/>
        <v>5.7074341944553186</v>
      </c>
      <c r="N89" s="241">
        <f t="shared" si="69"/>
        <v>5.2861338649652865</v>
      </c>
      <c r="O89" s="241">
        <f t="shared" si="69"/>
        <v>5.4576525068374568</v>
      </c>
      <c r="P89" s="241">
        <f t="shared" si="69"/>
        <v>6.2714781607035563</v>
      </c>
      <c r="Q89" s="241">
        <f t="shared" si="69"/>
        <v>7.4180446768276944</v>
      </c>
      <c r="R89" s="241">
        <f t="shared" si="69"/>
        <v>6.8872498452826107</v>
      </c>
      <c r="S89" s="241">
        <f t="shared" si="69"/>
        <v>6.7496351445699672</v>
      </c>
      <c r="T89" s="241">
        <f t="shared" si="69"/>
        <v>7.0572032935305558</v>
      </c>
      <c r="U89" s="241">
        <f t="shared" si="69"/>
        <v>8.0900458739094123</v>
      </c>
      <c r="V89" s="241">
        <f t="shared" si="69"/>
        <v>8.3368626975249498</v>
      </c>
      <c r="W89" s="241">
        <f t="shared" si="69"/>
        <v>8.0966418423616542</v>
      </c>
      <c r="X89" s="241">
        <f t="shared" si="69"/>
        <v>8.68368392685732</v>
      </c>
      <c r="Y89" s="241">
        <f t="shared" si="69"/>
        <v>9.2599606217534181</v>
      </c>
      <c r="Z89" s="241">
        <f t="shared" si="69"/>
        <v>9.653893563651561</v>
      </c>
    </row>
    <row r="90" spans="2:29" x14ac:dyDescent="0.2">
      <c r="B90" s="30"/>
      <c r="E90" s="241"/>
      <c r="F90" s="241"/>
      <c r="G90" s="241"/>
      <c r="H90" s="241"/>
      <c r="I90" s="241"/>
      <c r="J90" s="241"/>
      <c r="K90" s="241"/>
      <c r="L90" s="241"/>
      <c r="M90" s="241"/>
      <c r="N90" s="241"/>
      <c r="O90" s="241"/>
      <c r="P90" s="241"/>
      <c r="Q90" s="241"/>
      <c r="R90" s="241"/>
      <c r="S90" s="241"/>
      <c r="T90" s="241"/>
      <c r="U90" s="241"/>
      <c r="V90" s="241"/>
      <c r="W90" s="241"/>
      <c r="X90" s="241"/>
      <c r="Y90" s="241"/>
      <c r="Z90" s="241"/>
    </row>
    <row r="91" spans="2:29" x14ac:dyDescent="0.2">
      <c r="B91" s="6" t="s">
        <v>525</v>
      </c>
      <c r="C91" s="5"/>
    </row>
    <row r="92" spans="2:29" x14ac:dyDescent="0.2">
      <c r="B92" s="24"/>
    </row>
    <row r="93" spans="2:29" x14ac:dyDescent="0.2">
      <c r="B93" t="s">
        <v>498</v>
      </c>
      <c r="E93" s="236">
        <f t="shared" ref="E93:Z93" si="70">+E75</f>
        <v>2.1736499618752243E-2</v>
      </c>
      <c r="F93" s="236">
        <f t="shared" si="70"/>
        <v>2.2244801721646938E-2</v>
      </c>
      <c r="G93" s="236">
        <f t="shared" si="70"/>
        <v>2.3278165239142945E-2</v>
      </c>
      <c r="H93" s="236">
        <f t="shared" si="70"/>
        <v>2.4606521215287884E-2</v>
      </c>
      <c r="I93" s="236">
        <f t="shared" si="70"/>
        <v>1.8301676680728008E-2</v>
      </c>
      <c r="J93" s="236">
        <f t="shared" si="70"/>
        <v>1.3781100451985467E-2</v>
      </c>
      <c r="K93" s="236">
        <f t="shared" si="70"/>
        <v>2.2657928002914884E-2</v>
      </c>
      <c r="L93" s="236">
        <f t="shared" si="70"/>
        <v>2.7090574550651524E-2</v>
      </c>
      <c r="M93" s="236">
        <f t="shared" si="70"/>
        <v>2.2763524058074393E-2</v>
      </c>
      <c r="N93" s="236">
        <f t="shared" si="70"/>
        <v>2.0851261244021323E-2</v>
      </c>
      <c r="O93" s="236">
        <f t="shared" si="70"/>
        <v>2.048250805993241E-2</v>
      </c>
      <c r="P93" s="236">
        <f t="shared" si="70"/>
        <v>2.3012364578167691E-2</v>
      </c>
      <c r="Q93" s="236">
        <f t="shared" si="70"/>
        <v>2.016708647782359E-2</v>
      </c>
      <c r="R93" s="236">
        <f t="shared" si="70"/>
        <v>1.8825536316117459E-2</v>
      </c>
      <c r="S93" s="236">
        <f t="shared" si="70"/>
        <v>1.682194936115778E-2</v>
      </c>
      <c r="T93" s="236">
        <f t="shared" si="70"/>
        <v>1.9648595352769985E-2</v>
      </c>
      <c r="U93" s="236">
        <f t="shared" si="70"/>
        <v>2.1337920294006298E-2</v>
      </c>
      <c r="V93" s="236">
        <f t="shared" si="70"/>
        <v>1.9899165647084396E-2</v>
      </c>
      <c r="W93" s="236">
        <f t="shared" si="70"/>
        <v>1.8754132288699425E-2</v>
      </c>
      <c r="X93" s="236">
        <f t="shared" si="70"/>
        <v>2.2697670342058884E-2</v>
      </c>
      <c r="Y93" s="236">
        <f t="shared" si="70"/>
        <v>1.8807529582909266E-2</v>
      </c>
      <c r="Z93" s="236">
        <f t="shared" si="70"/>
        <v>1.6326117829519603E-2</v>
      </c>
      <c r="AC93" s="236"/>
    </row>
    <row r="94" spans="2:29" ht="13.5" x14ac:dyDescent="0.35">
      <c r="B94" t="s">
        <v>499</v>
      </c>
      <c r="E94" s="245">
        <f t="shared" ref="E94:Z94" si="71">+E83</f>
        <v>2.435223259236495E-2</v>
      </c>
      <c r="F94" s="245">
        <f t="shared" si="71"/>
        <v>2.3537295435124776E-2</v>
      </c>
      <c r="G94" s="245">
        <f t="shared" si="71"/>
        <v>2.0075371264928848E-2</v>
      </c>
      <c r="H94" s="245">
        <f t="shared" si="71"/>
        <v>1.6107334561295171E-2</v>
      </c>
      <c r="I94" s="245">
        <f t="shared" si="71"/>
        <v>1.1003844294716299E-2</v>
      </c>
      <c r="J94" s="245">
        <f t="shared" si="71"/>
        <v>1.601469713614759E-3</v>
      </c>
      <c r="K94" s="245">
        <f t="shared" si="71"/>
        <v>1.2393933701588349E-3</v>
      </c>
      <c r="L94" s="245">
        <f t="shared" si="71"/>
        <v>9.9245612960007293E-4</v>
      </c>
      <c r="M94" s="245">
        <f t="shared" si="71"/>
        <v>6.4758685567752668E-4</v>
      </c>
      <c r="N94" s="245">
        <f t="shared" si="71"/>
        <v>3.7777614046162521E-4</v>
      </c>
      <c r="O94" s="245">
        <f t="shared" si="71"/>
        <v>5.3015571103009053E-4</v>
      </c>
      <c r="P94" s="245">
        <f t="shared" si="71"/>
        <v>9.9765463412349997E-4</v>
      </c>
      <c r="Q94" s="245">
        <f t="shared" si="71"/>
        <v>7.036808694665303E-3</v>
      </c>
      <c r="R94" s="245">
        <f t="shared" si="71"/>
        <v>1.7290889775534245E-2</v>
      </c>
      <c r="S94" s="245">
        <f t="shared" si="71"/>
        <v>3.2657134873570318E-2</v>
      </c>
      <c r="T94" s="245">
        <f t="shared" si="71"/>
        <v>4.5571560376146431E-2</v>
      </c>
      <c r="U94" s="245">
        <f t="shared" si="71"/>
        <v>4.866353045708606E-2</v>
      </c>
      <c r="V94" s="245">
        <f t="shared" si="71"/>
        <v>5.1208394669099384E-2</v>
      </c>
      <c r="W94" s="245">
        <f t="shared" si="71"/>
        <v>5.479839195691677E-2</v>
      </c>
      <c r="X94" s="245">
        <f t="shared" si="71"/>
        <v>5.3493489635814323E-2</v>
      </c>
      <c r="Y94" s="245">
        <f t="shared" si="71"/>
        <v>5.0749582521027944E-2</v>
      </c>
      <c r="Z94" s="245">
        <f t="shared" si="71"/>
        <v>5.2359310328892072E-2</v>
      </c>
      <c r="AC94" s="236"/>
    </row>
    <row r="95" spans="2:29" s="1" customFormat="1" x14ac:dyDescent="0.2">
      <c r="B95" s="38" t="s">
        <v>500</v>
      </c>
      <c r="E95" s="237">
        <f t="shared" ref="E95:Z95" si="72">+E40</f>
        <v>2.4843252970226243E-2</v>
      </c>
      <c r="F95" s="237">
        <f t="shared" si="72"/>
        <v>3.4822603729839474E-2</v>
      </c>
      <c r="G95" s="237">
        <f t="shared" si="72"/>
        <v>3.0596007823901959E-2</v>
      </c>
      <c r="H95" s="237">
        <f t="shared" si="72"/>
        <v>2.9393672841461809E-2</v>
      </c>
      <c r="I95" s="237">
        <f t="shared" si="72"/>
        <v>2.6721024296248862E-2</v>
      </c>
      <c r="J95" s="237">
        <f t="shared" si="72"/>
        <v>4.408803372083997E-2</v>
      </c>
      <c r="K95" s="237">
        <f t="shared" si="72"/>
        <v>2.2264976427159425E-2</v>
      </c>
      <c r="L95" s="237">
        <f t="shared" si="72"/>
        <v>2.2659043751799491E-2</v>
      </c>
      <c r="M95" s="237">
        <f t="shared" si="72"/>
        <v>2.7550832249811127E-2</v>
      </c>
      <c r="N95" s="237">
        <f t="shared" si="72"/>
        <v>1.522371033824235E-2</v>
      </c>
      <c r="O95" s="237">
        <f t="shared" si="72"/>
        <v>1.6712178840504969E-2</v>
      </c>
      <c r="P95" s="237">
        <f t="shared" si="72"/>
        <v>2.2643239284526558E-2</v>
      </c>
      <c r="Q95" s="237">
        <f t="shared" si="72"/>
        <v>1.9956008111606867E-2</v>
      </c>
      <c r="R95" s="237">
        <f t="shared" si="72"/>
        <v>1.797047444037007E-2</v>
      </c>
      <c r="S95" s="237">
        <f t="shared" si="72"/>
        <v>2.2870591412069801E-2</v>
      </c>
      <c r="T95" s="237">
        <f t="shared" si="72"/>
        <v>2.5548743469958352E-2</v>
      </c>
      <c r="U95" s="237">
        <f t="shared" si="72"/>
        <v>2.6446637279370397E-2</v>
      </c>
      <c r="V95" s="237">
        <f t="shared" si="72"/>
        <v>3.7905134506790082E-2</v>
      </c>
      <c r="W95" s="237">
        <f t="shared" si="72"/>
        <v>3.0758697110262207E-2</v>
      </c>
      <c r="X95" s="237">
        <f t="shared" si="72"/>
        <v>5.6128366560571047E-2</v>
      </c>
      <c r="Y95" s="237">
        <f t="shared" si="72"/>
        <v>5.9582016672195946E-2</v>
      </c>
      <c r="Z95" s="237">
        <f t="shared" si="72"/>
        <v>5.1002496016910606E-2</v>
      </c>
      <c r="AC95" s="236"/>
    </row>
    <row r="96" spans="2:29" x14ac:dyDescent="0.2">
      <c r="B96" s="4"/>
    </row>
    <row r="97" spans="2:29" x14ac:dyDescent="0.2">
      <c r="B97" s="19" t="s">
        <v>517</v>
      </c>
    </row>
    <row r="98" spans="2:29" x14ac:dyDescent="0.2">
      <c r="B98" s="20" t="s">
        <v>498</v>
      </c>
      <c r="E98" s="242">
        <f>+(E95-E94)/(E93-E94)</f>
        <v>-0.18771808239398466</v>
      </c>
      <c r="F98" s="242">
        <f t="shared" ref="F98:H98" si="73">+(F95-F94)/(F93-F94)</f>
        <v>-8.7314221934188172</v>
      </c>
      <c r="G98" s="242">
        <f t="shared" si="73"/>
        <v>3.2848308831836954</v>
      </c>
      <c r="H98" s="242">
        <f t="shared" si="73"/>
        <v>1.5632482049238248</v>
      </c>
      <c r="I98" s="242">
        <f t="shared" ref="I98:Z98" si="74">+(I95-I94)/(I93-I94)</f>
        <v>2.1536778553120559</v>
      </c>
      <c r="J98" s="242">
        <f t="shared" si="74"/>
        <v>3.488329401758917</v>
      </c>
      <c r="K98" s="242">
        <f t="shared" si="74"/>
        <v>0.98165366667267207</v>
      </c>
      <c r="L98" s="242">
        <f t="shared" si="74"/>
        <v>0.83019730666570046</v>
      </c>
      <c r="M98" s="242">
        <f t="shared" si="74"/>
        <v>1.2164641791087152</v>
      </c>
      <c r="N98" s="242">
        <f t="shared" si="74"/>
        <v>0.72512980192119236</v>
      </c>
      <c r="O98" s="242">
        <f t="shared" si="74"/>
        <v>0.81103334817386252</v>
      </c>
      <c r="P98" s="242">
        <f t="shared" si="74"/>
        <v>0.98323278868632125</v>
      </c>
      <c r="Q98" s="242">
        <f t="shared" si="74"/>
        <v>0.98392430307244028</v>
      </c>
      <c r="R98" s="242">
        <f t="shared" si="74"/>
        <v>0.44282813459935993</v>
      </c>
      <c r="S98" s="242">
        <f t="shared" si="74"/>
        <v>0.61802518535884887</v>
      </c>
      <c r="T98" s="242">
        <f t="shared" si="74"/>
        <v>0.77239686463844648</v>
      </c>
      <c r="U98" s="242">
        <f t="shared" si="74"/>
        <v>0.81304289438094235</v>
      </c>
      <c r="V98" s="242">
        <f t="shared" si="74"/>
        <v>0.42489900191905572</v>
      </c>
      <c r="W98" s="242">
        <f t="shared" si="74"/>
        <v>0.66694933029383274</v>
      </c>
      <c r="X98" s="242">
        <f t="shared" si="74"/>
        <v>-8.5559565719721106E-2</v>
      </c>
      <c r="Y98" s="242">
        <f t="shared" si="74"/>
        <v>-0.27651429193605909</v>
      </c>
      <c r="Z98" s="242">
        <f t="shared" si="74"/>
        <v>3.7654568409532289E-2</v>
      </c>
      <c r="AC98" s="242"/>
    </row>
    <row r="99" spans="2:29" ht="13.5" x14ac:dyDescent="0.35">
      <c r="B99" s="20" t="s">
        <v>499</v>
      </c>
      <c r="E99" s="243">
        <f>1-E98</f>
        <v>1.1877180823939846</v>
      </c>
      <c r="F99" s="243">
        <f t="shared" ref="F99:H99" si="75">1-F98</f>
        <v>9.7314221934188172</v>
      </c>
      <c r="G99" s="243">
        <f t="shared" si="75"/>
        <v>-2.2848308831836954</v>
      </c>
      <c r="H99" s="243">
        <f t="shared" si="75"/>
        <v>-0.56324820492382477</v>
      </c>
      <c r="I99" s="243">
        <f t="shared" ref="I99" si="76">1-I98</f>
        <v>-1.1536778553120559</v>
      </c>
      <c r="J99" s="243">
        <f t="shared" ref="J99" si="77">1-J98</f>
        <v>-2.488329401758917</v>
      </c>
      <c r="K99" s="243">
        <f t="shared" ref="K99" si="78">1-K98</f>
        <v>1.8346333327327935E-2</v>
      </c>
      <c r="L99" s="243">
        <f t="shared" ref="L99" si="79">1-L98</f>
        <v>0.16980269333429954</v>
      </c>
      <c r="M99" s="243">
        <f t="shared" ref="M99" si="80">1-M98</f>
        <v>-0.21646417910871518</v>
      </c>
      <c r="N99" s="243">
        <f t="shared" ref="N99" si="81">1-N98</f>
        <v>0.27487019807880764</v>
      </c>
      <c r="O99" s="243">
        <f t="shared" ref="O99" si="82">1-O98</f>
        <v>0.18896665182613748</v>
      </c>
      <c r="P99" s="243">
        <f t="shared" ref="P99" si="83">1-P98</f>
        <v>1.6767211313678754E-2</v>
      </c>
      <c r="Q99" s="243">
        <f t="shared" ref="Q99" si="84">1-Q98</f>
        <v>1.6075696927559724E-2</v>
      </c>
      <c r="R99" s="243">
        <f t="shared" ref="R99" si="85">1-R98</f>
        <v>0.55717186540064012</v>
      </c>
      <c r="S99" s="243">
        <f t="shared" ref="S99" si="86">1-S98</f>
        <v>0.38197481464115113</v>
      </c>
      <c r="T99" s="243">
        <f t="shared" ref="T99" si="87">1-T98</f>
        <v>0.22760313536155352</v>
      </c>
      <c r="U99" s="243">
        <f t="shared" ref="U99" si="88">1-U98</f>
        <v>0.18695710561905765</v>
      </c>
      <c r="V99" s="243">
        <f t="shared" ref="V99" si="89">1-V98</f>
        <v>0.57510099808094428</v>
      </c>
      <c r="W99" s="243">
        <f t="shared" ref="W99" si="90">1-W98</f>
        <v>0.33305066970616726</v>
      </c>
      <c r="X99" s="246">
        <f t="shared" ref="X99" si="91">1-X98</f>
        <v>1.085559565719721</v>
      </c>
      <c r="Y99" s="246">
        <f t="shared" ref="Y99" si="92">1-Y98</f>
        <v>1.276514291936059</v>
      </c>
      <c r="Z99" s="246">
        <f t="shared" ref="Z99" si="93">1-Z98</f>
        <v>0.9623454315904677</v>
      </c>
      <c r="AC99" s="243"/>
    </row>
    <row r="100" spans="2:29" x14ac:dyDescent="0.2">
      <c r="B100" s="30" t="s">
        <v>500</v>
      </c>
      <c r="E100" s="242">
        <f>SUM(E98:E99)</f>
        <v>0.99999999999999989</v>
      </c>
      <c r="F100" s="242">
        <f t="shared" ref="F100:H100" si="94">SUM(F98:F99)</f>
        <v>1</v>
      </c>
      <c r="G100" s="242">
        <f t="shared" si="94"/>
        <v>1</v>
      </c>
      <c r="H100" s="242">
        <f t="shared" si="94"/>
        <v>1</v>
      </c>
      <c r="I100" s="242">
        <f t="shared" ref="I100" si="95">SUM(I98:I99)</f>
        <v>1</v>
      </c>
      <c r="J100" s="242">
        <f t="shared" ref="J100" si="96">SUM(J98:J99)</f>
        <v>1</v>
      </c>
      <c r="K100" s="242">
        <f t="shared" ref="K100" si="97">SUM(K98:K99)</f>
        <v>1</v>
      </c>
      <c r="L100" s="242">
        <f t="shared" ref="L100" si="98">SUM(L98:L99)</f>
        <v>1</v>
      </c>
      <c r="M100" s="242">
        <f t="shared" ref="M100" si="99">SUM(M98:M99)</f>
        <v>1</v>
      </c>
      <c r="N100" s="242">
        <f t="shared" ref="N100" si="100">SUM(N98:N99)</f>
        <v>1</v>
      </c>
      <c r="O100" s="242">
        <f t="shared" ref="O100" si="101">SUM(O98:O99)</f>
        <v>1</v>
      </c>
      <c r="P100" s="242">
        <f t="shared" ref="P100" si="102">SUM(P98:P99)</f>
        <v>1</v>
      </c>
      <c r="Q100" s="242">
        <f t="shared" ref="Q100" si="103">SUM(Q98:Q99)</f>
        <v>1</v>
      </c>
      <c r="R100" s="242">
        <f t="shared" ref="R100" si="104">SUM(R98:R99)</f>
        <v>1</v>
      </c>
      <c r="S100" s="242">
        <f t="shared" ref="S100" si="105">SUM(S98:S99)</f>
        <v>1</v>
      </c>
      <c r="T100" s="242">
        <f t="shared" ref="T100" si="106">SUM(T98:T99)</f>
        <v>1</v>
      </c>
      <c r="U100" s="242">
        <f t="shared" ref="U100" si="107">SUM(U98:U99)</f>
        <v>1</v>
      </c>
      <c r="V100" s="242">
        <f t="shared" ref="V100" si="108">SUM(V98:V99)</f>
        <v>1</v>
      </c>
      <c r="W100" s="242">
        <f t="shared" ref="W100" si="109">SUM(W98:W99)</f>
        <v>1</v>
      </c>
      <c r="X100" s="242">
        <f t="shared" ref="X100" si="110">SUM(X98:X99)</f>
        <v>0.99999999999999989</v>
      </c>
      <c r="Y100" s="242">
        <f t="shared" ref="Y100" si="111">SUM(Y98:Y99)</f>
        <v>1</v>
      </c>
      <c r="Z100" s="242">
        <f t="shared" ref="Z100" si="112">SUM(Z98:Z99)</f>
        <v>1</v>
      </c>
      <c r="AC100" s="244"/>
    </row>
    <row r="101" spans="2:29" x14ac:dyDescent="0.2">
      <c r="B101" s="30"/>
      <c r="E101" s="244"/>
      <c r="F101" s="244"/>
      <c r="G101" s="244"/>
      <c r="H101" s="244"/>
      <c r="I101" s="244"/>
      <c r="J101" s="244"/>
      <c r="K101" s="244"/>
      <c r="L101" s="244"/>
      <c r="M101" s="244"/>
      <c r="N101" s="244"/>
      <c r="O101" s="244"/>
      <c r="P101" s="244"/>
      <c r="Q101" s="244"/>
      <c r="R101" s="244"/>
      <c r="S101" s="244"/>
      <c r="T101" s="244"/>
      <c r="U101" s="244"/>
      <c r="V101" s="244"/>
      <c r="W101" s="244"/>
      <c r="X101" s="244"/>
      <c r="Y101" s="244"/>
      <c r="Z101" s="244"/>
      <c r="AC101" s="244"/>
    </row>
    <row r="102" spans="2:29" x14ac:dyDescent="0.2">
      <c r="B102" s="24" t="s">
        <v>516</v>
      </c>
      <c r="E102" s="244"/>
      <c r="F102" s="244"/>
      <c r="G102" s="244"/>
      <c r="H102" s="244"/>
      <c r="I102" s="244"/>
      <c r="J102" s="244"/>
      <c r="K102" s="244"/>
      <c r="L102" s="244"/>
      <c r="M102" s="244"/>
      <c r="N102" s="244"/>
      <c r="O102" s="244"/>
      <c r="P102" s="244"/>
      <c r="Q102" s="244"/>
      <c r="R102" s="244"/>
      <c r="S102" s="244"/>
      <c r="T102" s="244"/>
      <c r="U102" s="244"/>
      <c r="V102" s="244"/>
      <c r="W102" s="244"/>
      <c r="X102" s="244"/>
      <c r="Y102" s="244"/>
      <c r="Z102" s="244"/>
      <c r="AC102" s="244"/>
    </row>
    <row r="103" spans="2:29" x14ac:dyDescent="0.2">
      <c r="B103" t="s">
        <v>498</v>
      </c>
      <c r="E103" s="244"/>
      <c r="F103" s="244"/>
      <c r="G103" s="244"/>
      <c r="H103" s="236">
        <f>AVERAGE(E93:H93)</f>
        <v>2.2966496948707504E-2</v>
      </c>
      <c r="I103" s="236">
        <f t="shared" ref="I103:Z105" si="113">AVERAGE(F93:I93)</f>
        <v>2.2107791214201443E-2</v>
      </c>
      <c r="J103" s="236">
        <f t="shared" si="113"/>
        <v>1.9991865896786077E-2</v>
      </c>
      <c r="K103" s="236">
        <f t="shared" si="113"/>
        <v>1.9836806587729062E-2</v>
      </c>
      <c r="L103" s="236">
        <f t="shared" si="113"/>
        <v>2.0457819921569968E-2</v>
      </c>
      <c r="M103" s="236">
        <f t="shared" si="113"/>
        <v>2.1573281765906567E-2</v>
      </c>
      <c r="N103" s="236">
        <f t="shared" si="113"/>
        <v>2.3340821963915532E-2</v>
      </c>
      <c r="O103" s="236">
        <f t="shared" si="113"/>
        <v>2.2796966978169915E-2</v>
      </c>
      <c r="P103" s="236">
        <f t="shared" si="113"/>
        <v>2.1777414485048954E-2</v>
      </c>
      <c r="Q103" s="236">
        <f t="shared" si="113"/>
        <v>2.1128305089986251E-2</v>
      </c>
      <c r="R103" s="236">
        <f t="shared" si="113"/>
        <v>2.0621873858010287E-2</v>
      </c>
      <c r="S103" s="236">
        <f t="shared" si="113"/>
        <v>1.9706734183316629E-2</v>
      </c>
      <c r="T103" s="236">
        <f t="shared" si="113"/>
        <v>1.8865791876967204E-2</v>
      </c>
      <c r="U103" s="236">
        <f t="shared" si="113"/>
        <v>1.9158500331012882E-2</v>
      </c>
      <c r="V103" s="236">
        <f t="shared" si="113"/>
        <v>1.9426907663754614E-2</v>
      </c>
      <c r="W103" s="236">
        <f t="shared" si="113"/>
        <v>1.9909953395640029E-2</v>
      </c>
      <c r="X103" s="236">
        <f t="shared" si="113"/>
        <v>2.067222214296225E-2</v>
      </c>
      <c r="Y103" s="236">
        <f t="shared" si="113"/>
        <v>2.0039624465187991E-2</v>
      </c>
      <c r="Z103" s="236">
        <f t="shared" si="113"/>
        <v>1.9146362510796794E-2</v>
      </c>
      <c r="AC103" s="244"/>
    </row>
    <row r="104" spans="2:29" ht="13.5" x14ac:dyDescent="0.35">
      <c r="B104" t="s">
        <v>499</v>
      </c>
      <c r="E104" s="244"/>
      <c r="F104" s="244"/>
      <c r="G104" s="244"/>
      <c r="H104" s="245">
        <f t="shared" ref="H104:H105" si="114">AVERAGE(E94:H94)</f>
        <v>2.1018058463428434E-2</v>
      </c>
      <c r="I104" s="245">
        <f t="shared" si="113"/>
        <v>1.7680961389016273E-2</v>
      </c>
      <c r="J104" s="245">
        <f t="shared" si="113"/>
        <v>1.2197004958638768E-2</v>
      </c>
      <c r="K104" s="245">
        <f t="shared" si="113"/>
        <v>7.4880104849462661E-3</v>
      </c>
      <c r="L104" s="245">
        <f t="shared" si="113"/>
        <v>3.7092908770224912E-3</v>
      </c>
      <c r="M104" s="245">
        <f t="shared" si="113"/>
        <v>1.1202265172627983E-3</v>
      </c>
      <c r="N104" s="245">
        <f t="shared" si="113"/>
        <v>8.1430312397451495E-4</v>
      </c>
      <c r="O104" s="245">
        <f t="shared" si="113"/>
        <v>6.3699370919232876E-4</v>
      </c>
      <c r="P104" s="245">
        <f t="shared" si="113"/>
        <v>6.3829333532318551E-4</v>
      </c>
      <c r="Q104" s="245">
        <f t="shared" si="113"/>
        <v>2.2355987950701296E-3</v>
      </c>
      <c r="R104" s="245">
        <f t="shared" si="113"/>
        <v>6.4638772038382846E-3</v>
      </c>
      <c r="S104" s="245">
        <f t="shared" si="113"/>
        <v>1.4495621994473341E-2</v>
      </c>
      <c r="T104" s="245">
        <f t="shared" si="113"/>
        <v>2.5639098429979072E-2</v>
      </c>
      <c r="U104" s="245">
        <f t="shared" si="113"/>
        <v>3.6045778870584258E-2</v>
      </c>
      <c r="V104" s="245">
        <f t="shared" si="113"/>
        <v>4.4525155093975546E-2</v>
      </c>
      <c r="W104" s="245">
        <f t="shared" si="113"/>
        <v>5.0060469364812163E-2</v>
      </c>
      <c r="X104" s="245">
        <f t="shared" si="113"/>
        <v>5.2040951679729136E-2</v>
      </c>
      <c r="Y104" s="245">
        <f t="shared" si="113"/>
        <v>5.25624646957146E-2</v>
      </c>
      <c r="Z104" s="245">
        <f t="shared" si="113"/>
        <v>5.2850193610662774E-2</v>
      </c>
      <c r="AC104" s="244"/>
    </row>
    <row r="105" spans="2:29" x14ac:dyDescent="0.2">
      <c r="B105" s="38" t="s">
        <v>500</v>
      </c>
      <c r="E105" s="244"/>
      <c r="F105" s="244"/>
      <c r="G105" s="244"/>
      <c r="H105" s="237">
        <f t="shared" si="114"/>
        <v>2.9913884341357371E-2</v>
      </c>
      <c r="I105" s="237">
        <f t="shared" si="113"/>
        <v>3.0383327172863024E-2</v>
      </c>
      <c r="J105" s="237">
        <f t="shared" si="113"/>
        <v>3.2699684670613148E-2</v>
      </c>
      <c r="K105" s="237">
        <f t="shared" si="113"/>
        <v>3.0616926821427515E-2</v>
      </c>
      <c r="L105" s="237">
        <f t="shared" si="113"/>
        <v>2.8933269549011938E-2</v>
      </c>
      <c r="M105" s="237">
        <f t="shared" si="113"/>
        <v>2.9140721537402502E-2</v>
      </c>
      <c r="N105" s="237">
        <f t="shared" si="113"/>
        <v>2.1924640691753098E-2</v>
      </c>
      <c r="O105" s="237">
        <f t="shared" si="113"/>
        <v>2.0536441295089483E-2</v>
      </c>
      <c r="P105" s="237">
        <f t="shared" si="113"/>
        <v>2.0532490178271252E-2</v>
      </c>
      <c r="Q105" s="237">
        <f t="shared" si="113"/>
        <v>1.8633784143720186E-2</v>
      </c>
      <c r="R105" s="237">
        <f t="shared" si="113"/>
        <v>1.9320475169252116E-2</v>
      </c>
      <c r="S105" s="237">
        <f t="shared" si="113"/>
        <v>2.0860078312143326E-2</v>
      </c>
      <c r="T105" s="237">
        <f t="shared" si="113"/>
        <v>2.1586454358501272E-2</v>
      </c>
      <c r="U105" s="237">
        <f t="shared" si="113"/>
        <v>2.3209111650442156E-2</v>
      </c>
      <c r="V105" s="237">
        <f t="shared" si="113"/>
        <v>2.8192776667047156E-2</v>
      </c>
      <c r="W105" s="237">
        <f t="shared" si="113"/>
        <v>3.016480309159526E-2</v>
      </c>
      <c r="X105" s="237">
        <f t="shared" si="113"/>
        <v>3.7809708864248434E-2</v>
      </c>
      <c r="Y105" s="237">
        <f t="shared" si="113"/>
        <v>4.609355371245482E-2</v>
      </c>
      <c r="Z105" s="237">
        <f t="shared" si="113"/>
        <v>4.9367894089984946E-2</v>
      </c>
      <c r="AC105" s="244"/>
    </row>
    <row r="106" spans="2:29" x14ac:dyDescent="0.2">
      <c r="B106" s="30"/>
      <c r="E106" s="244"/>
      <c r="F106" s="244"/>
      <c r="G106" s="244"/>
      <c r="H106" s="244"/>
      <c r="I106" s="244"/>
      <c r="J106" s="244"/>
      <c r="K106" s="244"/>
      <c r="L106" s="244"/>
      <c r="M106" s="244"/>
      <c r="N106" s="244"/>
      <c r="O106" s="244"/>
      <c r="P106" s="244"/>
      <c r="Q106" s="244"/>
      <c r="R106" s="244"/>
      <c r="S106" s="244"/>
      <c r="T106" s="244"/>
      <c r="U106" s="244"/>
      <c r="V106" s="244"/>
      <c r="W106" s="244"/>
      <c r="X106" s="244"/>
      <c r="Y106" s="244"/>
      <c r="Z106" s="244"/>
      <c r="AC106" s="244"/>
    </row>
    <row r="107" spans="2:29" x14ac:dyDescent="0.2">
      <c r="B107" s="19" t="s">
        <v>517</v>
      </c>
      <c r="E107" s="244"/>
      <c r="F107" s="244"/>
      <c r="G107" s="244"/>
      <c r="H107" s="244"/>
      <c r="I107" s="244"/>
      <c r="J107" s="244"/>
      <c r="K107" s="244"/>
      <c r="L107" s="244"/>
      <c r="M107" s="244"/>
      <c r="N107" s="244"/>
      <c r="O107" s="244"/>
      <c r="P107" s="244"/>
      <c r="Q107" s="244"/>
      <c r="R107" s="244"/>
      <c r="S107" s="244"/>
      <c r="T107" s="244"/>
      <c r="U107" s="244"/>
      <c r="V107" s="244"/>
      <c r="W107" s="244"/>
      <c r="X107" s="244"/>
      <c r="Y107" s="244"/>
      <c r="Z107" s="244"/>
      <c r="AC107" s="244"/>
    </row>
    <row r="108" spans="2:29" x14ac:dyDescent="0.2">
      <c r="B108" s="20" t="s">
        <v>498</v>
      </c>
      <c r="E108" s="244"/>
      <c r="F108" s="244"/>
      <c r="G108" s="244"/>
      <c r="H108" s="242">
        <f t="shared" ref="H108:Z108" si="115">+(H105-H104)/(H103-H104)</f>
        <v>4.5656180295857824</v>
      </c>
      <c r="I108" s="242">
        <f t="shared" si="115"/>
        <v>2.869404581938142</v>
      </c>
      <c r="J108" s="242">
        <f t="shared" si="115"/>
        <v>2.6302816528305479</v>
      </c>
      <c r="K108" s="242">
        <f t="shared" si="115"/>
        <v>1.8729693278577302</v>
      </c>
      <c r="L108" s="242">
        <f t="shared" si="115"/>
        <v>1.5060414323490201</v>
      </c>
      <c r="M108" s="242">
        <f t="shared" si="115"/>
        <v>1.3699906776518256</v>
      </c>
      <c r="N108" s="242">
        <f t="shared" si="115"/>
        <v>0.93713270646810065</v>
      </c>
      <c r="O108" s="242">
        <f t="shared" si="115"/>
        <v>0.89799059522129432</v>
      </c>
      <c r="P108" s="242">
        <f t="shared" si="115"/>
        <v>0.94110803860008851</v>
      </c>
      <c r="Q108" s="242">
        <f t="shared" si="115"/>
        <v>0.86796381061948114</v>
      </c>
      <c r="R108" s="242">
        <f t="shared" si="115"/>
        <v>0.90808030821403807</v>
      </c>
      <c r="S108" s="242">
        <f t="shared" si="115"/>
        <v>1.2213239874773651</v>
      </c>
      <c r="T108" s="242">
        <f t="shared" si="115"/>
        <v>0.59832580140282021</v>
      </c>
      <c r="U108" s="242">
        <f t="shared" si="115"/>
        <v>0.76013830115150782</v>
      </c>
      <c r="V108" s="242">
        <f t="shared" si="115"/>
        <v>0.65073780439595508</v>
      </c>
      <c r="W108" s="242">
        <f t="shared" si="115"/>
        <v>0.65987813586870414</v>
      </c>
      <c r="X108" s="242">
        <f t="shared" si="115"/>
        <v>0.45367609800073172</v>
      </c>
      <c r="Y108" s="242">
        <f t="shared" si="115"/>
        <v>0.19890363010755521</v>
      </c>
      <c r="Z108" s="242">
        <f t="shared" si="115"/>
        <v>0.10332058424929845</v>
      </c>
      <c r="AC108" s="244"/>
    </row>
    <row r="109" spans="2:29" ht="13.5" x14ac:dyDescent="0.35">
      <c r="B109" s="20" t="s">
        <v>499</v>
      </c>
      <c r="E109" s="244"/>
      <c r="F109" s="244"/>
      <c r="G109" s="244"/>
      <c r="H109" s="243">
        <f t="shared" ref="H109" si="116">1-H108</f>
        <v>-3.5656180295857824</v>
      </c>
      <c r="I109" s="243">
        <f t="shared" ref="I109" si="117">1-I108</f>
        <v>-1.869404581938142</v>
      </c>
      <c r="J109" s="243">
        <f t="shared" ref="J109" si="118">1-J108</f>
        <v>-1.6302816528305479</v>
      </c>
      <c r="K109" s="243">
        <f t="shared" ref="K109" si="119">1-K108</f>
        <v>-0.87296932785773018</v>
      </c>
      <c r="L109" s="243">
        <f t="shared" ref="L109" si="120">1-L108</f>
        <v>-0.5060414323490201</v>
      </c>
      <c r="M109" s="243">
        <f t="shared" ref="M109" si="121">1-M108</f>
        <v>-0.36999067765182558</v>
      </c>
      <c r="N109" s="243">
        <f t="shared" ref="N109" si="122">1-N108</f>
        <v>6.2867293531899349E-2</v>
      </c>
      <c r="O109" s="243">
        <f t="shared" ref="O109" si="123">1-O108</f>
        <v>0.10200940477870568</v>
      </c>
      <c r="P109" s="243">
        <f t="shared" ref="P109" si="124">1-P108</f>
        <v>5.8891961399911485E-2</v>
      </c>
      <c r="Q109" s="243">
        <f t="shared" ref="Q109" si="125">1-Q108</f>
        <v>0.13203618938051886</v>
      </c>
      <c r="R109" s="243">
        <f t="shared" ref="R109" si="126">1-R108</f>
        <v>9.1919691785961932E-2</v>
      </c>
      <c r="S109" s="243">
        <f t="shared" ref="S109" si="127">1-S108</f>
        <v>-0.22132398747736515</v>
      </c>
      <c r="T109" s="243">
        <f t="shared" ref="T109" si="128">1-T108</f>
        <v>0.40167419859717979</v>
      </c>
      <c r="U109" s="243">
        <f t="shared" ref="U109" si="129">1-U108</f>
        <v>0.23986169884849218</v>
      </c>
      <c r="V109" s="243">
        <f t="shared" ref="V109" si="130">1-V108</f>
        <v>0.34926219560404492</v>
      </c>
      <c r="W109" s="243">
        <f t="shared" ref="W109" si="131">1-W108</f>
        <v>0.34012186413129586</v>
      </c>
      <c r="X109" s="243">
        <f t="shared" ref="X109" si="132">1-X108</f>
        <v>0.54632390199926828</v>
      </c>
      <c r="Y109" s="243">
        <f t="shared" ref="Y109" si="133">1-Y108</f>
        <v>0.80109636989244482</v>
      </c>
      <c r="Z109" s="246">
        <f t="shared" ref="Z109" si="134">1-Z108</f>
        <v>0.89667941575070154</v>
      </c>
      <c r="AC109" s="244"/>
    </row>
    <row r="110" spans="2:29" x14ac:dyDescent="0.2">
      <c r="B110" s="30" t="s">
        <v>500</v>
      </c>
      <c r="E110" s="244"/>
      <c r="F110" s="244"/>
      <c r="G110" s="244"/>
      <c r="H110" s="242">
        <f t="shared" ref="H110" si="135">SUM(H108:H109)</f>
        <v>1</v>
      </c>
      <c r="I110" s="242">
        <f t="shared" ref="I110" si="136">SUM(I108:I109)</f>
        <v>1</v>
      </c>
      <c r="J110" s="242">
        <f t="shared" ref="J110" si="137">SUM(J108:J109)</f>
        <v>1</v>
      </c>
      <c r="K110" s="242">
        <f t="shared" ref="K110" si="138">SUM(K108:K109)</f>
        <v>1</v>
      </c>
      <c r="L110" s="242">
        <f t="shared" ref="L110" si="139">SUM(L108:L109)</f>
        <v>1</v>
      </c>
      <c r="M110" s="242">
        <f t="shared" ref="M110" si="140">SUM(M108:M109)</f>
        <v>1</v>
      </c>
      <c r="N110" s="242">
        <f t="shared" ref="N110" si="141">SUM(N108:N109)</f>
        <v>1</v>
      </c>
      <c r="O110" s="242">
        <f t="shared" ref="O110" si="142">SUM(O108:O109)</f>
        <v>1</v>
      </c>
      <c r="P110" s="242">
        <f t="shared" ref="P110" si="143">SUM(P108:P109)</f>
        <v>1</v>
      </c>
      <c r="Q110" s="242">
        <f t="shared" ref="Q110" si="144">SUM(Q108:Q109)</f>
        <v>1</v>
      </c>
      <c r="R110" s="242">
        <f t="shared" ref="R110" si="145">SUM(R108:R109)</f>
        <v>1</v>
      </c>
      <c r="S110" s="242">
        <f t="shared" ref="S110" si="146">SUM(S108:S109)</f>
        <v>1</v>
      </c>
      <c r="T110" s="242">
        <f t="shared" ref="T110" si="147">SUM(T108:T109)</f>
        <v>1</v>
      </c>
      <c r="U110" s="242">
        <f t="shared" ref="U110" si="148">SUM(U108:U109)</f>
        <v>1</v>
      </c>
      <c r="V110" s="242">
        <f t="shared" ref="V110" si="149">SUM(V108:V109)</f>
        <v>1</v>
      </c>
      <c r="W110" s="242">
        <f t="shared" ref="W110" si="150">SUM(W108:W109)</f>
        <v>1</v>
      </c>
      <c r="X110" s="242">
        <f t="shared" ref="X110" si="151">SUM(X108:X109)</f>
        <v>1</v>
      </c>
      <c r="Y110" s="242">
        <f t="shared" ref="Y110" si="152">SUM(Y108:Y109)</f>
        <v>1</v>
      </c>
      <c r="Z110" s="242">
        <f t="shared" ref="Z110" si="153">SUM(Z108:Z109)</f>
        <v>1</v>
      </c>
      <c r="AC110" s="244"/>
    </row>
  </sheetData>
  <phoneticPr fontId="4" type="noConversion"/>
  <pageMargins left="0.3" right="0.3" top="0.3" bottom="0.3" header="0.3" footer="0.3"/>
  <pageSetup scale="70" fitToHeight="2" orientation="landscape" r:id="rId1"/>
  <headerFooter>
    <oddFooter>Page &amp;P of &amp;N</oddFooter>
  </headerFooter>
  <rowBreaks count="1" manualBreakCount="1">
    <brk id="26" min="1" max="25"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37E79-0711-40DB-BFDB-357DA273BC2B}">
  <dimension ref="A2:U25"/>
  <sheetViews>
    <sheetView workbookViewId="0">
      <selection activeCell="Q15" sqref="Q15"/>
    </sheetView>
  </sheetViews>
  <sheetFormatPr defaultRowHeight="11.25" x14ac:dyDescent="0.2"/>
  <cols>
    <col min="1" max="1" width="2.6640625" customWidth="1"/>
    <col min="2" max="2" width="20.6640625" customWidth="1"/>
    <col min="3" max="3" width="2.6640625" customWidth="1"/>
    <col min="18" max="18" width="2.6640625" customWidth="1"/>
  </cols>
  <sheetData>
    <row r="2" spans="1:21" x14ac:dyDescent="0.2">
      <c r="B2" s="1" t="s">
        <v>0</v>
      </c>
      <c r="U2" s="59">
        <f ca="1">TODAY()</f>
        <v>45796</v>
      </c>
    </row>
    <row r="3" spans="1:21" s="2" customFormat="1" x14ac:dyDescent="0.2">
      <c r="B3" s="2" t="s">
        <v>399</v>
      </c>
    </row>
    <row r="4" spans="1:21" x14ac:dyDescent="0.2">
      <c r="B4" s="3" t="s">
        <v>109</v>
      </c>
    </row>
    <row r="6" spans="1:21" x14ac:dyDescent="0.2">
      <c r="D6" s="8" t="s">
        <v>60</v>
      </c>
      <c r="E6" s="9"/>
      <c r="F6" s="9"/>
      <c r="G6" s="9"/>
      <c r="H6" s="9"/>
      <c r="I6" s="9"/>
      <c r="J6" s="9"/>
      <c r="K6" s="9"/>
      <c r="L6" s="9"/>
      <c r="M6" s="9"/>
      <c r="N6" s="9"/>
      <c r="O6" s="9"/>
      <c r="P6" s="9"/>
      <c r="Q6" s="9"/>
      <c r="S6" s="190"/>
      <c r="T6" s="191" t="s">
        <v>402</v>
      </c>
      <c r="U6" s="190"/>
    </row>
    <row r="7" spans="1:21" ht="13.5" x14ac:dyDescent="0.35">
      <c r="D7" s="7" t="s">
        <v>38</v>
      </c>
      <c r="E7" s="7" t="s">
        <v>39</v>
      </c>
      <c r="F7" s="7" t="s">
        <v>40</v>
      </c>
      <c r="G7" s="7" t="s">
        <v>41</v>
      </c>
      <c r="H7" s="7" t="s">
        <v>42</v>
      </c>
      <c r="I7" s="7" t="s">
        <v>43</v>
      </c>
      <c r="J7" s="7" t="s">
        <v>44</v>
      </c>
      <c r="K7" s="7" t="s">
        <v>45</v>
      </c>
      <c r="L7" s="7" t="s">
        <v>46</v>
      </c>
      <c r="M7" s="7" t="s">
        <v>47</v>
      </c>
      <c r="N7" s="7" t="s">
        <v>48</v>
      </c>
      <c r="O7" s="7" t="s">
        <v>241</v>
      </c>
      <c r="P7" s="7" t="s">
        <v>242</v>
      </c>
      <c r="Q7" s="7" t="s">
        <v>243</v>
      </c>
      <c r="S7" s="7" t="s">
        <v>56</v>
      </c>
      <c r="T7" s="7" t="s">
        <v>57</v>
      </c>
      <c r="U7" s="7" t="s">
        <v>260</v>
      </c>
    </row>
    <row r="9" spans="1:21" x14ac:dyDescent="0.2">
      <c r="B9" t="s">
        <v>401</v>
      </c>
      <c r="D9" s="17">
        <f>+IFERROR(D11-D10,"n/a")</f>
        <v>-3174.1470000000008</v>
      </c>
      <c r="E9" s="17">
        <f t="shared" ref="E9:O9" si="0">+IFERROR(E11-E10,"n/a")</f>
        <v>3185.2420000000002</v>
      </c>
      <c r="F9" s="17">
        <f t="shared" si="0"/>
        <v>3260.7249999999985</v>
      </c>
      <c r="G9" s="17">
        <f t="shared" si="0"/>
        <v>8399.6720000000132</v>
      </c>
      <c r="H9" s="17">
        <f t="shared" si="0"/>
        <v>3677.1559999999972</v>
      </c>
      <c r="I9" s="17">
        <f t="shared" si="0"/>
        <v>10541.514999999998</v>
      </c>
      <c r="J9" s="17">
        <f t="shared" si="0"/>
        <v>13456.422766576517</v>
      </c>
      <c r="K9" s="17">
        <f t="shared" si="0"/>
        <v>14260.485285546629</v>
      </c>
      <c r="L9" s="17">
        <f t="shared" si="0"/>
        <v>12967.777262421114</v>
      </c>
      <c r="M9" s="17">
        <f t="shared" si="0"/>
        <v>22445.479656091324</v>
      </c>
      <c r="N9" s="17">
        <f t="shared" si="0"/>
        <v>22541.179448229224</v>
      </c>
      <c r="O9" s="17">
        <f t="shared" si="0"/>
        <v>29909.826200163232</v>
      </c>
      <c r="P9" s="17">
        <f t="shared" ref="P9:Q9" si="1">+IFERROR(P11-P10,"n/a")</f>
        <v>25557.460857539689</v>
      </c>
      <c r="Q9" s="17">
        <f t="shared" si="1"/>
        <v>29969.03377851408</v>
      </c>
    </row>
    <row r="10" spans="1:21" ht="13.5" x14ac:dyDescent="0.35">
      <c r="A10" s="193" t="s">
        <v>406</v>
      </c>
      <c r="B10" t="s">
        <v>400</v>
      </c>
      <c r="D10" s="23">
        <v>0</v>
      </c>
      <c r="E10" s="23">
        <v>0</v>
      </c>
      <c r="F10" s="23">
        <v>0</v>
      </c>
      <c r="G10" s="23">
        <v>0</v>
      </c>
      <c r="H10" s="23">
        <v>0</v>
      </c>
      <c r="I10" s="23">
        <v>0</v>
      </c>
      <c r="J10" s="194">
        <f>+'Historical Financials'!Z475</f>
        <v>-1154.9277665765185</v>
      </c>
      <c r="K10" s="194">
        <f>+'Historical Financials'!AA475</f>
        <v>-2660.3652855466371</v>
      </c>
      <c r="L10" s="194">
        <f>+'Historical Financials'!AB475</f>
        <v>-4505.357262421112</v>
      </c>
      <c r="M10" s="194">
        <f>+'Historical Financials'!AC475</f>
        <v>-7836.0956560913291</v>
      </c>
      <c r="N10" s="194">
        <f>+'Historical Financials'!AD475</f>
        <v>-4415.339448229226</v>
      </c>
      <c r="O10" s="194">
        <f>+'Historical Financials'!AE475</f>
        <v>-5329.9142001632354</v>
      </c>
      <c r="P10" s="194">
        <f>+'Historical Financials'!AF475</f>
        <v>2994.7341424603219</v>
      </c>
      <c r="Q10" s="194">
        <f>+'Historical Financials'!AG475</f>
        <v>5018.2642214859225</v>
      </c>
    </row>
    <row r="11" spans="1:21" x14ac:dyDescent="0.2">
      <c r="B11" s="4" t="s">
        <v>94</v>
      </c>
      <c r="D11" s="160">
        <f>+'Historical Financials'!T61</f>
        <v>-3174.1470000000008</v>
      </c>
      <c r="E11" s="160">
        <f>+'Historical Financials'!U61</f>
        <v>3185.2420000000002</v>
      </c>
      <c r="F11" s="160">
        <f>+'Historical Financials'!V61</f>
        <v>3260.7249999999985</v>
      </c>
      <c r="G11" s="160">
        <f>+'Historical Financials'!W61</f>
        <v>8399.6720000000132</v>
      </c>
      <c r="H11" s="160">
        <f>+'Historical Financials'!X61</f>
        <v>3677.1559999999972</v>
      </c>
      <c r="I11" s="160">
        <f>+'Historical Financials'!Y61</f>
        <v>10541.514999999998</v>
      </c>
      <c r="J11" s="160">
        <f>+'Historical Financials'!Z61</f>
        <v>12301.494999999999</v>
      </c>
      <c r="K11" s="160">
        <f>+'Historical Financials'!AA61</f>
        <v>11600.119999999992</v>
      </c>
      <c r="L11" s="160">
        <f>+'Historical Financials'!AB61</f>
        <v>8462.4200000000019</v>
      </c>
      <c r="M11" s="160">
        <f>+'Historical Financials'!AC61</f>
        <v>14609.383999999995</v>
      </c>
      <c r="N11" s="160">
        <f>+'Historical Financials'!AD61</f>
        <v>18125.839999999997</v>
      </c>
      <c r="O11" s="160">
        <f>+'Historical Financials'!AE61</f>
        <v>24579.911999999997</v>
      </c>
      <c r="P11" s="160">
        <f>+'Historical Financials'!AF61</f>
        <v>28552.195000000011</v>
      </c>
      <c r="Q11" s="160">
        <f>+'Historical Financials'!AG61</f>
        <v>34987.298000000003</v>
      </c>
    </row>
    <row r="12" spans="1:21" s="1" customFormat="1" x14ac:dyDescent="0.2">
      <c r="B12" s="38"/>
      <c r="D12" s="42"/>
      <c r="E12" s="42"/>
      <c r="F12" s="42"/>
      <c r="G12" s="42"/>
      <c r="H12" s="42"/>
      <c r="I12" s="42"/>
      <c r="J12" s="42"/>
      <c r="K12" s="42"/>
      <c r="L12" s="42"/>
      <c r="M12" s="42"/>
      <c r="N12" s="42"/>
      <c r="O12" s="42"/>
      <c r="P12" s="42"/>
      <c r="Q12" s="42"/>
    </row>
    <row r="13" spans="1:21" s="1" customFormat="1" x14ac:dyDescent="0.2">
      <c r="B13" s="19" t="s">
        <v>404</v>
      </c>
      <c r="D13" s="42"/>
      <c r="E13" s="42"/>
      <c r="F13" s="42"/>
      <c r="G13" s="42"/>
      <c r="H13" s="42"/>
      <c r="I13" s="42"/>
      <c r="J13" s="42"/>
      <c r="K13" s="42"/>
      <c r="L13" s="42"/>
      <c r="M13" s="42"/>
      <c r="N13" s="42"/>
      <c r="O13" s="42"/>
      <c r="P13" s="42"/>
      <c r="Q13" s="42"/>
    </row>
    <row r="14" spans="1:21" s="1" customFormat="1" x14ac:dyDescent="0.2">
      <c r="B14" s="20" t="s">
        <v>401</v>
      </c>
      <c r="D14" s="42"/>
      <c r="E14" s="53">
        <f>+E9-D9</f>
        <v>6359.389000000001</v>
      </c>
      <c r="F14" s="53">
        <f t="shared" ref="F14:O14" si="2">+F9-E9</f>
        <v>75.482999999998356</v>
      </c>
      <c r="G14" s="53">
        <f t="shared" si="2"/>
        <v>5138.9470000000147</v>
      </c>
      <c r="H14" s="53">
        <f t="shared" si="2"/>
        <v>-4722.516000000016</v>
      </c>
      <c r="I14" s="53">
        <f t="shared" si="2"/>
        <v>6864.3590000000004</v>
      </c>
      <c r="J14" s="53">
        <f t="shared" si="2"/>
        <v>2914.9077665765199</v>
      </c>
      <c r="K14" s="53">
        <f t="shared" si="2"/>
        <v>804.06251897011134</v>
      </c>
      <c r="L14" s="53">
        <f t="shared" si="2"/>
        <v>-1292.708023125515</v>
      </c>
      <c r="M14" s="53">
        <f t="shared" si="2"/>
        <v>9477.7023936702099</v>
      </c>
      <c r="N14" s="53">
        <f t="shared" si="2"/>
        <v>95.699792137900658</v>
      </c>
      <c r="O14" s="53">
        <f t="shared" si="2"/>
        <v>7368.6467519340076</v>
      </c>
      <c r="P14" s="53">
        <f t="shared" ref="P14:P16" si="3">+P9-O9</f>
        <v>-4352.3653426235433</v>
      </c>
      <c r="Q14" s="53">
        <f t="shared" ref="Q14:Q16" si="4">+Q9-P9</f>
        <v>4411.5729209743913</v>
      </c>
    </row>
    <row r="15" spans="1:21" s="1" customFormat="1" ht="13.5" x14ac:dyDescent="0.35">
      <c r="B15" s="20" t="s">
        <v>400</v>
      </c>
      <c r="D15" s="42"/>
      <c r="E15" s="195">
        <f t="shared" ref="E15:O16" si="5">+E10-D10</f>
        <v>0</v>
      </c>
      <c r="F15" s="195">
        <f t="shared" si="5"/>
        <v>0</v>
      </c>
      <c r="G15" s="195">
        <f t="shared" si="5"/>
        <v>0</v>
      </c>
      <c r="H15" s="195">
        <f t="shared" si="5"/>
        <v>0</v>
      </c>
      <c r="I15" s="195">
        <f t="shared" si="5"/>
        <v>0</v>
      </c>
      <c r="J15" s="195">
        <f t="shared" si="5"/>
        <v>-1154.9277665765185</v>
      </c>
      <c r="K15" s="195">
        <f t="shared" si="5"/>
        <v>-1505.4375189701186</v>
      </c>
      <c r="L15" s="195">
        <f t="shared" si="5"/>
        <v>-1844.9919768744749</v>
      </c>
      <c r="M15" s="195">
        <f t="shared" si="5"/>
        <v>-3330.7383936702172</v>
      </c>
      <c r="N15" s="195">
        <f t="shared" si="5"/>
        <v>3420.7562078621031</v>
      </c>
      <c r="O15" s="195">
        <f t="shared" si="5"/>
        <v>-914.57475193400933</v>
      </c>
      <c r="P15" s="195">
        <f t="shared" si="3"/>
        <v>8324.6483426235573</v>
      </c>
      <c r="Q15" s="195">
        <f t="shared" si="4"/>
        <v>2023.5300790256006</v>
      </c>
    </row>
    <row r="16" spans="1:21" s="1" customFormat="1" x14ac:dyDescent="0.2">
      <c r="B16" s="30" t="s">
        <v>94</v>
      </c>
      <c r="D16" s="42"/>
      <c r="E16" s="53">
        <f t="shared" si="5"/>
        <v>6359.389000000001</v>
      </c>
      <c r="F16" s="53">
        <f t="shared" si="5"/>
        <v>75.482999999998356</v>
      </c>
      <c r="G16" s="53">
        <f t="shared" si="5"/>
        <v>5138.9470000000147</v>
      </c>
      <c r="H16" s="53">
        <f t="shared" si="5"/>
        <v>-4722.516000000016</v>
      </c>
      <c r="I16" s="53">
        <f t="shared" si="5"/>
        <v>6864.3590000000004</v>
      </c>
      <c r="J16" s="53">
        <f t="shared" si="5"/>
        <v>1759.9800000000014</v>
      </c>
      <c r="K16" s="53">
        <f t="shared" si="5"/>
        <v>-701.37500000000728</v>
      </c>
      <c r="L16" s="53">
        <f t="shared" si="5"/>
        <v>-3137.6999999999898</v>
      </c>
      <c r="M16" s="53">
        <f t="shared" si="5"/>
        <v>6146.9639999999927</v>
      </c>
      <c r="N16" s="53">
        <f t="shared" si="5"/>
        <v>3516.4560000000019</v>
      </c>
      <c r="O16" s="53">
        <f t="shared" si="5"/>
        <v>6454.0720000000001</v>
      </c>
      <c r="P16" s="53">
        <f t="shared" si="3"/>
        <v>3972.283000000014</v>
      </c>
      <c r="Q16" s="53">
        <f t="shared" si="4"/>
        <v>6435.1029999999919</v>
      </c>
    </row>
    <row r="17" spans="2:17" s="1" customFormat="1" x14ac:dyDescent="0.2">
      <c r="B17" s="38"/>
      <c r="D17" s="42"/>
      <c r="E17" s="42"/>
      <c r="F17" s="42"/>
      <c r="G17" s="42"/>
      <c r="H17" s="42"/>
      <c r="I17" s="42"/>
      <c r="J17" s="42"/>
      <c r="K17" s="42"/>
      <c r="L17" s="42"/>
      <c r="M17" s="42"/>
      <c r="N17" s="42"/>
      <c r="O17" s="42"/>
      <c r="P17" s="42"/>
      <c r="Q17" s="42"/>
    </row>
    <row r="19" spans="2:17" x14ac:dyDescent="0.2">
      <c r="B19" s="19" t="s">
        <v>66</v>
      </c>
      <c r="I19" s="33"/>
    </row>
    <row r="20" spans="2:17" x14ac:dyDescent="0.2">
      <c r="B20" s="20" t="s">
        <v>403</v>
      </c>
      <c r="D20" s="192">
        <f>+'Historical Financials'!T12</f>
        <v>14111.486000000001</v>
      </c>
      <c r="E20" s="192">
        <f>+'Historical Financials'!U12</f>
        <v>18080.419000000002</v>
      </c>
      <c r="F20" s="192">
        <f>+'Historical Financials'!V12</f>
        <v>17946.495999999999</v>
      </c>
      <c r="G20" s="192">
        <f>+'Historical Financials'!W12</f>
        <v>22425.001000000004</v>
      </c>
      <c r="H20" s="192">
        <f>+'Historical Financials'!X12</f>
        <v>18158.424999999999</v>
      </c>
      <c r="I20" s="192">
        <f>+'Historical Financials'!Y12</f>
        <v>25172.651000000002</v>
      </c>
      <c r="J20" s="192">
        <f>+'Historical Financials'!Z12</f>
        <v>28425.645</v>
      </c>
      <c r="K20" s="192">
        <f>+'Historical Financials'!AA12</f>
        <v>30965.202999999994</v>
      </c>
      <c r="L20" s="192">
        <f>+'Historical Financials'!AB12</f>
        <v>27244.425999999999</v>
      </c>
      <c r="M20" s="192">
        <f>+'Historical Financials'!AC12</f>
        <v>37932.830999999998</v>
      </c>
      <c r="N20" s="192">
        <f>+'Historical Financials'!AD12</f>
        <v>39687.678</v>
      </c>
      <c r="O20" s="192">
        <f>+'Historical Financials'!AE12</f>
        <v>48675.618000000002</v>
      </c>
      <c r="P20" s="192">
        <f>+'Historical Financials'!AF12</f>
        <v>42456.243000000002</v>
      </c>
      <c r="Q20" s="192">
        <f>+'Historical Financials'!AG12</f>
        <v>49115.866000000002</v>
      </c>
    </row>
    <row r="21" spans="2:17" x14ac:dyDescent="0.2">
      <c r="B21" s="30" t="s">
        <v>404</v>
      </c>
      <c r="E21" s="53">
        <f>+IFERROR(E20-D20,"n/a")</f>
        <v>3968.9330000000009</v>
      </c>
      <c r="F21" s="53">
        <f t="shared" ref="F21:O21" si="6">+IFERROR(F20-E20,"n/a")</f>
        <v>-133.9230000000025</v>
      </c>
      <c r="G21" s="53">
        <f t="shared" si="6"/>
        <v>4478.5050000000047</v>
      </c>
      <c r="H21" s="53">
        <f t="shared" si="6"/>
        <v>-4266.5760000000046</v>
      </c>
      <c r="I21" s="280">
        <f t="shared" si="6"/>
        <v>7014.2260000000024</v>
      </c>
      <c r="J21" s="53">
        <f t="shared" si="6"/>
        <v>3252.9939999999988</v>
      </c>
      <c r="K21" s="53">
        <f t="shared" si="6"/>
        <v>2539.5579999999936</v>
      </c>
      <c r="L21" s="53">
        <f t="shared" si="6"/>
        <v>-3720.7769999999946</v>
      </c>
      <c r="M21" s="280">
        <f t="shared" si="6"/>
        <v>10688.404999999999</v>
      </c>
      <c r="N21" s="53">
        <f t="shared" si="6"/>
        <v>1754.8470000000016</v>
      </c>
      <c r="O21" s="53">
        <f t="shared" si="6"/>
        <v>8987.9400000000023</v>
      </c>
      <c r="P21" s="53">
        <f t="shared" ref="P21" si="7">+IFERROR(P20-O20,"n/a")</f>
        <v>-6219.375</v>
      </c>
      <c r="Q21" s="280">
        <f t="shared" ref="Q21" si="8">+IFERROR(Q20-P20,"n/a")</f>
        <v>6659.6229999999996</v>
      </c>
    </row>
    <row r="23" spans="2:17" x14ac:dyDescent="0.2">
      <c r="B23" t="s">
        <v>405</v>
      </c>
      <c r="D23" s="160">
        <f>+-'Historical Financials'!T74</f>
        <v>0</v>
      </c>
      <c r="E23" s="160">
        <f>+-'Historical Financials'!U74</f>
        <v>0</v>
      </c>
      <c r="F23" s="160">
        <f>+-'Historical Financials'!V74</f>
        <v>854.76599999999996</v>
      </c>
      <c r="G23" s="160">
        <f>+-'Historical Financials'!W74</f>
        <v>1078.819</v>
      </c>
      <c r="H23" s="279">
        <f>+-'Historical Financials'!X74</f>
        <v>564.81399999999996</v>
      </c>
      <c r="I23" s="279">
        <f>+-'Historical Financials'!Y74</f>
        <v>1558.0630000000001</v>
      </c>
      <c r="J23" s="160">
        <f>+-'Historical Financials'!Z74</f>
        <v>1537.1769999999999</v>
      </c>
      <c r="K23" s="160">
        <f>+-'Historical Financials'!AA74</f>
        <v>1065.6130000000003</v>
      </c>
      <c r="L23" s="279">
        <f>+-'Historical Financials'!AB74</f>
        <v>1597.7750000000001</v>
      </c>
      <c r="M23" s="279">
        <f>+-'Historical Financials'!AC74</f>
        <v>3158.442</v>
      </c>
      <c r="N23" s="160">
        <f>+-'Historical Financials'!AD74</f>
        <v>3513.48</v>
      </c>
      <c r="O23" s="160">
        <f>+-'Historical Financials'!AE74</f>
        <v>3580.2069999999999</v>
      </c>
      <c r="P23" s="279">
        <f>+-'Historical Financials'!AF74</f>
        <v>5067.7520000000004</v>
      </c>
      <c r="Q23" s="279">
        <f>+-'Historical Financials'!AG74</f>
        <v>5914.6130000000003</v>
      </c>
    </row>
    <row r="24" spans="2:17" x14ac:dyDescent="0.2">
      <c r="B24" s="20" t="s">
        <v>404</v>
      </c>
      <c r="E24" s="53">
        <f>+IFERROR(E23-D23,"n/a")</f>
        <v>0</v>
      </c>
      <c r="F24" s="53">
        <f t="shared" ref="F24" si="9">+IFERROR(F23-E23,"n/a")</f>
        <v>854.76599999999996</v>
      </c>
      <c r="G24" s="53">
        <f t="shared" ref="G24" si="10">+IFERROR(G23-F23,"n/a")</f>
        <v>224.053</v>
      </c>
      <c r="H24" s="53">
        <f t="shared" ref="H24" si="11">+IFERROR(H23-G23,"n/a")</f>
        <v>-514.005</v>
      </c>
      <c r="I24" s="53">
        <f t="shared" ref="I24" si="12">+IFERROR(I23-H23,"n/a")</f>
        <v>993.24900000000014</v>
      </c>
      <c r="J24" s="53">
        <f t="shared" ref="J24" si="13">+IFERROR(J23-I23,"n/a")</f>
        <v>-20.886000000000195</v>
      </c>
      <c r="K24" s="53">
        <f t="shared" ref="K24" si="14">+IFERROR(K23-J23,"n/a")</f>
        <v>-471.56399999999962</v>
      </c>
      <c r="L24" s="53">
        <f t="shared" ref="L24" si="15">+IFERROR(L23-K23,"n/a")</f>
        <v>532.16199999999981</v>
      </c>
      <c r="M24" s="53">
        <f t="shared" ref="M24" si="16">+IFERROR(M23-L23,"n/a")</f>
        <v>1560.6669999999999</v>
      </c>
      <c r="N24" s="53">
        <f t="shared" ref="N24" si="17">+IFERROR(N23-M23,"n/a")</f>
        <v>355.03800000000001</v>
      </c>
      <c r="O24" s="53">
        <f t="shared" ref="O24" si="18">+IFERROR(O23-N23,"n/a")</f>
        <v>66.726999999999862</v>
      </c>
      <c r="P24" s="53">
        <f t="shared" ref="P24" si="19">+IFERROR(P23-O23,"n/a")</f>
        <v>1487.5450000000005</v>
      </c>
      <c r="Q24" s="53">
        <f t="shared" ref="Q24" si="20">+IFERROR(Q23-P23,"n/a")</f>
        <v>846.86099999999988</v>
      </c>
    </row>
    <row r="25" spans="2:17" x14ac:dyDescent="0.2">
      <c r="I25" s="33">
        <f>+I23/H23-1</f>
        <v>1.758541750027443</v>
      </c>
      <c r="M25" s="33">
        <f>+M23/L23-1</f>
        <v>0.97677520301669496</v>
      </c>
      <c r="Q25" s="33">
        <f>+Q23/P23-1</f>
        <v>0.16710782216651476</v>
      </c>
    </row>
  </sheetData>
  <phoneticPr fontId="4"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8610D-2FE4-4D34-9F3A-C3E0E0589A8B}">
  <dimension ref="A1"/>
  <sheetViews>
    <sheetView workbookViewId="0"/>
  </sheetViews>
  <sheetFormatPr defaultRowHeight="11.2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9DA9E-DC09-497D-AABB-300D6ED62567}">
  <dimension ref="B2:B4"/>
  <sheetViews>
    <sheetView workbookViewId="0">
      <selection activeCell="B6" sqref="B6"/>
    </sheetView>
  </sheetViews>
  <sheetFormatPr defaultRowHeight="11.25" x14ac:dyDescent="0.2"/>
  <cols>
    <col min="1" max="1" width="2.6640625" customWidth="1"/>
    <col min="2" max="2" width="20.6640625" customWidth="1"/>
    <col min="3" max="3" width="2.6640625" customWidth="1"/>
  </cols>
  <sheetData>
    <row r="2" spans="2:2" s="1" customFormat="1" x14ac:dyDescent="0.2">
      <c r="B2" s="1" t="s">
        <v>0</v>
      </c>
    </row>
    <row r="3" spans="2:2" s="2" customFormat="1" x14ac:dyDescent="0.2">
      <c r="B3" s="2" t="s">
        <v>407</v>
      </c>
    </row>
    <row r="4" spans="2:2" x14ac:dyDescent="0.2">
      <c r="B4" s="3" t="s">
        <v>109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316F-FFBA-4CF1-A5BB-B3B1D5B3EED6}">
  <sheetPr>
    <pageSetUpPr fitToPage="1"/>
  </sheetPr>
  <dimension ref="B2:H19"/>
  <sheetViews>
    <sheetView showGridLines="0" view="pageBreakPreview" topLeftCell="A12" zoomScaleNormal="115" zoomScaleSheetLayoutView="100" workbookViewId="0">
      <selection activeCell="F12" sqref="F12"/>
    </sheetView>
  </sheetViews>
  <sheetFormatPr defaultRowHeight="11.25" x14ac:dyDescent="0.2"/>
  <cols>
    <col min="1" max="1" width="2.6640625" customWidth="1"/>
    <col min="3" max="3" width="10.1640625" bestFit="1" customWidth="1"/>
    <col min="4" max="5" width="12.6640625" customWidth="1"/>
    <col min="6" max="6" width="200.6640625" customWidth="1"/>
    <col min="7" max="8" width="20.5" bestFit="1" customWidth="1"/>
  </cols>
  <sheetData>
    <row r="2" spans="2:8" s="1" customFormat="1" ht="10.15" x14ac:dyDescent="0.2">
      <c r="B2" s="1" t="s">
        <v>0</v>
      </c>
      <c r="F2" s="59">
        <f ca="1">+TODAY()</f>
        <v>45796</v>
      </c>
    </row>
    <row r="3" spans="2:8" s="2" customFormat="1" ht="10.15" x14ac:dyDescent="0.2">
      <c r="B3" s="2" t="s">
        <v>427</v>
      </c>
    </row>
    <row r="4" spans="2:8" s="1" customFormat="1" ht="10.15" x14ac:dyDescent="0.2">
      <c r="B4" s="3" t="s">
        <v>109</v>
      </c>
    </row>
    <row r="5" spans="2:8" s="1" customFormat="1" ht="10.15" x14ac:dyDescent="0.2"/>
    <row r="6" spans="2:8" s="190" customFormat="1" ht="30.6" x14ac:dyDescent="0.2">
      <c r="B6" s="2" t="s">
        <v>423</v>
      </c>
      <c r="C6" s="199" t="s">
        <v>424</v>
      </c>
      <c r="D6" s="200" t="s">
        <v>94</v>
      </c>
      <c r="E6" s="200" t="s">
        <v>425</v>
      </c>
      <c r="F6" s="2" t="s">
        <v>426</v>
      </c>
    </row>
    <row r="7" spans="2:8" ht="71.45" x14ac:dyDescent="0.2">
      <c r="B7" s="201" t="s">
        <v>39</v>
      </c>
      <c r="C7" s="202">
        <v>44432</v>
      </c>
      <c r="D7" s="203" cm="1">
        <f t="array" ref="D7:D9">+TRANSPOSE('Historical Financials'!U61:W61)</f>
        <v>3185.2420000000002</v>
      </c>
      <c r="E7" s="204" cm="1">
        <f t="array" ref="E7:E9">+TRANSPOSE('Historical Financials'!U63:W63)</f>
        <v>0.13821103851304031</v>
      </c>
      <c r="F7" s="219" t="s">
        <v>433</v>
      </c>
      <c r="G7" s="254">
        <f>+E8-E7</f>
        <v>1.3409983168687828E-2</v>
      </c>
    </row>
    <row r="8" spans="2:8" ht="90" x14ac:dyDescent="0.2">
      <c r="B8" s="201" t="s">
        <v>40</v>
      </c>
      <c r="C8" s="202">
        <v>44526</v>
      </c>
      <c r="D8" s="203">
        <v>3260.7249999999985</v>
      </c>
      <c r="E8" s="204">
        <v>0.15162102168172814</v>
      </c>
      <c r="F8" s="219" t="s">
        <v>434</v>
      </c>
      <c r="G8" s="33">
        <f>+D8/D7-1</f>
        <v>2.3697728461447687E-2</v>
      </c>
    </row>
    <row r="9" spans="2:8" ht="112.5" x14ac:dyDescent="0.2">
      <c r="B9" s="201" t="s">
        <v>41</v>
      </c>
      <c r="C9" s="202">
        <v>44641</v>
      </c>
      <c r="D9" s="203">
        <v>8399.6720000000132</v>
      </c>
      <c r="E9" s="204">
        <v>0.30846148021314973</v>
      </c>
      <c r="F9" s="219" t="s">
        <v>435</v>
      </c>
    </row>
    <row r="10" spans="2:8" ht="78.75" x14ac:dyDescent="0.2">
      <c r="B10" s="201" t="s">
        <v>42</v>
      </c>
      <c r="C10" s="202">
        <v>44708</v>
      </c>
      <c r="D10" s="203">
        <f t="array" ref="D10:D19">TRANSPOSE('Historical Financials'!X61:AG61)</f>
        <v>3677.1559999999972</v>
      </c>
      <c r="E10" s="204">
        <f t="array" ref="E10:E19">+TRANSPOSE('Historical Financials'!X63:AG63)</f>
        <v>0.15454333289806374</v>
      </c>
      <c r="F10" s="219" t="s">
        <v>438</v>
      </c>
    </row>
    <row r="11" spans="2:8" ht="122.45" x14ac:dyDescent="0.2">
      <c r="B11" s="201" t="s">
        <v>43</v>
      </c>
      <c r="C11" s="202">
        <v>44802</v>
      </c>
      <c r="D11" s="203">
        <v>10541.514999999998</v>
      </c>
      <c r="E11" s="204">
        <v>0.33529452440313423</v>
      </c>
      <c r="F11" s="219" t="s">
        <v>432</v>
      </c>
      <c r="G11" s="33">
        <f>+D11/D7-1</f>
        <v>2.3094863749755894</v>
      </c>
    </row>
    <row r="12" spans="2:8" ht="90" x14ac:dyDescent="0.2">
      <c r="B12" s="201" t="s">
        <v>44</v>
      </c>
      <c r="C12" s="202">
        <v>44893</v>
      </c>
      <c r="D12" s="203">
        <v>12301.494999999999</v>
      </c>
      <c r="E12" s="204">
        <v>0.34647897899927854</v>
      </c>
      <c r="F12" s="219" t="s">
        <v>430</v>
      </c>
      <c r="G12" s="227">
        <f>+E13-E12</f>
        <v>-5.5165271233930058E-2</v>
      </c>
      <c r="H12" s="227">
        <f>+E12-E11</f>
        <v>1.1184454596144311E-2</v>
      </c>
    </row>
    <row r="13" spans="2:8" ht="67.5" x14ac:dyDescent="0.2">
      <c r="B13" s="201" t="s">
        <v>45</v>
      </c>
      <c r="C13" s="202">
        <v>45005</v>
      </c>
      <c r="D13" s="203">
        <v>11600.119999999992</v>
      </c>
      <c r="E13" s="204">
        <v>0.29131370776534848</v>
      </c>
      <c r="F13" s="219" t="s">
        <v>428</v>
      </c>
      <c r="G13" s="33">
        <f>+D16/D12-1</f>
        <v>0.47346643639655173</v>
      </c>
    </row>
    <row r="14" spans="2:8" ht="78.75" x14ac:dyDescent="0.2">
      <c r="B14" s="201" t="s">
        <v>46</v>
      </c>
      <c r="C14" s="202">
        <v>45072</v>
      </c>
      <c r="D14" s="203">
        <v>8462.4200000000019</v>
      </c>
      <c r="E14" s="204">
        <v>0.22484280781835986</v>
      </c>
      <c r="F14" s="219" t="s">
        <v>437</v>
      </c>
    </row>
    <row r="15" spans="2:8" ht="90" x14ac:dyDescent="0.2">
      <c r="B15" s="201" t="s">
        <v>47</v>
      </c>
      <c r="C15" s="202">
        <v>45167</v>
      </c>
      <c r="D15" s="203">
        <v>14609.383999999995</v>
      </c>
      <c r="E15" s="204">
        <v>0.27944099040051978</v>
      </c>
      <c r="F15" s="219" t="s">
        <v>429</v>
      </c>
    </row>
    <row r="16" spans="2:8" ht="90" x14ac:dyDescent="0.2">
      <c r="B16" s="201" t="s">
        <v>48</v>
      </c>
      <c r="C16" s="202">
        <v>45258</v>
      </c>
      <c r="D16" s="203">
        <v>18125.839999999997</v>
      </c>
      <c r="E16" s="204">
        <v>0.26330247406714291</v>
      </c>
      <c r="F16" s="219" t="s">
        <v>436</v>
      </c>
    </row>
    <row r="17" spans="2:6" ht="101.25" x14ac:dyDescent="0.2">
      <c r="B17" s="201" t="s">
        <v>241</v>
      </c>
      <c r="C17" s="202">
        <v>45371</v>
      </c>
      <c r="D17" s="203">
        <v>24579.911999999997</v>
      </c>
      <c r="E17" s="204">
        <v>0.27654844167207948</v>
      </c>
      <c r="F17" s="219" t="s">
        <v>431</v>
      </c>
    </row>
    <row r="18" spans="2:6" ht="101.25" x14ac:dyDescent="0.2">
      <c r="B18" s="201" t="s">
        <v>242</v>
      </c>
      <c r="C18" s="202">
        <v>45434</v>
      </c>
      <c r="D18" s="203">
        <v>28552.195000000011</v>
      </c>
      <c r="E18" s="204">
        <v>0.32889664556856102</v>
      </c>
      <c r="F18" s="219" t="s">
        <v>470</v>
      </c>
    </row>
    <row r="19" spans="2:6" ht="191.25" x14ac:dyDescent="0.2">
      <c r="B19" s="201" t="s">
        <v>243</v>
      </c>
      <c r="C19" s="202">
        <v>45530</v>
      </c>
      <c r="D19" s="203">
        <v>34987.298000000003</v>
      </c>
      <c r="E19" s="204">
        <v>0.36047256399786232</v>
      </c>
      <c r="F19" s="219" t="s">
        <v>464</v>
      </c>
    </row>
  </sheetData>
  <phoneticPr fontId="4" type="noConversion"/>
  <pageMargins left="0.3" right="0.3" top="0.3" bottom="0.3" header="0.3" footer="0.3"/>
  <pageSetup scale="68" fitToHeight="2" orientation="landscape" r:id="rId1"/>
  <headerFooter>
    <oddFooter>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E9CAC-F497-4813-B338-6F27FB07A596}">
  <dimension ref="B2:P21"/>
  <sheetViews>
    <sheetView zoomScale="130" zoomScaleNormal="130" workbookViewId="0">
      <selection activeCell="B12" sqref="B12"/>
    </sheetView>
  </sheetViews>
  <sheetFormatPr defaultRowHeight="11.25" x14ac:dyDescent="0.2"/>
  <cols>
    <col min="1" max="1" width="2.83203125" customWidth="1"/>
    <col min="2" max="2" width="31" customWidth="1"/>
  </cols>
  <sheetData>
    <row r="2" spans="2:16" s="1" customFormat="1" x14ac:dyDescent="0.2">
      <c r="B2" s="1" t="s">
        <v>0</v>
      </c>
    </row>
    <row r="3" spans="2:16" s="2" customFormat="1" x14ac:dyDescent="0.2">
      <c r="B3" s="2" t="s">
        <v>471</v>
      </c>
    </row>
    <row r="5" spans="2:16" x14ac:dyDescent="0.2">
      <c r="C5" s="8" t="s">
        <v>60</v>
      </c>
      <c r="D5" s="8"/>
      <c r="E5" s="8"/>
      <c r="F5" s="8"/>
      <c r="G5" s="8"/>
      <c r="H5" s="9"/>
      <c r="I5" s="9"/>
      <c r="J5" s="9"/>
      <c r="K5" s="9"/>
      <c r="L5" s="9"/>
      <c r="M5" s="9"/>
      <c r="N5" s="9"/>
      <c r="O5" s="9"/>
      <c r="P5" s="9"/>
    </row>
    <row r="6" spans="2:16" ht="13.5" x14ac:dyDescent="0.35">
      <c r="C6" s="7" t="s">
        <v>38</v>
      </c>
      <c r="D6" s="7" t="s">
        <v>39</v>
      </c>
      <c r="E6" s="7" t="s">
        <v>40</v>
      </c>
      <c r="F6" s="7" t="s">
        <v>41</v>
      </c>
      <c r="G6" s="7" t="s">
        <v>42</v>
      </c>
      <c r="H6" s="7" t="s">
        <v>43</v>
      </c>
      <c r="I6" s="7" t="s">
        <v>44</v>
      </c>
      <c r="J6" s="7" t="s">
        <v>45</v>
      </c>
      <c r="K6" s="7" t="s">
        <v>46</v>
      </c>
      <c r="L6" s="7" t="s">
        <v>47</v>
      </c>
      <c r="M6" s="7" t="s">
        <v>48</v>
      </c>
      <c r="N6" s="7" t="s">
        <v>241</v>
      </c>
      <c r="O6" s="7" t="s">
        <v>242</v>
      </c>
      <c r="P6" s="7" t="s">
        <v>243</v>
      </c>
    </row>
    <row r="8" spans="2:16" x14ac:dyDescent="0.2">
      <c r="B8" s="6" t="s">
        <v>475</v>
      </c>
    </row>
    <row r="10" spans="2:16" x14ac:dyDescent="0.2">
      <c r="B10" t="s">
        <v>616</v>
      </c>
      <c r="C10" s="223">
        <f t="shared" ref="C10:P10" si="0">+AVERAGE(C11:C12)</f>
        <v>0.59499999999999997</v>
      </c>
      <c r="D10" s="223">
        <f t="shared" si="0"/>
        <v>0.48499999999999999</v>
      </c>
      <c r="E10" s="223">
        <f t="shared" si="0"/>
        <v>0.375</v>
      </c>
      <c r="F10" s="223">
        <f t="shared" si="0"/>
        <v>0.29500000000000004</v>
      </c>
      <c r="G10" s="223">
        <f t="shared" si="0"/>
        <v>-0.10500000000000001</v>
      </c>
      <c r="H10" s="223">
        <f t="shared" si="0"/>
        <v>3.4999999999999996E-2</v>
      </c>
      <c r="I10" s="223">
        <f t="shared" si="0"/>
        <v>0.14500000000000002</v>
      </c>
      <c r="J10" s="223">
        <f t="shared" si="0"/>
        <v>-0.02</v>
      </c>
      <c r="K10" s="223">
        <f t="shared" si="0"/>
        <v>0.26500000000000001</v>
      </c>
      <c r="L10" s="223">
        <f t="shared" si="0"/>
        <v>0.30500000000000005</v>
      </c>
      <c r="M10" s="223">
        <f t="shared" si="0"/>
        <v>0.35499999999999998</v>
      </c>
      <c r="N10" s="223">
        <f t="shared" si="0"/>
        <v>0.36499999999999999</v>
      </c>
      <c r="O10" s="223">
        <f t="shared" si="0"/>
        <v>0.255</v>
      </c>
      <c r="P10" s="223">
        <f t="shared" si="0"/>
        <v>0.26500000000000001</v>
      </c>
    </row>
    <row r="11" spans="2:16" x14ac:dyDescent="0.2">
      <c r="B11" s="20" t="s">
        <v>472</v>
      </c>
      <c r="C11" s="222">
        <v>0.56999999999999995</v>
      </c>
      <c r="D11" s="222">
        <v>0.46</v>
      </c>
      <c r="E11" s="222">
        <v>0.35</v>
      </c>
      <c r="F11" s="222">
        <v>0.27</v>
      </c>
      <c r="G11" s="222">
        <v>-0.13</v>
      </c>
      <c r="H11" s="222">
        <v>0.01</v>
      </c>
      <c r="I11" s="222">
        <v>0.12</v>
      </c>
      <c r="J11" s="222">
        <v>-0.04</v>
      </c>
      <c r="K11" s="222">
        <v>0.24</v>
      </c>
      <c r="L11" s="222">
        <v>0.28000000000000003</v>
      </c>
      <c r="M11" s="222">
        <v>0.33</v>
      </c>
      <c r="N11" s="222">
        <v>0.34</v>
      </c>
      <c r="O11" s="222">
        <v>0.23</v>
      </c>
      <c r="P11" s="222">
        <v>0.24</v>
      </c>
    </row>
    <row r="12" spans="2:16" x14ac:dyDescent="0.2">
      <c r="B12" s="20" t="s">
        <v>473</v>
      </c>
      <c r="C12" s="222">
        <v>0.62</v>
      </c>
      <c r="D12" s="222">
        <v>0.51</v>
      </c>
      <c r="E12" s="222">
        <v>0.4</v>
      </c>
      <c r="F12" s="222">
        <v>0.32</v>
      </c>
      <c r="G12" s="222">
        <v>-0.08</v>
      </c>
      <c r="H12" s="222">
        <v>0.06</v>
      </c>
      <c r="I12" s="222">
        <v>0.17</v>
      </c>
      <c r="J12" s="222">
        <v>0</v>
      </c>
      <c r="K12" s="222">
        <v>0.28999999999999998</v>
      </c>
      <c r="L12" s="222">
        <v>0.33</v>
      </c>
      <c r="M12" s="222">
        <v>0.38</v>
      </c>
      <c r="N12" s="222">
        <v>0.39</v>
      </c>
      <c r="O12" s="222">
        <v>0.28000000000000003</v>
      </c>
      <c r="P12" s="222">
        <v>0.28999999999999998</v>
      </c>
    </row>
    <row r="13" spans="2:16" x14ac:dyDescent="0.2">
      <c r="B13" s="20"/>
      <c r="M13" s="222"/>
      <c r="N13" s="222"/>
      <c r="O13" s="222"/>
      <c r="P13" s="222"/>
    </row>
    <row r="14" spans="2:16" x14ac:dyDescent="0.2">
      <c r="B14" t="s">
        <v>617</v>
      </c>
      <c r="C14" s="223">
        <f t="shared" ref="C14:P14" si="1">+AVERAGE(C15:C16)</f>
        <v>8.4999999999999992E-2</v>
      </c>
      <c r="D14" s="223">
        <f t="shared" si="1"/>
        <v>6.5000000000000002E-2</v>
      </c>
      <c r="E14" s="223">
        <f t="shared" si="1"/>
        <v>7.5000000000000011E-2</v>
      </c>
      <c r="F14" s="223">
        <f t="shared" si="1"/>
        <v>6.5000000000000002E-2</v>
      </c>
      <c r="G14" s="223">
        <f t="shared" si="1"/>
        <v>6.5000000000000002E-2</v>
      </c>
      <c r="H14" s="223">
        <f t="shared" si="1"/>
        <v>6.5000000000000002E-2</v>
      </c>
      <c r="I14" s="223">
        <f t="shared" si="1"/>
        <v>7.5000000000000011E-2</v>
      </c>
      <c r="J14" s="223">
        <f t="shared" si="1"/>
        <v>7.5000000000000011E-2</v>
      </c>
      <c r="K14" s="223">
        <f t="shared" si="1"/>
        <v>8.4999999999999992E-2</v>
      </c>
      <c r="L14" s="223">
        <f t="shared" si="1"/>
        <v>0.115</v>
      </c>
      <c r="M14" s="223">
        <f t="shared" si="1"/>
        <v>0.10500000000000001</v>
      </c>
      <c r="N14" s="223">
        <f t="shared" si="1"/>
        <v>0.13500000000000001</v>
      </c>
      <c r="O14" s="223">
        <f t="shared" si="1"/>
        <v>0.13500000000000001</v>
      </c>
      <c r="P14" s="223">
        <f t="shared" si="1"/>
        <v>0.115</v>
      </c>
    </row>
    <row r="15" spans="2:16" x14ac:dyDescent="0.2">
      <c r="B15" s="20" t="s">
        <v>472</v>
      </c>
      <c r="C15" s="222">
        <v>0.06</v>
      </c>
      <c r="D15" s="222">
        <v>0.04</v>
      </c>
      <c r="E15" s="222">
        <v>0.05</v>
      </c>
      <c r="F15" s="222">
        <v>0.04</v>
      </c>
      <c r="G15" s="222">
        <v>0.04</v>
      </c>
      <c r="H15" s="222">
        <v>0.04</v>
      </c>
      <c r="I15" s="222">
        <v>0.05</v>
      </c>
      <c r="J15" s="222">
        <v>0.05</v>
      </c>
      <c r="K15" s="222">
        <v>0.06</v>
      </c>
      <c r="L15" s="222">
        <v>0.09</v>
      </c>
      <c r="M15" s="222">
        <v>0.08</v>
      </c>
      <c r="N15" s="222">
        <v>0.11</v>
      </c>
      <c r="O15" s="222">
        <v>0.11</v>
      </c>
      <c r="P15" s="222">
        <v>0.09</v>
      </c>
    </row>
    <row r="16" spans="2:16" x14ac:dyDescent="0.2">
      <c r="B16" s="20" t="s">
        <v>473</v>
      </c>
      <c r="C16" s="222">
        <v>0.11</v>
      </c>
      <c r="D16" s="222">
        <v>0.09</v>
      </c>
      <c r="E16" s="222">
        <v>0.1</v>
      </c>
      <c r="F16" s="222">
        <v>0.09</v>
      </c>
      <c r="G16" s="222">
        <v>0.09</v>
      </c>
      <c r="H16" s="222">
        <v>0.09</v>
      </c>
      <c r="I16" s="222">
        <v>0.1</v>
      </c>
      <c r="J16" s="222">
        <v>0.1</v>
      </c>
      <c r="K16" s="222">
        <v>0.11</v>
      </c>
      <c r="L16" s="222">
        <v>0.14000000000000001</v>
      </c>
      <c r="M16" s="222">
        <v>0.13</v>
      </c>
      <c r="N16" s="222">
        <v>0.16</v>
      </c>
      <c r="O16" s="222">
        <v>0.16</v>
      </c>
      <c r="P16" s="222">
        <v>0.14000000000000001</v>
      </c>
    </row>
    <row r="18" spans="2:16" x14ac:dyDescent="0.2">
      <c r="B18" s="6" t="s">
        <v>615</v>
      </c>
    </row>
    <row r="20" spans="2:16" x14ac:dyDescent="0.2">
      <c r="B20" t="s">
        <v>618</v>
      </c>
      <c r="C20" s="221">
        <f>+'Historical Financials'!T245</f>
        <v>1.1000000000000001</v>
      </c>
      <c r="D20" s="221">
        <f>+'Historical Financials'!U245</f>
        <v>0.38938048231495559</v>
      </c>
      <c r="E20" s="221">
        <f>+'Historical Financials'!V245</f>
        <v>0.35738057803149448</v>
      </c>
      <c r="F20" s="221">
        <f>+'Historical Financials'!W245</f>
        <v>0.20750633737572843</v>
      </c>
      <c r="G20" s="221">
        <f>+'Historical Financials'!X245</f>
        <v>0.19099018776633803</v>
      </c>
      <c r="H20" s="221">
        <f>+'Historical Financials'!Y245</f>
        <v>0.14705323370581125</v>
      </c>
      <c r="I20" s="221">
        <f>+'Historical Financials'!Z245</f>
        <v>0.23999999999999977</v>
      </c>
      <c r="J20" s="221">
        <f>+'Historical Financials'!AA245</f>
        <v>0.17999999999999994</v>
      </c>
      <c r="K20" s="221">
        <f>+'Historical Financials'!AB245</f>
        <v>0.25000000000000022</v>
      </c>
      <c r="L20" s="221">
        <f>+'Historical Financials'!AC245</f>
        <v>0.30000000000000004</v>
      </c>
      <c r="M20" s="221">
        <f>+'Historical Financials'!AD245</f>
        <v>0.20999999999999996</v>
      </c>
      <c r="N20" s="221">
        <f>+'Historical Financials'!AE245</f>
        <v>0.25</v>
      </c>
      <c r="O20" s="221">
        <f>+'Historical Financials'!AF245</f>
        <v>0.21000042012060072</v>
      </c>
      <c r="P20" s="221">
        <f>+'Historical Financials'!AG245</f>
        <v>0.20000004331199706</v>
      </c>
    </row>
    <row r="21" spans="2:16" x14ac:dyDescent="0.2">
      <c r="B21" t="s">
        <v>619</v>
      </c>
      <c r="C21" s="223">
        <f>+'Historical Financials'!T323</f>
        <v>5.2521737500299398E-2</v>
      </c>
      <c r="D21" s="223">
        <f>+'Historical Financials'!U323</f>
        <v>5.5727829417572303E-2</v>
      </c>
      <c r="E21" s="223">
        <f>+'Historical Financials'!V323</f>
        <v>5.1547105853767893E-2</v>
      </c>
      <c r="F21" s="223">
        <f>+'Historical Financials'!W323</f>
        <v>5.6142787571689723E-2</v>
      </c>
      <c r="G21" s="223">
        <f>+'Historical Financials'!X323</f>
        <v>5.6452902027095096E-2</v>
      </c>
      <c r="H21" s="223">
        <f>+'Historical Financials'!Y323</f>
        <v>6.9843199642327797E-2</v>
      </c>
      <c r="I21" s="223">
        <f>+'Historical Financials'!Z323</f>
        <v>7.0069408545119991E-2</v>
      </c>
      <c r="J21" s="223">
        <f>+'Historical Financials'!AA323</f>
        <v>6.9491065866950377E-2</v>
      </c>
      <c r="K21" s="223">
        <f>+'Historical Financials'!AB323</f>
        <v>6.8995528452332797E-2</v>
      </c>
      <c r="L21" s="223">
        <f>+'Historical Financials'!AC323</f>
        <v>8.2418700624894259E-2</v>
      </c>
      <c r="M21" s="223">
        <f>+'Historical Financials'!AD323</f>
        <v>8.1323167103180688E-2</v>
      </c>
      <c r="N21" s="223">
        <f>+'Historical Financials'!AE323</f>
        <v>9.0023195166857514E-2</v>
      </c>
      <c r="O21" s="223">
        <f>+'Historical Financials'!AF323</f>
        <v>8.9292294287253507E-2</v>
      </c>
      <c r="P21" s="223">
        <f>+'Historical Financials'!AG323</f>
        <v>9.0015934388028851E-2</v>
      </c>
    </row>
  </sheetData>
  <phoneticPr fontId="4"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84023ab-f3fa-4f75-8c85-aad38775666c" xsi:nil="true"/>
    <lcf76f155ced4ddcb4097134ff3c332f xmlns="700f816a-2d70-48f7-98b4-aa062cbdb16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7B54F80F9326D4AB5846AC1C3383526" ma:contentTypeVersion="18" ma:contentTypeDescription="Create a new document." ma:contentTypeScope="" ma:versionID="a429a91d62400243b3cba045310d747f">
  <xsd:schema xmlns:xsd="http://www.w3.org/2001/XMLSchema" xmlns:xs="http://www.w3.org/2001/XMLSchema" xmlns:p="http://schemas.microsoft.com/office/2006/metadata/properties" xmlns:ns2="700f816a-2d70-48f7-98b4-aa062cbdb163" xmlns:ns3="684023ab-f3fa-4f75-8c85-aad38775666c" targetNamespace="http://schemas.microsoft.com/office/2006/metadata/properties" ma:root="true" ma:fieldsID="9fd41046c3a9fbdd1121c909508001eb" ns2:_="" ns3:_="">
    <xsd:import namespace="700f816a-2d70-48f7-98b4-aa062cbdb163"/>
    <xsd:import namespace="684023ab-f3fa-4f75-8c85-aad38775666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f816a-2d70-48f7-98b4-aa062cbdb1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ceb9303-a7f0-4f8a-8c8a-ed661295ba0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4023ab-f3fa-4f75-8c85-aad38775666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493c1c2-3348-4bb2-9cf0-bfee56a9355e}" ma:internalName="TaxCatchAll" ma:showField="CatchAllData" ma:web="684023ab-f3fa-4f75-8c85-aad38775666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E60ABE-15F1-411D-8E4C-66C9FF3943A1}">
  <ds:schemaRefs>
    <ds:schemaRef ds:uri="http://schemas.openxmlformats.org/package/2006/metadata/core-properties"/>
    <ds:schemaRef ds:uri="http://schemas.microsoft.com/office/2006/documentManagement/types"/>
    <ds:schemaRef ds:uri="http://purl.org/dc/dcmitype/"/>
    <ds:schemaRef ds:uri="http://purl.org/dc/elements/1.1/"/>
    <ds:schemaRef ds:uri="684023ab-f3fa-4f75-8c85-aad38775666c"/>
    <ds:schemaRef ds:uri="http://schemas.microsoft.com/office/infopath/2007/PartnerControls"/>
    <ds:schemaRef ds:uri="http://purl.org/dc/terms/"/>
    <ds:schemaRef ds:uri="http://www.w3.org/XML/1998/namespace"/>
    <ds:schemaRef ds:uri="700f816a-2d70-48f7-98b4-aa062cbdb163"/>
    <ds:schemaRef ds:uri="http://schemas.microsoft.com/office/2006/metadata/properties"/>
  </ds:schemaRefs>
</ds:datastoreItem>
</file>

<file path=customXml/itemProps2.xml><?xml version="1.0" encoding="utf-8"?>
<ds:datastoreItem xmlns:ds="http://schemas.openxmlformats.org/officeDocument/2006/customXml" ds:itemID="{6FDB5318-D0A9-461D-A40B-17BFEAEA9E32}">
  <ds:schemaRefs>
    <ds:schemaRef ds:uri="http://schemas.microsoft.com/sharepoint/v3/contenttype/forms"/>
  </ds:schemaRefs>
</ds:datastoreItem>
</file>

<file path=customXml/itemProps3.xml><?xml version="1.0" encoding="utf-8"?>
<ds:datastoreItem xmlns:ds="http://schemas.openxmlformats.org/officeDocument/2006/customXml" ds:itemID="{303786E7-4774-4F65-8979-7197E41BC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0f816a-2d70-48f7-98b4-aa062cbdb163"/>
    <ds:schemaRef ds:uri="684023ab-f3fa-4f75-8c85-aad3877566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9</vt:i4>
      </vt:variant>
    </vt:vector>
  </HeadingPairs>
  <TitlesOfParts>
    <vt:vector size="23" baseType="lpstr">
      <vt:lpstr>Simple Model - Case 1</vt:lpstr>
      <vt:lpstr>TAM_Penetration - Case 1</vt:lpstr>
      <vt:lpstr>Historical Financials</vt:lpstr>
      <vt:lpstr>Temu Ad Spend</vt:lpstr>
      <vt:lpstr>Sheet4</vt:lpstr>
      <vt:lpstr>CRC vs. Consensus</vt:lpstr>
      <vt:lpstr>Variance Analysis</vt:lpstr>
      <vt:lpstr>2023 Cash Analysis</vt:lpstr>
      <vt:lpstr>Offshore Cash_Int Income</vt:lpstr>
      <vt:lpstr>Sheet1</vt:lpstr>
      <vt:lpstr>Sheet9</vt:lpstr>
      <vt:lpstr>Sheet2</vt:lpstr>
      <vt:lpstr>Profit Commentary</vt:lpstr>
      <vt:lpstr>OTR</vt:lpstr>
      <vt:lpstr>'2023 Cash Analysis'!Print_Area</vt:lpstr>
      <vt:lpstr>'CRC vs. Consensus'!Print_Area</vt:lpstr>
      <vt:lpstr>'Historical Financials'!Print_Area</vt:lpstr>
      <vt:lpstr>'Offshore Cash_Int Income'!Print_Area</vt:lpstr>
      <vt:lpstr>'Profit Commentary'!Print_Area</vt:lpstr>
      <vt:lpstr>'Simple Model - Case 1'!Print_Area</vt:lpstr>
      <vt:lpstr>'TAM_Penetration - Case 1'!Print_Area</vt:lpstr>
      <vt:lpstr>'Temu Ad Spend'!Print_Area</vt:lpstr>
      <vt:lpstr>'Historical Financials'!Print_Titles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Nicolau</dc:creator>
  <cp:lastModifiedBy>Alex Nicolau</cp:lastModifiedBy>
  <cp:lastPrinted>2024-09-09T12:59:10Z</cp:lastPrinted>
  <dcterms:created xsi:type="dcterms:W3CDTF">2023-12-12T18:25:46Z</dcterms:created>
  <dcterms:modified xsi:type="dcterms:W3CDTF">2025-05-19T21:52:31Z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0x01010097B54F80F9326D4AB5846AC1C3383526</vt:lpwstr>
  </property>
  <property fmtid="{D5CDD505-2E9C-101B-9397-08002B2CF9AE}" pid="3" name="MediaServiceImageTags">
    <vt:lpwstr/>
  </property>
</Properties>
</file>