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Software - SEMR/Model/"/>
    </mc:Choice>
  </mc:AlternateContent>
  <xr:revisionPtr revIDLastSave="32" documentId="8_{A951200F-CBD4-419B-A087-CF7AF52A5055}" xr6:coauthVersionLast="47" xr6:coauthVersionMax="47" xr10:uidLastSave="{FEE432B2-B6B9-47D4-8652-076D24D04B77}"/>
  <bookViews>
    <workbookView xWindow="28680" yWindow="-120" windowWidth="29040" windowHeight="15840" firstSheet="2" activeTab="2" xr2:uid="{A45C725A-B173-4AE4-97AF-3405CAEC2F8E}"/>
  </bookViews>
  <sheets>
    <sheet name="__snloffice" sheetId="283" state="veryHidden" r:id="rId1"/>
    <sheet name="_CIQHiddenCacheSheet" sheetId="586" state="veryHidden" r:id="rId2"/>
    <sheet name="Simple Model - Case 1" sheetId="3" r:id="rId3"/>
    <sheet name="Historical Financials" sheetId="1" r:id="rId4"/>
    <sheet name="Guidance Analysis" sheetId="27" r:id="rId5"/>
    <sheet name="Guidance" sheetId="282" r:id="rId6"/>
    <sheet name="Sheet3" sheetId="423" r:id="rId7"/>
    <sheet name="Simple Model - Case 2" sheetId="284" r:id="rId8"/>
    <sheet name="Cost Analysis" sheetId="209" r:id="rId9"/>
    <sheet name="Sheet1" sheetId="7" r:id="rId10"/>
    <sheet name="Sheet2" sheetId="34" r:id="rId11"/>
    <sheet name="Performance Analysis" sheetId="6" r:id="rId12"/>
  </sheets>
  <definedNames>
    <definedName name="CIQWBGuid" localSheetId="7" hidden="1">"WOOF Model - 6.17.14.xlsx"</definedName>
    <definedName name="CIQWBGuid" hidden="1">"2741be4b-e8f5-43e0-9797-331cf708dfd0"</definedName>
    <definedName name="CIQWBInfo" hidden="1">"{ ""CIQVersion"":""9.49.2423.4439""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45271.910162037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4">'Guidance Analysis'!$B$2:$AS$45</definedName>
    <definedName name="_xlnm.Print_Area" localSheetId="3">'Historical Financials'!$B$2:$AY$445</definedName>
    <definedName name="_xlnm.Print_Area" localSheetId="2">'Simple Model - Case 1'!$B$2:$T$104</definedName>
    <definedName name="_xlnm.Print_Area" localSheetId="7">'Simple Model - Case 2'!$B$2:$T$90</definedName>
    <definedName name="_xlnm.Print_Titles" localSheetId="3">'Historical Financials'!$2:$9</definedName>
    <definedName name="solver_adj" localSheetId="3" hidden="1">'Historical Financials'!$P$55:$S$55</definedName>
    <definedName name="solver_cvg" localSheetId="3" hidden="1">0.0001</definedName>
    <definedName name="solver_drv" localSheetId="3" hidden="1">2</definedName>
    <definedName name="solver_eng" localSheetId="3" hidden="1">1</definedName>
    <definedName name="solver_est" localSheetId="3" hidden="1">1</definedName>
    <definedName name="solver_itr" localSheetId="3" hidden="1">2147483647</definedName>
    <definedName name="solver_lhs1" localSheetId="3" hidden="1">'Historical Financials'!$T$53</definedName>
    <definedName name="solver_lhs2" localSheetId="3" hidden="1">'Historical Financials'!$U$53</definedName>
    <definedName name="solver_lhs3" localSheetId="3" hidden="1">'Historical Financials'!$V$53</definedName>
    <definedName name="solver_lhs4" localSheetId="3" hidden="1">'Historical Financials'!$W$53</definedName>
    <definedName name="solver_lhs5" localSheetId="3" hidden="1">'Historical Financials'!$X$53</definedName>
    <definedName name="solver_lhs6" localSheetId="3" hidden="1">'Historical Financials'!$Y$53</definedName>
    <definedName name="solver_lhs7" localSheetId="3" hidden="1">'Historical Financials'!$Z$53</definedName>
    <definedName name="solver_lhs8" localSheetId="3" hidden="1">'Historical Financials'!$Z$70</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7</definedName>
    <definedName name="solver_nwt" localSheetId="3" hidden="1">1</definedName>
    <definedName name="solver_opt" localSheetId="3" hidden="1">'Historical Financials'!#REF!</definedName>
    <definedName name="solver_pre" localSheetId="3" hidden="1">0.01</definedName>
    <definedName name="solver_rbv" localSheetId="3" hidden="1">2</definedName>
    <definedName name="solver_rel1" localSheetId="3" hidden="1">2</definedName>
    <definedName name="solver_rel2" localSheetId="3" hidden="1">2</definedName>
    <definedName name="solver_rel3" localSheetId="3" hidden="1">2</definedName>
    <definedName name="solver_rel4" localSheetId="3" hidden="1">2</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hs1" localSheetId="3" hidden="1">'Historical Financials'!$T$65</definedName>
    <definedName name="solver_rhs2" localSheetId="3" hidden="1">'Historical Financials'!$U$65</definedName>
    <definedName name="solver_rhs3" localSheetId="3" hidden="1">'Historical Financials'!$V$65</definedName>
    <definedName name="solver_rhs4" localSheetId="3" hidden="1">'Historical Financials'!$W$65</definedName>
    <definedName name="solver_rhs5" localSheetId="3" hidden="1">'Historical Financials'!$X$65</definedName>
    <definedName name="solver_rhs6" localSheetId="3" hidden="1">'Historical Financials'!$Y$65</definedName>
    <definedName name="solver_rhs7" localSheetId="3" hidden="1">'Historical Financials'!$Z$65</definedName>
    <definedName name="solver_rhs8" localSheetId="3" hidden="1">'Historical Financials'!$Z$65</definedName>
    <definedName name="solver_rlx" localSheetId="3" hidden="1">2</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25.467</definedName>
    <definedName name="solver_ver" localSheetId="3" hidden="1">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253" i="1" l="1" a="1"/>
  <c r="AP253" i="1" l="1"/>
  <c r="U254" i="1" a="1"/>
  <c r="U254" i="1" l="1"/>
  <c r="T254" i="1" a="1"/>
  <c r="T254" i="1" l="1"/>
  <c r="AQ253" i="1" a="1"/>
  <c r="AQ253" i="1" l="1"/>
  <c r="Z254" i="1" a="1"/>
  <c r="Z254" i="1" l="1"/>
  <c r="R254" i="1" a="1"/>
  <c r="R254" i="1" l="1"/>
  <c r="X254" i="1" a="1"/>
  <c r="X254" i="1" l="1"/>
  <c r="Y254" i="1" a="1"/>
  <c r="Y254" i="1" l="1"/>
  <c r="L254" i="1" a="1"/>
  <c r="L254" i="1" l="1"/>
  <c r="AG254" i="1" a="1"/>
  <c r="AG254" i="1" l="1"/>
  <c r="I254" i="1" a="1"/>
  <c r="I254" i="1" l="1"/>
  <c r="AV253" i="1" a="1"/>
  <c r="AV253" i="1" l="1"/>
  <c r="AT253" i="1" a="1"/>
  <c r="AT253" i="1" l="1"/>
  <c r="AF254" i="1" a="1"/>
  <c r="AF254" i="1" l="1"/>
  <c r="E254" i="1" a="1"/>
  <c r="E254" i="1" l="1"/>
  <c r="AU253" i="1" a="1"/>
  <c r="AU253" i="1" l="1"/>
  <c r="AE254" i="1" a="1"/>
  <c r="AE254" i="1" l="1"/>
  <c r="H254" i="1" a="1"/>
  <c r="H254" i="1" l="1"/>
  <c r="AS253" i="1" a="1"/>
  <c r="AS253" i="1" l="1"/>
  <c r="AG253" i="1" a="1"/>
  <c r="AG253" i="1" l="1"/>
  <c r="P254" i="1" a="1"/>
  <c r="P254" i="1" l="1"/>
  <c r="Q254" i="1" a="1"/>
  <c r="Q254" i="1" l="1"/>
  <c r="AF253" i="1" a="1"/>
  <c r="AF253" i="1" l="1"/>
  <c r="W254" i="1" a="1"/>
  <c r="W254" i="1" l="1"/>
  <c r="O254" i="1" a="1"/>
  <c r="O254" i="1" l="1"/>
  <c r="G254" i="1" a="1"/>
  <c r="G254" i="1" l="1"/>
  <c r="V254" i="1" a="1"/>
  <c r="V254" i="1" l="1"/>
  <c r="N254" i="1" a="1"/>
  <c r="N254" i="1" l="1"/>
  <c r="F254" i="1" a="1"/>
  <c r="F254" i="1" l="1"/>
  <c r="AR253" i="1" a="1"/>
  <c r="AR253" i="1" l="1"/>
  <c r="AC254" i="1" a="1"/>
  <c r="AC254" i="1" l="1"/>
  <c r="M254" i="1" a="1"/>
  <c r="M254" i="1" l="1"/>
  <c r="J254" i="1" a="1"/>
  <c r="J254" i="1" l="1"/>
  <c r="AD254" i="1" a="1"/>
  <c r="AD254" i="1" l="1"/>
  <c r="S254" i="1" a="1"/>
  <c r="S254" i="1" l="1"/>
  <c r="K254" i="1" a="1"/>
  <c r="K254" i="1" l="1"/>
  <c r="AW253" i="1" a="1"/>
  <c r="AW253" i="1" l="1"/>
  <c r="AB254" i="1" a="1"/>
  <c r="AB254" i="1" l="1"/>
  <c r="F255" i="1" a="1"/>
  <c r="F255" i="1" l="1"/>
  <c r="AE255" i="1" a="1"/>
  <c r="AE255" i="1" l="1"/>
  <c r="AA254" i="1" a="1"/>
  <c r="AA254" i="1" l="1"/>
  <c r="T255" i="1" a="1"/>
  <c r="T255" i="1" l="1"/>
  <c r="U255" i="1" a="1"/>
  <c r="U255" i="1" l="1"/>
  <c r="AQ254" i="1" a="1"/>
  <c r="AQ254" i="1"/>
  <c r="V255" i="1" a="1"/>
  <c r="V255" i="1"/>
  <c r="AU254" i="1" a="1"/>
  <c r="AU254" i="1"/>
  <c r="Z255" i="1" a="1"/>
  <c r="Z255" i="1"/>
  <c r="J255" i="1" a="1"/>
  <c r="J255" i="1"/>
  <c r="S255" i="1" a="1"/>
  <c r="S255" i="1"/>
  <c r="AS254" i="1" a="1"/>
  <c r="AS254" i="1"/>
  <c r="Y255" i="1" a="1"/>
  <c r="Y255" i="1"/>
  <c r="Q255" i="1" a="1"/>
  <c r="Q255" i="1"/>
  <c r="I255" i="1" a="1"/>
  <c r="I255" i="1"/>
  <c r="M255" i="1" a="1"/>
  <c r="M255" i="1"/>
  <c r="E255" i="1" a="1"/>
  <c r="E255" i="1"/>
  <c r="AD255" i="1" a="1"/>
  <c r="AD255" i="1"/>
  <c r="W255" i="1" a="1"/>
  <c r="W255" i="1"/>
  <c r="AW254" i="1" a="1"/>
  <c r="AW254" i="1"/>
  <c r="AB255" i="1" a="1"/>
  <c r="AB255" i="1"/>
  <c r="L255" i="1" a="1"/>
  <c r="L255" i="1"/>
  <c r="AP254" i="1" a="1"/>
  <c r="AP254" i="1"/>
  <c r="AT254" i="1" a="1"/>
  <c r="AT254" i="1"/>
  <c r="R255" i="1" a="1"/>
  <c r="R255" i="1"/>
  <c r="AV254" i="1" a="1"/>
  <c r="AV254" i="1"/>
  <c r="AA255" i="1" a="1"/>
  <c r="AA255" i="1"/>
  <c r="G255" i="1" a="1"/>
  <c r="G255" i="1"/>
  <c r="X255" i="1" a="1"/>
  <c r="X255" i="1"/>
  <c r="P255" i="1" a="1"/>
  <c r="P255" i="1"/>
  <c r="H255" i="1" a="1"/>
  <c r="H255" i="1"/>
  <c r="N255" i="1" a="1"/>
  <c r="N255" i="1"/>
  <c r="O255" i="1" a="1"/>
  <c r="O255" i="1"/>
  <c r="AC255" i="1" a="1"/>
  <c r="AC255" i="1"/>
  <c r="AR254" i="1" a="1"/>
  <c r="AR254" i="1"/>
  <c r="AV255" i="1" a="1"/>
  <c r="AV255" i="1"/>
  <c r="M256" i="1" a="1"/>
  <c r="M256" i="1"/>
  <c r="K255" i="1" a="1"/>
  <c r="K255" i="1"/>
  <c r="R256" i="1" a="1"/>
  <c r="R256" i="1"/>
  <c r="P256" i="1" a="1"/>
  <c r="P256" i="1"/>
  <c r="AU255" i="1" a="1"/>
  <c r="AU255" i="1"/>
  <c r="AG256" i="1" a="1"/>
  <c r="AG256" i="1"/>
  <c r="AS255" i="1" a="1"/>
  <c r="AS255" i="1"/>
  <c r="AG255" i="1" a="1"/>
  <c r="AG255" i="1"/>
  <c r="X256" i="1" a="1"/>
  <c r="X256" i="1"/>
  <c r="Y256" i="1" a="1"/>
  <c r="Y256" i="1"/>
  <c r="J256" i="1" a="1"/>
  <c r="J256" i="1"/>
  <c r="AP255" i="1" a="1"/>
  <c r="AP255" i="1"/>
  <c r="AE256" i="1" a="1"/>
  <c r="AE256" i="1"/>
  <c r="O256" i="1" a="1"/>
  <c r="O256" i="1"/>
  <c r="AT255" i="1" a="1"/>
  <c r="AT255" i="1"/>
  <c r="W256" i="1" a="1"/>
  <c r="W256" i="1"/>
  <c r="G256" i="1" a="1"/>
  <c r="G256" i="1"/>
  <c r="Q256" i="1" a="1"/>
  <c r="Q256" i="1"/>
  <c r="H256" i="1" a="1"/>
  <c r="H256" i="1"/>
  <c r="I256" i="1" a="1"/>
  <c r="I256" i="1"/>
  <c r="Z256" i="1" a="1"/>
  <c r="Z256" i="1"/>
  <c r="U256" i="1" a="1"/>
  <c r="U256" i="1"/>
  <c r="F256" i="1" a="1"/>
  <c r="F256" i="1"/>
  <c r="AR255" i="1" a="1"/>
  <c r="AR255" i="1"/>
  <c r="AF255" i="1" a="1"/>
  <c r="AF255" i="1"/>
  <c r="AF256" i="1" a="1"/>
  <c r="AF256" i="1"/>
  <c r="AC256" i="1" a="1"/>
  <c r="AC256" i="1"/>
  <c r="AD256" i="1" a="1"/>
  <c r="AD256" i="1"/>
  <c r="V256" i="1" a="1"/>
  <c r="V256" i="1"/>
  <c r="N256" i="1" a="1"/>
  <c r="N256" i="1"/>
  <c r="E256" i="1" a="1"/>
  <c r="E256" i="1"/>
  <c r="T256" i="1" a="1"/>
  <c r="T256" i="1"/>
  <c r="AQ255" i="1" a="1"/>
  <c r="AQ255" i="1"/>
  <c r="AB256" i="1" a="1"/>
  <c r="AB256" i="1"/>
  <c r="S256" i="1" a="1"/>
  <c r="S256" i="1"/>
  <c r="K256" i="1" a="1"/>
  <c r="K256" i="1"/>
  <c r="AW255" i="1" a="1"/>
  <c r="AW255" i="1"/>
  <c r="L256" i="1" a="1"/>
  <c r="L256" i="1"/>
  <c r="X257" i="1" a="1"/>
  <c r="X257" i="1"/>
  <c r="S257" i="1" a="1"/>
  <c r="S257" i="1"/>
  <c r="AA256" i="1" a="1"/>
  <c r="AA256" i="1"/>
  <c r="K257" i="1" a="1"/>
  <c r="K257" i="1"/>
  <c r="AU256" i="1" a="1"/>
  <c r="AU256" i="1"/>
  <c r="R257" i="1" a="1"/>
  <c r="R257" i="1"/>
  <c r="AT256" i="1" a="1"/>
  <c r="AT256" i="1"/>
  <c r="I257" i="1" a="1"/>
  <c r="I257" i="1"/>
  <c r="AD257" i="1" a="1"/>
  <c r="AD257" i="1"/>
  <c r="W257" i="1" a="1"/>
  <c r="W257" i="1"/>
  <c r="Y257" i="1" a="1"/>
  <c r="Y257" i="1"/>
  <c r="AE257" i="1" a="1"/>
  <c r="AE257" i="1"/>
  <c r="G257" i="1" a="1"/>
  <c r="G257" i="1"/>
  <c r="P257" i="1" a="1"/>
  <c r="P257" i="1"/>
  <c r="J257" i="1" a="1"/>
  <c r="J257" i="1"/>
  <c r="AC257" i="1" a="1"/>
  <c r="AC257" i="1"/>
  <c r="M257" i="1" a="1"/>
  <c r="M257" i="1"/>
  <c r="AQ256" i="1" a="1"/>
  <c r="AQ256" i="1"/>
  <c r="N257" i="1" a="1"/>
  <c r="N257" i="1"/>
  <c r="H257" i="1" a="1"/>
  <c r="H257" i="1"/>
  <c r="Q257" i="1" a="1"/>
  <c r="Q257" i="1"/>
  <c r="AV256" i="1" a="1"/>
  <c r="AV256" i="1"/>
  <c r="AW256" i="1" a="1"/>
  <c r="AW256" i="1"/>
  <c r="F257" i="1" a="1"/>
  <c r="F257" i="1"/>
  <c r="AR256" i="1" a="1"/>
  <c r="AR256" i="1"/>
  <c r="O257" i="1" a="1"/>
  <c r="O257" i="1"/>
  <c r="AS256" i="1" a="1"/>
  <c r="AS256" i="1"/>
  <c r="AP256" i="1" a="1"/>
  <c r="AP256" i="1"/>
  <c r="U257" i="1" a="1"/>
  <c r="U257" i="1"/>
  <c r="E257" i="1" a="1"/>
  <c r="E257" i="1"/>
  <c r="V257" i="1" a="1"/>
  <c r="V257" i="1"/>
  <c r="AA257" i="1" a="1"/>
  <c r="AA257" i="1"/>
  <c r="AB257" i="1" a="1"/>
  <c r="AB257" i="1"/>
  <c r="T257" i="1" a="1"/>
  <c r="T257" i="1"/>
  <c r="L257" i="1" a="1"/>
  <c r="L257" i="1"/>
  <c r="AP257" i="1" a="1"/>
  <c r="AP257" i="1"/>
  <c r="AT257" i="1" a="1"/>
  <c r="AT257" i="1"/>
  <c r="Z257" i="1" a="1"/>
  <c r="Z257" i="1"/>
  <c r="AU257" i="1" a="1"/>
  <c r="AU257" i="1"/>
  <c r="AW257" i="1" a="1"/>
  <c r="AW257" i="1"/>
  <c r="AG257" i="1" a="1"/>
  <c r="AG257" i="1"/>
  <c r="AS257" i="1" a="1"/>
  <c r="AS257" i="1"/>
  <c r="AV257" i="1" a="1"/>
  <c r="AV257" i="1"/>
  <c r="AQ257" i="1" a="1"/>
  <c r="AQ257" i="1"/>
  <c r="AR257" i="1" a="1"/>
  <c r="AR257" i="1"/>
  <c r="AF257" i="1" a="1"/>
  <c r="AF257" i="1"/>
  <c r="AO257" i="1" a="1"/>
  <c r="C3" i="7" a="1"/>
  <c r="AI257" i="1" a="1"/>
  <c r="AI257" i="1" l="1"/>
  <c r="C3" i="7"/>
  <c r="AO257" i="1"/>
  <c r="D257" i="1" a="1"/>
  <c r="D257" i="1" l="1"/>
  <c r="AO255" i="1" a="1"/>
  <c r="AI256" i="1" a="1"/>
  <c r="D256" i="1" a="1"/>
  <c r="AO256" i="1" a="1"/>
  <c r="AI255" i="1" a="1"/>
  <c r="AI255" i="1" l="1"/>
  <c r="AO256" i="1"/>
  <c r="D256" i="1"/>
  <c r="AI256" i="1"/>
  <c r="AO255" i="1"/>
  <c r="D255" i="1" a="1"/>
  <c r="D255" i="1" l="1"/>
  <c r="AI254" i="1" a="1"/>
  <c r="AO254" i="1" a="1"/>
  <c r="AI253" i="1" a="1"/>
  <c r="D254" i="1" a="1"/>
  <c r="AO253" i="1" a="1"/>
  <c r="AO253" i="1" l="1"/>
  <c r="D254" i="1"/>
  <c r="AI253" i="1"/>
  <c r="AO254" i="1"/>
  <c r="AI254" i="1"/>
  <c r="Y8" i="6"/>
  <c r="Z8" i="6"/>
  <c r="D9" i="6"/>
  <c r="E9" i="6"/>
  <c r="F9" i="6"/>
  <c r="G9" i="6"/>
  <c r="W15" i="6" s="1"/>
  <c r="H9" i="6"/>
  <c r="I9" i="6"/>
  <c r="N23" i="6" s="1"/>
  <c r="J9" i="6"/>
  <c r="K9" i="6"/>
  <c r="P9" i="6"/>
  <c r="Q9" i="6" s="1"/>
  <c r="X9" i="6"/>
  <c r="AA9" i="6" s="1"/>
  <c r="Y9" i="6"/>
  <c r="Z9" i="6"/>
  <c r="M10" i="6"/>
  <c r="U10" i="6"/>
  <c r="Z10" i="6"/>
  <c r="M11" i="6"/>
  <c r="U11" i="6"/>
  <c r="Y11" i="6"/>
  <c r="Z11" i="6"/>
  <c r="M15" i="6"/>
  <c r="N15" i="6"/>
  <c r="O15" i="6"/>
  <c r="U15" i="6"/>
  <c r="V15" i="6"/>
  <c r="X15" i="6"/>
  <c r="N19" i="6"/>
  <c r="O19" i="6"/>
  <c r="U19" i="6"/>
  <c r="V19" i="6"/>
  <c r="W19" i="6"/>
  <c r="V22" i="6"/>
  <c r="Y22" i="6" s="1"/>
  <c r="W22" i="6"/>
  <c r="Z22" i="6"/>
  <c r="V23" i="6"/>
  <c r="Y23" i="6" s="1"/>
  <c r="W23" i="6"/>
  <c r="Z23" i="6"/>
  <c r="C2" i="34"/>
  <c r="D2" i="34"/>
  <c r="D4" i="34" s="1"/>
  <c r="D5" i="34" s="1"/>
  <c r="E2" i="34"/>
  <c r="F2" i="34"/>
  <c r="G2" i="34"/>
  <c r="G4" i="34" s="1"/>
  <c r="G5" i="34" s="1"/>
  <c r="H2" i="34"/>
  <c r="H4" i="34" s="1"/>
  <c r="I2" i="34"/>
  <c r="I4" i="34" s="1"/>
  <c r="J2" i="34"/>
  <c r="K2" i="34"/>
  <c r="K4" i="34" s="1"/>
  <c r="C4" i="34"/>
  <c r="E4" i="34"/>
  <c r="E5" i="34" s="1"/>
  <c r="F4" i="34"/>
  <c r="F5" i="34" s="1"/>
  <c r="J4" i="34"/>
  <c r="J5" i="34"/>
  <c r="K5" i="34"/>
  <c r="D1" i="7"/>
  <c r="D4" i="7"/>
  <c r="C6" i="7"/>
  <c r="D6" i="7"/>
  <c r="D7" i="7" s="1"/>
  <c r="T2" i="284"/>
  <c r="H6" i="284"/>
  <c r="I6" i="284"/>
  <c r="K57" i="284"/>
  <c r="K55" i="284"/>
  <c r="L55" i="284" s="1"/>
  <c r="M55" i="284" s="1"/>
  <c r="N55" i="284" s="1"/>
  <c r="L57" i="284"/>
  <c r="M57" i="284" s="1"/>
  <c r="O55" i="284"/>
  <c r="P55" i="284" s="1"/>
  <c r="Q55" i="284" s="1"/>
  <c r="R55" i="284" s="1"/>
  <c r="S55" i="284" s="1"/>
  <c r="T55" i="284" s="1"/>
  <c r="E39" i="284"/>
  <c r="F39" i="284" s="1"/>
  <c r="G39" i="284" s="1"/>
  <c r="H39" i="284" s="1"/>
  <c r="I39" i="284" s="1"/>
  <c r="J39" i="284" s="1"/>
  <c r="K39" i="284" s="1"/>
  <c r="L39" i="284" s="1"/>
  <c r="M39" i="284" s="1"/>
  <c r="N39" i="284" s="1"/>
  <c r="O39" i="284" s="1"/>
  <c r="P39" i="284" s="1"/>
  <c r="Q39" i="284" s="1"/>
  <c r="R39" i="284" s="1"/>
  <c r="S39" i="284" s="1"/>
  <c r="T39" i="284" s="1"/>
  <c r="D54" i="284"/>
  <c r="E54" i="284"/>
  <c r="F54" i="284"/>
  <c r="G54" i="284"/>
  <c r="E85" i="284"/>
  <c r="E8" i="423"/>
  <c r="D9" i="423"/>
  <c r="E10" i="423"/>
  <c r="D11" i="423"/>
  <c r="D15" i="423" s="1"/>
  <c r="E15" i="423" s="1"/>
  <c r="E11" i="423"/>
  <c r="E12" i="423"/>
  <c r="E13" i="423"/>
  <c r="D14" i="423"/>
  <c r="D17" i="423"/>
  <c r="AS2" i="27"/>
  <c r="F10" i="27"/>
  <c r="J10" i="27" s="1"/>
  <c r="I10" i="27"/>
  <c r="K10" i="27"/>
  <c r="N10" i="27"/>
  <c r="W10" i="27" s="1"/>
  <c r="Q10" i="27"/>
  <c r="R10" i="27"/>
  <c r="S10" i="27"/>
  <c r="T10" i="27"/>
  <c r="V10" i="27"/>
  <c r="X10" i="27"/>
  <c r="Y10" i="27"/>
  <c r="AP10" i="27"/>
  <c r="AB10" i="27"/>
  <c r="AE10" i="27"/>
  <c r="AI10" i="27" s="1"/>
  <c r="AH10" i="27"/>
  <c r="AJ10" i="27"/>
  <c r="AM10" i="27"/>
  <c r="AO10" i="27"/>
  <c r="AS10" i="27" s="1"/>
  <c r="AQ10" i="27"/>
  <c r="F11" i="27"/>
  <c r="J11" i="27" s="1"/>
  <c r="I11" i="27"/>
  <c r="K11" i="27"/>
  <c r="N11" i="27"/>
  <c r="R11" i="27" s="1"/>
  <c r="Q11" i="27"/>
  <c r="S11" i="27"/>
  <c r="V11" i="27"/>
  <c r="X11" i="27"/>
  <c r="Y11" i="27"/>
  <c r="AP11" i="27"/>
  <c r="AE11" i="27"/>
  <c r="AI11" i="27" s="1"/>
  <c r="AH11" i="27"/>
  <c r="AJ11" i="27"/>
  <c r="AM11" i="27"/>
  <c r="AO11" i="27"/>
  <c r="F12" i="27"/>
  <c r="J12" i="27" s="1"/>
  <c r="I12" i="27"/>
  <c r="K12" i="27"/>
  <c r="N12" i="27"/>
  <c r="R12" i="27" s="1"/>
  <c r="Q12" i="27"/>
  <c r="S12" i="27"/>
  <c r="V12" i="27"/>
  <c r="X12" i="27"/>
  <c r="Y12" i="27"/>
  <c r="AP12" i="27"/>
  <c r="AQ12" i="27" s="1"/>
  <c r="Z12" i="27"/>
  <c r="AB12" i="27"/>
  <c r="AE12" i="27"/>
  <c r="AH12" i="27"/>
  <c r="AJ12" i="27"/>
  <c r="AM12" i="27"/>
  <c r="AO12" i="27"/>
  <c r="F13" i="27"/>
  <c r="I13" i="27"/>
  <c r="J13" i="27"/>
  <c r="K13" i="27"/>
  <c r="N13" i="27"/>
  <c r="Q13" i="27"/>
  <c r="S13" i="27"/>
  <c r="V13" i="27"/>
  <c r="X13" i="27"/>
  <c r="Y13" i="27"/>
  <c r="AP13" i="27"/>
  <c r="AR13" i="27" s="1"/>
  <c r="AB13" i="27"/>
  <c r="AE13" i="27"/>
  <c r="AI13" i="27" s="1"/>
  <c r="AH13" i="27"/>
  <c r="AJ13" i="27"/>
  <c r="AK13" i="27"/>
  <c r="AM13" i="27"/>
  <c r="AN13" i="27"/>
  <c r="AO13" i="27"/>
  <c r="AQ13" i="27"/>
  <c r="F14" i="27"/>
  <c r="J14" i="27" s="1"/>
  <c r="I14" i="27"/>
  <c r="K14" i="27"/>
  <c r="N14" i="27"/>
  <c r="W14" i="27" s="1"/>
  <c r="Q14" i="27"/>
  <c r="R14" i="27"/>
  <c r="S14" i="27"/>
  <c r="T14" i="27"/>
  <c r="V14" i="27"/>
  <c r="X14" i="27"/>
  <c r="Y14" i="27"/>
  <c r="AP14" i="27"/>
  <c r="AB14" i="27"/>
  <c r="AE14" i="27"/>
  <c r="AI14" i="27" s="1"/>
  <c r="AH14" i="27"/>
  <c r="AJ14" i="27"/>
  <c r="AM14" i="27"/>
  <c r="AO14" i="27"/>
  <c r="AS14" i="27" s="1"/>
  <c r="AQ14" i="27"/>
  <c r="F15" i="27"/>
  <c r="J15" i="27" s="1"/>
  <c r="I15" i="27"/>
  <c r="K15" i="27"/>
  <c r="N15" i="27"/>
  <c r="R15" i="27" s="1"/>
  <c r="Q15" i="27"/>
  <c r="S15" i="27"/>
  <c r="V15" i="27"/>
  <c r="X15" i="27"/>
  <c r="Y15" i="27"/>
  <c r="AP15" i="27"/>
  <c r="AE15" i="27"/>
  <c r="AI15" i="27" s="1"/>
  <c r="AH15" i="27"/>
  <c r="AJ15" i="27"/>
  <c r="AM15" i="27"/>
  <c r="AO15" i="27"/>
  <c r="F16" i="27"/>
  <c r="I16" i="27"/>
  <c r="K16" i="27"/>
  <c r="N16" i="27"/>
  <c r="R16" i="27" s="1"/>
  <c r="Q16" i="27"/>
  <c r="S16" i="27"/>
  <c r="V16" i="27"/>
  <c r="X16" i="27"/>
  <c r="Y16" i="27"/>
  <c r="AP16" i="27"/>
  <c r="AQ16" i="27" s="1"/>
  <c r="Z16" i="27"/>
  <c r="AB16" i="27"/>
  <c r="AE16" i="27"/>
  <c r="AH16" i="27"/>
  <c r="AJ16" i="27"/>
  <c r="AM16" i="27"/>
  <c r="AO16" i="27"/>
  <c r="F17" i="27"/>
  <c r="I17" i="27"/>
  <c r="J17" i="27"/>
  <c r="K17" i="27"/>
  <c r="N17" i="27"/>
  <c r="Q17" i="27"/>
  <c r="S17" i="27"/>
  <c r="V17" i="27"/>
  <c r="X17" i="27"/>
  <c r="Y17" i="27"/>
  <c r="AP17" i="27"/>
  <c r="AR17" i="27" s="1"/>
  <c r="AB17" i="27"/>
  <c r="AE17" i="27"/>
  <c r="AN17" i="27" s="1"/>
  <c r="AH17" i="27"/>
  <c r="AJ17" i="27"/>
  <c r="AK17" i="27"/>
  <c r="AM17" i="27"/>
  <c r="AO17" i="27"/>
  <c r="AQ17" i="27"/>
  <c r="F18" i="27"/>
  <c r="J18" i="27" s="1"/>
  <c r="I18" i="27"/>
  <c r="K18" i="27"/>
  <c r="N18" i="27"/>
  <c r="W18" i="27" s="1"/>
  <c r="Q18" i="27"/>
  <c r="R18" i="27"/>
  <c r="S18" i="27"/>
  <c r="T18" i="27"/>
  <c r="V18" i="27"/>
  <c r="X18" i="27"/>
  <c r="Y18" i="27"/>
  <c r="AP18" i="27"/>
  <c r="AB18" i="27"/>
  <c r="AE18" i="27"/>
  <c r="AI18" i="27" s="1"/>
  <c r="AH18" i="27"/>
  <c r="AJ18" i="27"/>
  <c r="AM18" i="27"/>
  <c r="AO18" i="27"/>
  <c r="AS18" i="27" s="1"/>
  <c r="AQ18" i="27"/>
  <c r="F19" i="27"/>
  <c r="J19" i="27" s="1"/>
  <c r="I19" i="27"/>
  <c r="K19" i="27"/>
  <c r="N19" i="27"/>
  <c r="R19" i="27" s="1"/>
  <c r="Q19" i="27"/>
  <c r="S19" i="27"/>
  <c r="V19" i="27"/>
  <c r="X19" i="27"/>
  <c r="Y19" i="27"/>
  <c r="AP19" i="27"/>
  <c r="AE19" i="27"/>
  <c r="AI19" i="27" s="1"/>
  <c r="AH19" i="27"/>
  <c r="AJ19" i="27"/>
  <c r="AM19" i="27"/>
  <c r="AO19" i="27"/>
  <c r="F20" i="27"/>
  <c r="I20" i="27"/>
  <c r="K20" i="27"/>
  <c r="N20" i="27"/>
  <c r="R20" i="27" s="1"/>
  <c r="Q20" i="27"/>
  <c r="S20" i="27"/>
  <c r="V20" i="27"/>
  <c r="X20" i="27"/>
  <c r="Y20" i="27"/>
  <c r="AP20" i="27"/>
  <c r="AQ20" i="27" s="1"/>
  <c r="Z20" i="27"/>
  <c r="AB20" i="27"/>
  <c r="AE20" i="27"/>
  <c r="AH20" i="27"/>
  <c r="AJ20" i="27"/>
  <c r="AM20" i="27"/>
  <c r="AO20" i="27"/>
  <c r="F21" i="27"/>
  <c r="I21" i="27"/>
  <c r="J21" i="27"/>
  <c r="K21" i="27"/>
  <c r="N21" i="27"/>
  <c r="Q21" i="27"/>
  <c r="S21" i="27"/>
  <c r="V21" i="27"/>
  <c r="X21" i="27"/>
  <c r="Y21" i="27"/>
  <c r="AP21" i="27"/>
  <c r="AR21" i="27" s="1"/>
  <c r="AB21" i="27"/>
  <c r="AE21" i="27"/>
  <c r="AN21" i="27" s="1"/>
  <c r="AH21" i="27"/>
  <c r="AJ21" i="27"/>
  <c r="AK21" i="27"/>
  <c r="AM21" i="27"/>
  <c r="AO21" i="27"/>
  <c r="AQ21" i="27"/>
  <c r="F22" i="27"/>
  <c r="I22" i="27"/>
  <c r="K22" i="27"/>
  <c r="M22" i="27"/>
  <c r="Q22" i="27" s="1"/>
  <c r="O22" i="27"/>
  <c r="N22" i="27"/>
  <c r="T22" i="27" s="1"/>
  <c r="R22" i="27"/>
  <c r="S22" i="27"/>
  <c r="W22" i="27"/>
  <c r="AA22" i="27" s="1"/>
  <c r="Z22" i="27"/>
  <c r="AB22" i="27"/>
  <c r="AE22" i="27"/>
  <c r="AH22" i="27"/>
  <c r="AH25" i="27" s="1"/>
  <c r="AI22" i="27"/>
  <c r="AJ22" i="27"/>
  <c r="AM22" i="27"/>
  <c r="AO22" i="27"/>
  <c r="AP22" i="27"/>
  <c r="AS22" i="27" s="1"/>
  <c r="AQ22" i="27"/>
  <c r="F23" i="27"/>
  <c r="J23" i="27" s="1"/>
  <c r="I23" i="27"/>
  <c r="K23" i="27"/>
  <c r="M23" i="27"/>
  <c r="O23" i="27"/>
  <c r="Q23" i="27"/>
  <c r="W23" i="27"/>
  <c r="Z23" i="27"/>
  <c r="AA23" i="27"/>
  <c r="AB23" i="27"/>
  <c r="AE23" i="27"/>
  <c r="AK23" i="27" s="1"/>
  <c r="AH23" i="27"/>
  <c r="AI23" i="27"/>
  <c r="AJ23" i="27"/>
  <c r="AM23" i="27"/>
  <c r="AN23" i="27"/>
  <c r="AR23" i="27" s="1"/>
  <c r="AO23" i="27"/>
  <c r="AP23" i="27"/>
  <c r="AQ23" i="27"/>
  <c r="AS23" i="27"/>
  <c r="F24" i="27"/>
  <c r="I24" i="27"/>
  <c r="J24" i="27"/>
  <c r="K24" i="27"/>
  <c r="K25" i="27" s="1"/>
  <c r="M24" i="27"/>
  <c r="O24" i="27"/>
  <c r="S24" i="27" s="1"/>
  <c r="N24" i="27"/>
  <c r="R24" i="27" s="1"/>
  <c r="Q24" i="27"/>
  <c r="T24" i="27"/>
  <c r="W24" i="27"/>
  <c r="AA24" i="27" s="1"/>
  <c r="Z24" i="27"/>
  <c r="AB24" i="27"/>
  <c r="AE24" i="27"/>
  <c r="AN24" i="27" s="1"/>
  <c r="AH24" i="27"/>
  <c r="AJ24" i="27"/>
  <c r="AK24" i="27"/>
  <c r="AM24" i="27"/>
  <c r="AO24" i="27"/>
  <c r="AP24" i="27"/>
  <c r="AQ24" i="27" s="1"/>
  <c r="AS24" i="27"/>
  <c r="K26" i="27"/>
  <c r="AH26" i="27"/>
  <c r="F29" i="27"/>
  <c r="I29" i="27"/>
  <c r="J29" i="27"/>
  <c r="K29" i="27"/>
  <c r="N29" i="27"/>
  <c r="Q29" i="27"/>
  <c r="R29" i="27"/>
  <c r="S29" i="27"/>
  <c r="T29" i="27"/>
  <c r="V29" i="27"/>
  <c r="W29" i="27"/>
  <c r="X29" i="27"/>
  <c r="Y29" i="27"/>
  <c r="AP29" i="27"/>
  <c r="AE29" i="27"/>
  <c r="AN29" i="27" s="1"/>
  <c r="AH29" i="27"/>
  <c r="AJ29" i="27"/>
  <c r="AK29" i="27"/>
  <c r="AM29" i="27"/>
  <c r="AO29" i="27"/>
  <c r="F30" i="27"/>
  <c r="I30" i="27"/>
  <c r="J30" i="27"/>
  <c r="K30" i="27"/>
  <c r="N30" i="27"/>
  <c r="T30" i="27" s="1"/>
  <c r="Q30" i="27"/>
  <c r="R30" i="27"/>
  <c r="S30" i="27"/>
  <c r="V30" i="27"/>
  <c r="W30" i="27"/>
  <c r="X30" i="27"/>
  <c r="Y30" i="27"/>
  <c r="AP30" i="27"/>
  <c r="Z30" i="27"/>
  <c r="AE30" i="27"/>
  <c r="AI30" i="27" s="1"/>
  <c r="AH30" i="27"/>
  <c r="AJ30" i="27"/>
  <c r="AK30" i="27"/>
  <c r="AM30" i="27"/>
  <c r="AO30" i="27"/>
  <c r="F31" i="27"/>
  <c r="J31" i="27" s="1"/>
  <c r="I31" i="27"/>
  <c r="K31" i="27"/>
  <c r="N31" i="27"/>
  <c r="Q31" i="27"/>
  <c r="R31" i="27"/>
  <c r="S31" i="27"/>
  <c r="T31" i="27"/>
  <c r="V31" i="27"/>
  <c r="W31" i="27"/>
  <c r="X31" i="27"/>
  <c r="Y31" i="27"/>
  <c r="AP31" i="27"/>
  <c r="Z31" i="27" s="1"/>
  <c r="AB31" i="27"/>
  <c r="AE31" i="27"/>
  <c r="AK31" i="27" s="1"/>
  <c r="AH31" i="27"/>
  <c r="AJ31" i="27"/>
  <c r="AM31" i="27"/>
  <c r="AO31" i="27"/>
  <c r="AQ31" i="27"/>
  <c r="F32" i="27"/>
  <c r="I32" i="27"/>
  <c r="J32" i="27"/>
  <c r="K32" i="27"/>
  <c r="N32" i="27"/>
  <c r="T32" i="27" s="1"/>
  <c r="Q32" i="27"/>
  <c r="R32" i="27"/>
  <c r="S32" i="27"/>
  <c r="V32" i="27"/>
  <c r="X32" i="27"/>
  <c r="Y32" i="27"/>
  <c r="AP32" i="27"/>
  <c r="Z32" i="27"/>
  <c r="AE32" i="27"/>
  <c r="AK32" i="27" s="1"/>
  <c r="AH32" i="27"/>
  <c r="AJ32" i="27"/>
  <c r="AM32" i="27"/>
  <c r="AO32" i="27"/>
  <c r="F33" i="27"/>
  <c r="J33" i="27" s="1"/>
  <c r="I33" i="27"/>
  <c r="K33" i="27"/>
  <c r="N33" i="27"/>
  <c r="Q33" i="27"/>
  <c r="R33" i="27"/>
  <c r="S33" i="27"/>
  <c r="T33" i="27"/>
  <c r="V33" i="27"/>
  <c r="W33" i="27"/>
  <c r="X33" i="27"/>
  <c r="Y33" i="27"/>
  <c r="AP33" i="27"/>
  <c r="Z33" i="27" s="1"/>
  <c r="AB33" i="27"/>
  <c r="AE33" i="27"/>
  <c r="AN33" i="27" s="1"/>
  <c r="AH33" i="27"/>
  <c r="AJ33" i="27"/>
  <c r="AK33" i="27"/>
  <c r="AM33" i="27"/>
  <c r="AO33" i="27"/>
  <c r="AQ33" i="27"/>
  <c r="F34" i="27"/>
  <c r="I34" i="27"/>
  <c r="J34" i="27"/>
  <c r="K34" i="27"/>
  <c r="N34" i="27"/>
  <c r="T34" i="27" s="1"/>
  <c r="Q34" i="27"/>
  <c r="R34" i="27"/>
  <c r="S34" i="27"/>
  <c r="V34" i="27"/>
  <c r="X34" i="27"/>
  <c r="Y34" i="27"/>
  <c r="AP34" i="27"/>
  <c r="Z34" i="27"/>
  <c r="AE34" i="27"/>
  <c r="AI34" i="27" s="1"/>
  <c r="AH34" i="27"/>
  <c r="AJ34" i="27"/>
  <c r="AM34" i="27"/>
  <c r="AN34" i="27"/>
  <c r="AR34" i="27" s="1"/>
  <c r="AO34" i="27"/>
  <c r="AQ34" i="27"/>
  <c r="F35" i="27"/>
  <c r="I35" i="27"/>
  <c r="J35" i="27"/>
  <c r="K35" i="27"/>
  <c r="N35" i="27"/>
  <c r="Q35" i="27"/>
  <c r="R35" i="27"/>
  <c r="S35" i="27"/>
  <c r="T35" i="27"/>
  <c r="V35" i="27"/>
  <c r="W35" i="27"/>
  <c r="X35" i="27"/>
  <c r="Y35" i="27"/>
  <c r="AP35" i="27"/>
  <c r="AQ35" i="27" s="1"/>
  <c r="AE35" i="27"/>
  <c r="AH35" i="27"/>
  <c r="AI35" i="27"/>
  <c r="AJ35" i="27"/>
  <c r="AK35" i="27"/>
  <c r="AM35" i="27"/>
  <c r="AN35" i="27"/>
  <c r="AO35" i="27"/>
  <c r="F36" i="27"/>
  <c r="I36" i="27"/>
  <c r="J36" i="27"/>
  <c r="K36" i="27"/>
  <c r="N36" i="27"/>
  <c r="Q36" i="27"/>
  <c r="R36" i="27"/>
  <c r="S36" i="27"/>
  <c r="T36" i="27"/>
  <c r="V36" i="27"/>
  <c r="Z36" i="27" s="1"/>
  <c r="W36" i="27"/>
  <c r="X36" i="27"/>
  <c r="AB36" i="27" s="1"/>
  <c r="Y36" i="27"/>
  <c r="AP36" i="27"/>
  <c r="AA36" i="27"/>
  <c r="AE36" i="27"/>
  <c r="AI36" i="27" s="1"/>
  <c r="AH36" i="27"/>
  <c r="AJ36" i="27"/>
  <c r="AM36" i="27"/>
  <c r="AO36" i="27"/>
  <c r="AS36" i="27" s="1"/>
  <c r="AQ36" i="27"/>
  <c r="F37" i="27"/>
  <c r="J37" i="27" s="1"/>
  <c r="I37" i="27"/>
  <c r="K37" i="27"/>
  <c r="N37" i="27"/>
  <c r="T37" i="27" s="1"/>
  <c r="Q37" i="27"/>
  <c r="R37" i="27"/>
  <c r="S37" i="27"/>
  <c r="V37" i="27"/>
  <c r="W37" i="27"/>
  <c r="X37" i="27"/>
  <c r="Y37" i="27"/>
  <c r="AP37" i="27"/>
  <c r="Z37" i="27" s="1"/>
  <c r="AB37" i="27"/>
  <c r="AE37" i="27"/>
  <c r="AH37" i="27"/>
  <c r="AI37" i="27"/>
  <c r="AJ37" i="27"/>
  <c r="AK37" i="27"/>
  <c r="AM37" i="27"/>
  <c r="AO37" i="27"/>
  <c r="F38" i="27"/>
  <c r="I38" i="27"/>
  <c r="K38" i="27"/>
  <c r="N38" i="27"/>
  <c r="R38" i="27" s="1"/>
  <c r="Q38" i="27"/>
  <c r="S38" i="27"/>
  <c r="V38" i="27"/>
  <c r="Z38" i="27" s="1"/>
  <c r="X38" i="27"/>
  <c r="Y38" i="27"/>
  <c r="AP38" i="27"/>
  <c r="AB38" i="27"/>
  <c r="AE38" i="27"/>
  <c r="AI38" i="27" s="1"/>
  <c r="AH38" i="27"/>
  <c r="AJ38" i="27"/>
  <c r="AM38" i="27"/>
  <c r="AO38" i="27"/>
  <c r="AS38" i="27" s="1"/>
  <c r="AQ38" i="27"/>
  <c r="F39" i="27"/>
  <c r="I39" i="27"/>
  <c r="J39" i="27"/>
  <c r="K39" i="27"/>
  <c r="N39" i="27"/>
  <c r="Q39" i="27"/>
  <c r="S39" i="27"/>
  <c r="V39" i="27"/>
  <c r="X39" i="27"/>
  <c r="Y39" i="27"/>
  <c r="AP39" i="27"/>
  <c r="AQ39" i="27" s="1"/>
  <c r="AE39" i="27"/>
  <c r="AH39" i="27"/>
  <c r="AI39" i="27"/>
  <c r="AJ39" i="27"/>
  <c r="AK39" i="27"/>
  <c r="AM39" i="27"/>
  <c r="AN39" i="27"/>
  <c r="AO39" i="27"/>
  <c r="F40" i="27"/>
  <c r="I40" i="27"/>
  <c r="J40" i="27"/>
  <c r="K40" i="27"/>
  <c r="N40" i="27"/>
  <c r="Q40" i="27"/>
  <c r="R40" i="27"/>
  <c r="S40" i="27"/>
  <c r="T40" i="27"/>
  <c r="V40" i="27"/>
  <c r="Z40" i="27" s="1"/>
  <c r="W40" i="27"/>
  <c r="X40" i="27"/>
  <c r="AB40" i="27" s="1"/>
  <c r="Y40" i="27"/>
  <c r="AP40" i="27"/>
  <c r="AA40" i="27"/>
  <c r="AE40" i="27"/>
  <c r="AI40" i="27" s="1"/>
  <c r="AH40" i="27"/>
  <c r="AJ40" i="27"/>
  <c r="AM40" i="27"/>
  <c r="AO40" i="27"/>
  <c r="AS40" i="27" s="1"/>
  <c r="AQ40" i="27"/>
  <c r="F41" i="27"/>
  <c r="J41" i="27" s="1"/>
  <c r="I41" i="27"/>
  <c r="K41" i="27"/>
  <c r="M41" i="27"/>
  <c r="Q41" i="27" s="1"/>
  <c r="O41" i="27"/>
  <c r="N41" i="27" s="1"/>
  <c r="W41" i="27"/>
  <c r="Z41" i="27"/>
  <c r="AA41" i="27"/>
  <c r="AB41" i="27"/>
  <c r="AE41" i="27"/>
  <c r="AI41" i="27" s="1"/>
  <c r="AH41" i="27"/>
  <c r="AJ41" i="27"/>
  <c r="AK41" i="27"/>
  <c r="AM41" i="27"/>
  <c r="AN41" i="27"/>
  <c r="AO41" i="27"/>
  <c r="AP41" i="27"/>
  <c r="AQ41" i="27" s="1"/>
  <c r="AS41" i="27"/>
  <c r="F42" i="27"/>
  <c r="I42" i="27"/>
  <c r="J42" i="27"/>
  <c r="K42" i="27"/>
  <c r="M42" i="27"/>
  <c r="N42" i="27" s="1"/>
  <c r="O42" i="27"/>
  <c r="S42" i="27" s="1"/>
  <c r="W42" i="27"/>
  <c r="AA42" i="27" s="1"/>
  <c r="Z42" i="27"/>
  <c r="AB42" i="27"/>
  <c r="AE42" i="27"/>
  <c r="AK42" i="27" s="1"/>
  <c r="AH42" i="27"/>
  <c r="AI42" i="27"/>
  <c r="AJ42" i="27"/>
  <c r="AM42" i="27"/>
  <c r="AN42" i="27"/>
  <c r="AR42" i="27" s="1"/>
  <c r="AO42" i="27"/>
  <c r="AP42" i="27"/>
  <c r="AQ42" i="27"/>
  <c r="AS42" i="27"/>
  <c r="F43" i="27"/>
  <c r="J43" i="27" s="1"/>
  <c r="I43" i="27"/>
  <c r="K43" i="27"/>
  <c r="M43" i="27"/>
  <c r="O43" i="27"/>
  <c r="S43" i="27" s="1"/>
  <c r="N43" i="27"/>
  <c r="Q43" i="27"/>
  <c r="W43" i="27"/>
  <c r="Z43" i="27"/>
  <c r="AA43" i="27"/>
  <c r="AB43" i="27"/>
  <c r="AE43" i="27"/>
  <c r="AH43" i="27"/>
  <c r="AJ43" i="27"/>
  <c r="AM43" i="27"/>
  <c r="AO43" i="27"/>
  <c r="AP43" i="27"/>
  <c r="AQ43" i="27" s="1"/>
  <c r="AY2"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I184" i="1" s="1"/>
  <c r="AJ7" i="1"/>
  <c r="AK7" i="1"/>
  <c r="AL7" i="1"/>
  <c r="AM7" i="1"/>
  <c r="AM184" i="1" s="1"/>
  <c r="AP7" i="1"/>
  <c r="AQ7" i="1"/>
  <c r="AR7" i="1"/>
  <c r="AS7" i="1"/>
  <c r="AT7" i="1"/>
  <c r="AU7" i="1"/>
  <c r="AV7" i="1"/>
  <c r="AW7" i="1"/>
  <c r="AX7" i="1"/>
  <c r="AY7" i="1"/>
  <c r="D187" i="1"/>
  <c r="D12" i="1"/>
  <c r="E17" i="1" s="1"/>
  <c r="E187" i="1"/>
  <c r="E12" i="1"/>
  <c r="F187" i="1"/>
  <c r="F12" i="1" s="1"/>
  <c r="G187" i="1"/>
  <c r="G12" i="1" s="1"/>
  <c r="H187" i="1"/>
  <c r="H12" i="1" s="1"/>
  <c r="I187" i="1"/>
  <c r="I12" i="1"/>
  <c r="I13" i="1" s="1"/>
  <c r="J187" i="1"/>
  <c r="J12" i="1"/>
  <c r="K15" i="1" s="1"/>
  <c r="K187" i="1"/>
  <c r="K12" i="1" s="1"/>
  <c r="K13" i="1" s="1"/>
  <c r="L187" i="1"/>
  <c r="L188" i="1" s="1"/>
  <c r="L189" i="1" s="1"/>
  <c r="L14" i="1" s="1"/>
  <c r="L12" i="1"/>
  <c r="M15" i="1" s="1"/>
  <c r="M187" i="1"/>
  <c r="M12" i="1"/>
  <c r="N187" i="1"/>
  <c r="N188" i="1" s="1"/>
  <c r="N189" i="1" s="1"/>
  <c r="O187" i="1"/>
  <c r="O192" i="1" s="1"/>
  <c r="O194" i="1" s="1"/>
  <c r="O18" i="1" s="1"/>
  <c r="P187" i="1"/>
  <c r="D10" i="6" s="1"/>
  <c r="Q187" i="1"/>
  <c r="E10" i="6" s="1"/>
  <c r="Q12" i="1"/>
  <c r="R187" i="1"/>
  <c r="F10" i="6" s="1"/>
  <c r="R12" i="1"/>
  <c r="S187" i="1"/>
  <c r="G10" i="6" s="1"/>
  <c r="T187" i="1"/>
  <c r="H10" i="6" s="1"/>
  <c r="T12" i="1"/>
  <c r="U187" i="1"/>
  <c r="I10" i="6" s="1"/>
  <c r="U12" i="1"/>
  <c r="V187" i="1"/>
  <c r="J10" i="6" s="1"/>
  <c r="P10" i="6" s="1"/>
  <c r="U24" i="6" s="1"/>
  <c r="W187" i="1"/>
  <c r="AA188" i="1" s="1"/>
  <c r="AA189" i="1" s="1"/>
  <c r="AA14" i="1" s="1"/>
  <c r="X187" i="1"/>
  <c r="X12" i="1" s="1"/>
  <c r="Y187" i="1"/>
  <c r="Y12" i="1"/>
  <c r="Y13" i="1" s="1"/>
  <c r="Z187" i="1"/>
  <c r="Z188" i="1" s="1"/>
  <c r="Z189" i="1" s="1"/>
  <c r="Z14" i="1" s="1"/>
  <c r="Z12" i="1"/>
  <c r="AA15" i="1" s="1"/>
  <c r="AA187" i="1"/>
  <c r="AA12" i="1" s="1"/>
  <c r="AB187" i="1"/>
  <c r="AB188" i="1" s="1"/>
  <c r="AB189" i="1" s="1"/>
  <c r="AB14" i="1" s="1"/>
  <c r="AB12" i="1"/>
  <c r="AC15" i="1" s="1"/>
  <c r="AC187" i="1"/>
  <c r="AC12" i="1"/>
  <c r="AD187" i="1"/>
  <c r="AD188" i="1" s="1"/>
  <c r="AD189" i="1" s="1"/>
  <c r="AE187" i="1"/>
  <c r="AF187" i="1"/>
  <c r="AF12" i="1" s="1"/>
  <c r="AG187" i="1"/>
  <c r="AG12" i="1"/>
  <c r="AG15" i="1" s="1"/>
  <c r="AG182" i="1"/>
  <c r="AH167" i="1"/>
  <c r="AH184" i="1"/>
  <c r="AJ184" i="1"/>
  <c r="AK184" i="1"/>
  <c r="AL184" i="1"/>
  <c r="AQ187" i="1"/>
  <c r="AR192" i="1" s="1"/>
  <c r="AQ12" i="1"/>
  <c r="AR187" i="1"/>
  <c r="AR12" i="1" s="1"/>
  <c r="AS275" i="1"/>
  <c r="AS187" i="1" s="1"/>
  <c r="AS12" i="1" s="1"/>
  <c r="AT275" i="1"/>
  <c r="AT187" i="1" s="1"/>
  <c r="AT12" i="1" s="1"/>
  <c r="M13" i="1"/>
  <c r="AC13" i="1"/>
  <c r="AP13" i="1"/>
  <c r="M188" i="1"/>
  <c r="M189" i="1"/>
  <c r="M14" i="1" s="1"/>
  <c r="N14" i="1"/>
  <c r="P188" i="1"/>
  <c r="P189" i="1"/>
  <c r="P14" i="1" s="1"/>
  <c r="Q188" i="1"/>
  <c r="Q189" i="1" s="1"/>
  <c r="Q14" i="1" s="1"/>
  <c r="T188" i="1"/>
  <c r="T189" i="1" s="1"/>
  <c r="T14" i="1" s="1"/>
  <c r="U188" i="1"/>
  <c r="U189" i="1" s="1"/>
  <c r="U14" i="1" s="1"/>
  <c r="X188" i="1"/>
  <c r="X189" i="1"/>
  <c r="X14" i="1" s="1"/>
  <c r="Y188" i="1"/>
  <c r="Y189" i="1"/>
  <c r="Y14" i="1" s="1"/>
  <c r="AC188" i="1"/>
  <c r="AC189" i="1"/>
  <c r="AC14" i="1"/>
  <c r="AD14" i="1"/>
  <c r="AF188" i="1"/>
  <c r="AF189" i="1"/>
  <c r="AF14" i="1" s="1"/>
  <c r="AG188" i="1"/>
  <c r="AG178" i="1"/>
  <c r="AG198" i="1" s="1"/>
  <c r="AG191" i="1" s="1"/>
  <c r="AG16" i="1" s="1"/>
  <c r="AH178" i="1"/>
  <c r="AP14" i="1"/>
  <c r="AR188" i="1"/>
  <c r="AR189" i="1" s="1"/>
  <c r="AR14" i="1" s="1"/>
  <c r="L15" i="1"/>
  <c r="R15" i="1"/>
  <c r="U15" i="1"/>
  <c r="AB15" i="1"/>
  <c r="AP15" i="1"/>
  <c r="L190" i="1"/>
  <c r="L191" i="1" s="1"/>
  <c r="L16" i="1" s="1"/>
  <c r="M190" i="1"/>
  <c r="M191" i="1" s="1"/>
  <c r="M16" i="1" s="1"/>
  <c r="O190" i="1"/>
  <c r="O191" i="1" s="1"/>
  <c r="O16" i="1" s="1"/>
  <c r="Q190" i="1"/>
  <c r="Q191" i="1"/>
  <c r="Q16" i="1" s="1"/>
  <c r="R190" i="1"/>
  <c r="R191" i="1" s="1"/>
  <c r="R16" i="1" s="1"/>
  <c r="U190" i="1"/>
  <c r="U191" i="1" s="1"/>
  <c r="U16" i="1"/>
  <c r="Y190" i="1"/>
  <c r="Y191" i="1" s="1"/>
  <c r="Y16" i="1" s="1"/>
  <c r="Z190" i="1"/>
  <c r="Z191" i="1" s="1"/>
  <c r="Z16" i="1" s="1"/>
  <c r="AA190" i="1"/>
  <c r="AA191" i="1" s="1"/>
  <c r="AA16" i="1" s="1"/>
  <c r="AB190" i="1"/>
  <c r="AB191" i="1" s="1"/>
  <c r="AB16" i="1"/>
  <c r="AC190" i="1"/>
  <c r="AC191" i="1" s="1"/>
  <c r="AC16" i="1" s="1"/>
  <c r="AE190" i="1"/>
  <c r="AE191" i="1" s="1"/>
  <c r="AE16" i="1" s="1"/>
  <c r="AG190" i="1"/>
  <c r="AP16" i="1"/>
  <c r="F17" i="1"/>
  <c r="I17" i="1"/>
  <c r="K17" i="1"/>
  <c r="L17" i="1"/>
  <c r="R17" i="1"/>
  <c r="Y17" i="1"/>
  <c r="AB17" i="1"/>
  <c r="AP17" i="1"/>
  <c r="AQ17" i="1"/>
  <c r="AQ18" i="1" s="1"/>
  <c r="L192" i="1"/>
  <c r="L194" i="1"/>
  <c r="L18" i="1" s="1"/>
  <c r="M192" i="1"/>
  <c r="M194" i="1"/>
  <c r="M18" i="1" s="1"/>
  <c r="Q192" i="1"/>
  <c r="Q194" i="1"/>
  <c r="Q18" i="1" s="1"/>
  <c r="R192" i="1"/>
  <c r="R194" i="1"/>
  <c r="R18" i="1"/>
  <c r="U192" i="1"/>
  <c r="U194" i="1" s="1"/>
  <c r="U18" i="1" s="1"/>
  <c r="V192" i="1"/>
  <c r="V194" i="1" s="1"/>
  <c r="V18" i="1"/>
  <c r="W192" i="1"/>
  <c r="W194" i="1" s="1"/>
  <c r="W18" i="1" s="1"/>
  <c r="X192" i="1"/>
  <c r="X194" i="1" s="1"/>
  <c r="X18" i="1" s="1"/>
  <c r="Y192" i="1"/>
  <c r="Y194" i="1" s="1"/>
  <c r="Y18" i="1" s="1"/>
  <c r="Z192" i="1"/>
  <c r="Z194" i="1" s="1"/>
  <c r="Z18" i="1" s="1"/>
  <c r="AB192" i="1"/>
  <c r="AB194" i="1"/>
  <c r="AB18" i="1" s="1"/>
  <c r="AC192" i="1"/>
  <c r="AC194" i="1"/>
  <c r="AC18" i="1" s="1"/>
  <c r="AE192" i="1"/>
  <c r="AE194" i="1" s="1"/>
  <c r="AE18" i="1" s="1"/>
  <c r="AG192" i="1"/>
  <c r="AG194" i="1"/>
  <c r="AG18" i="1" s="1"/>
  <c r="AP18" i="1"/>
  <c r="AR194" i="1"/>
  <c r="AR18" i="1" s="1"/>
  <c r="AS192" i="1"/>
  <c r="AS194" i="1" s="1"/>
  <c r="AS18" i="1" s="1"/>
  <c r="D231" i="1"/>
  <c r="D229" i="1"/>
  <c r="D232" i="1"/>
  <c r="D156" i="1" s="1"/>
  <c r="E231" i="1"/>
  <c r="E229" i="1"/>
  <c r="F231" i="1"/>
  <c r="F229" i="1"/>
  <c r="F232" i="1" s="1"/>
  <c r="F156" i="1" s="1"/>
  <c r="G231" i="1"/>
  <c r="G229" i="1"/>
  <c r="G232" i="1" s="1"/>
  <c r="G156" i="1"/>
  <c r="G21" i="1" s="1"/>
  <c r="H231" i="1"/>
  <c r="H229" i="1"/>
  <c r="H232" i="1"/>
  <c r="H156" i="1" s="1"/>
  <c r="H21" i="1" s="1"/>
  <c r="I231" i="1"/>
  <c r="I229" i="1"/>
  <c r="I232" i="1"/>
  <c r="I156" i="1"/>
  <c r="I21" i="1" s="1"/>
  <c r="I24" i="1" s="1"/>
  <c r="J231" i="1"/>
  <c r="J229" i="1"/>
  <c r="J232" i="1"/>
  <c r="J156" i="1" s="1"/>
  <c r="J21" i="1" s="1"/>
  <c r="K231" i="1"/>
  <c r="K232" i="1" s="1"/>
  <c r="K229" i="1"/>
  <c r="K156" i="1"/>
  <c r="K157" i="1" s="1"/>
  <c r="K22" i="1" s="1"/>
  <c r="L231" i="1"/>
  <c r="L229" i="1"/>
  <c r="L232" i="1" s="1"/>
  <c r="L156" i="1" s="1"/>
  <c r="L157" i="1" s="1"/>
  <c r="M231" i="1"/>
  <c r="M232" i="1" s="1"/>
  <c r="M229" i="1"/>
  <c r="M156" i="1"/>
  <c r="N231" i="1"/>
  <c r="N229" i="1"/>
  <c r="O21" i="1"/>
  <c r="P21" i="1"/>
  <c r="Q21" i="1"/>
  <c r="R24" i="1" s="1"/>
  <c r="R21" i="1"/>
  <c r="S21" i="1"/>
  <c r="T21" i="1"/>
  <c r="U167" i="1"/>
  <c r="U21" i="1" s="1"/>
  <c r="U26" i="1" s="1"/>
  <c r="AA21" i="1"/>
  <c r="AB21" i="1"/>
  <c r="AC21" i="1"/>
  <c r="AD21" i="1"/>
  <c r="AD24" i="1" s="1"/>
  <c r="AE21" i="1"/>
  <c r="AF21" i="1"/>
  <c r="AG21" i="1"/>
  <c r="AH21" i="1"/>
  <c r="AS156" i="1"/>
  <c r="AS21" i="1"/>
  <c r="AT156" i="1"/>
  <c r="AW21" i="1"/>
  <c r="O157" i="1"/>
  <c r="O22" i="1" s="1"/>
  <c r="S157" i="1"/>
  <c r="T157" i="1"/>
  <c r="T22" i="1"/>
  <c r="U157" i="1"/>
  <c r="U22" i="1" s="1"/>
  <c r="V157" i="1"/>
  <c r="V22" i="1"/>
  <c r="W157" i="1"/>
  <c r="W22" i="1"/>
  <c r="AF22" i="1"/>
  <c r="AU156" i="1"/>
  <c r="AU157" i="1" s="1"/>
  <c r="AU158" i="1" s="1"/>
  <c r="AU23" i="1" s="1"/>
  <c r="AU22" i="1"/>
  <c r="T158" i="1"/>
  <c r="T23" i="1" s="1"/>
  <c r="U158" i="1"/>
  <c r="U23" i="1"/>
  <c r="V158" i="1"/>
  <c r="V23" i="1"/>
  <c r="W158" i="1"/>
  <c r="W23" i="1" s="1"/>
  <c r="AE168" i="1"/>
  <c r="AE169" i="1" s="1"/>
  <c r="AE23" i="1" s="1"/>
  <c r="AF168" i="1"/>
  <c r="AF169" i="1"/>
  <c r="AF23" i="1" s="1"/>
  <c r="AG169" i="1"/>
  <c r="AG23" i="1"/>
  <c r="AL178" i="1"/>
  <c r="AM178" i="1" s="1"/>
  <c r="AY178" i="1" s="1"/>
  <c r="AM179" i="1"/>
  <c r="AV167" i="1"/>
  <c r="AW167" i="1"/>
  <c r="AW168" i="1"/>
  <c r="AW169" i="1" s="1"/>
  <c r="AY179" i="1"/>
  <c r="P24" i="1"/>
  <c r="Q24" i="1"/>
  <c r="U24" i="1"/>
  <c r="AE24" i="1"/>
  <c r="AF24" i="1"/>
  <c r="AG24" i="1"/>
  <c r="P159" i="1"/>
  <c r="P160" i="1"/>
  <c r="P25" i="1"/>
  <c r="Q159" i="1"/>
  <c r="Q160" i="1" s="1"/>
  <c r="Q25" i="1" s="1"/>
  <c r="R159" i="1"/>
  <c r="R160" i="1" s="1"/>
  <c r="R25" i="1" s="1"/>
  <c r="S159" i="1"/>
  <c r="S160" i="1"/>
  <c r="S25" i="1" s="1"/>
  <c r="T159" i="1"/>
  <c r="T160" i="1"/>
  <c r="T25" i="1" s="1"/>
  <c r="U170" i="1"/>
  <c r="U171" i="1" s="1"/>
  <c r="U25" i="1" s="1"/>
  <c r="AB170" i="1"/>
  <c r="AB171" i="1"/>
  <c r="AB25" i="1" s="1"/>
  <c r="AC170" i="1"/>
  <c r="AC171" i="1" s="1"/>
  <c r="AC25" i="1" s="1"/>
  <c r="AD170" i="1"/>
  <c r="AD171" i="1"/>
  <c r="AD25" i="1" s="1"/>
  <c r="AE170" i="1"/>
  <c r="AE171" i="1" s="1"/>
  <c r="AE25" i="1" s="1"/>
  <c r="AF170" i="1"/>
  <c r="AF171" i="1"/>
  <c r="AF25" i="1"/>
  <c r="AG171" i="1"/>
  <c r="AG25" i="1" s="1"/>
  <c r="AT159" i="1"/>
  <c r="AT160" i="1" s="1"/>
  <c r="AT25" i="1" s="1"/>
  <c r="AU159" i="1"/>
  <c r="AU160" i="1" s="1"/>
  <c r="AU25" i="1"/>
  <c r="I26" i="1"/>
  <c r="P26" i="1"/>
  <c r="Q26" i="1"/>
  <c r="T161" i="1"/>
  <c r="H23" i="6" s="1"/>
  <c r="T26" i="1"/>
  <c r="AB26" i="1"/>
  <c r="AC26" i="1"/>
  <c r="AD26" i="1"/>
  <c r="AE26" i="1"/>
  <c r="AF26" i="1"/>
  <c r="AG26" i="1"/>
  <c r="AH26" i="1"/>
  <c r="AU161" i="1"/>
  <c r="AU163" i="1" s="1"/>
  <c r="H161" i="1"/>
  <c r="H162" i="1" s="1"/>
  <c r="H27" i="1" s="1"/>
  <c r="K161" i="1"/>
  <c r="K163" i="1" s="1"/>
  <c r="P161" i="1"/>
  <c r="D23" i="6" s="1"/>
  <c r="Q161" i="1"/>
  <c r="E23" i="6" s="1"/>
  <c r="R161" i="1"/>
  <c r="F23" i="6" s="1"/>
  <c r="S161" i="1"/>
  <c r="G23" i="6" s="1"/>
  <c r="T162" i="1"/>
  <c r="T27" i="1" s="1"/>
  <c r="U161" i="1"/>
  <c r="I23" i="6" s="1"/>
  <c r="U162" i="1"/>
  <c r="U27" i="1" s="1"/>
  <c r="V161" i="1"/>
  <c r="J23" i="6" s="1"/>
  <c r="P23" i="6" s="1"/>
  <c r="W161" i="1"/>
  <c r="X161" i="1"/>
  <c r="X162" i="1" s="1"/>
  <c r="X27" i="1" s="1"/>
  <c r="U172" i="1"/>
  <c r="U174" i="1" s="1"/>
  <c r="U28" i="1" s="1"/>
  <c r="AB172" i="1"/>
  <c r="AC172" i="1"/>
  <c r="AD172" i="1"/>
  <c r="AE172" i="1"/>
  <c r="AE174" i="1" s="1"/>
  <c r="AF172" i="1"/>
  <c r="AJ173" i="1" s="1"/>
  <c r="AJ27" i="1" s="1"/>
  <c r="AG172" i="1"/>
  <c r="AH173" i="1"/>
  <c r="AH27" i="1" s="1"/>
  <c r="AI173" i="1"/>
  <c r="AI27" i="1" s="1"/>
  <c r="AL173" i="1"/>
  <c r="AL27" i="1"/>
  <c r="AM173" i="1"/>
  <c r="AM27" i="1"/>
  <c r="AT161" i="1"/>
  <c r="AV156" i="1"/>
  <c r="AV161" i="1"/>
  <c r="AV163" i="1" s="1"/>
  <c r="AV164" i="1" s="1"/>
  <c r="AV29" i="1" s="1"/>
  <c r="AW172" i="1"/>
  <c r="AW174" i="1" s="1"/>
  <c r="P163" i="1"/>
  <c r="P28" i="1"/>
  <c r="Q163" i="1"/>
  <c r="R163" i="1"/>
  <c r="S163" i="1"/>
  <c r="S28" i="1" s="1"/>
  <c r="T163" i="1"/>
  <c r="T164" i="1" s="1"/>
  <c r="T28" i="1"/>
  <c r="AB174" i="1"/>
  <c r="AB28" i="1" s="1"/>
  <c r="AC174" i="1"/>
  <c r="AC28" i="1" s="1"/>
  <c r="AI174" i="1"/>
  <c r="AM175" i="1" s="1"/>
  <c r="AM29" i="1" s="1"/>
  <c r="AI28" i="1"/>
  <c r="AJ174" i="1"/>
  <c r="AJ28" i="1" s="1"/>
  <c r="AK174" i="1"/>
  <c r="AK28" i="1" s="1"/>
  <c r="AL174" i="1"/>
  <c r="AL28" i="1"/>
  <c r="AM174" i="1"/>
  <c r="AM28" i="1"/>
  <c r="H163" i="1"/>
  <c r="T29" i="1"/>
  <c r="U163" i="1"/>
  <c r="U164" i="1"/>
  <c r="U29" i="1" s="1"/>
  <c r="D278" i="1"/>
  <c r="D31" i="1"/>
  <c r="E278" i="1"/>
  <c r="E31" i="1"/>
  <c r="I32" i="1" s="1"/>
  <c r="F278" i="1"/>
  <c r="F31" i="1" s="1"/>
  <c r="G278" i="1"/>
  <c r="G31" i="1" s="1"/>
  <c r="G33" i="1" s="1"/>
  <c r="H278" i="1"/>
  <c r="H31" i="1" s="1"/>
  <c r="I278" i="1"/>
  <c r="I31" i="1"/>
  <c r="J278" i="1"/>
  <c r="J31" i="1"/>
  <c r="K278" i="1"/>
  <c r="K31" i="1" s="1"/>
  <c r="L278" i="1"/>
  <c r="L31" i="1"/>
  <c r="M278" i="1"/>
  <c r="M31" i="1"/>
  <c r="M33" i="1" s="1"/>
  <c r="N278" i="1"/>
  <c r="N31" i="1" s="1"/>
  <c r="O278" i="1"/>
  <c r="P278" i="1"/>
  <c r="P31" i="1" s="1"/>
  <c r="Q278" i="1"/>
  <c r="Q31" i="1"/>
  <c r="Q32" i="1" s="1"/>
  <c r="R278" i="1"/>
  <c r="R31" i="1"/>
  <c r="S278" i="1"/>
  <c r="S31" i="1" s="1"/>
  <c r="T278" i="1"/>
  <c r="T318" i="1"/>
  <c r="AU318" i="1" s="1"/>
  <c r="U278" i="1"/>
  <c r="U31" i="1" s="1"/>
  <c r="U33" i="1" s="1"/>
  <c r="V278" i="1"/>
  <c r="V31" i="1"/>
  <c r="W278" i="1"/>
  <c r="W318" i="1"/>
  <c r="W31" i="1" s="1"/>
  <c r="X278" i="1"/>
  <c r="X31" i="1" s="1"/>
  <c r="X318" i="1"/>
  <c r="AV318" i="1" s="1"/>
  <c r="Y278" i="1"/>
  <c r="Y31" i="1"/>
  <c r="Y32" i="1" s="1"/>
  <c r="Z278" i="1"/>
  <c r="Z31" i="1"/>
  <c r="AA278" i="1"/>
  <c r="AV278" i="1" s="1"/>
  <c r="AV31" i="1" s="1"/>
  <c r="AB278" i="1"/>
  <c r="AW278" i="1" s="1"/>
  <c r="AC278" i="1"/>
  <c r="AC31" i="1"/>
  <c r="AD278" i="1"/>
  <c r="AD31" i="1"/>
  <c r="AE278" i="1"/>
  <c r="AE31" i="1" s="1"/>
  <c r="AF278" i="1"/>
  <c r="AF31" i="1" s="1"/>
  <c r="AG278" i="1"/>
  <c r="AG31" i="1"/>
  <c r="AQ278" i="1"/>
  <c r="AQ31" i="1"/>
  <c r="AQ33" i="1" s="1"/>
  <c r="AR278" i="1"/>
  <c r="AR31" i="1"/>
  <c r="AR32" i="1" s="1"/>
  <c r="AS311" i="1"/>
  <c r="AS318" i="1"/>
  <c r="AS325" i="1"/>
  <c r="AS332" i="1"/>
  <c r="AT311" i="1"/>
  <c r="AT318" i="1"/>
  <c r="AT325" i="1"/>
  <c r="AT332" i="1"/>
  <c r="AU311" i="1"/>
  <c r="AU325" i="1"/>
  <c r="AU332" i="1"/>
  <c r="AV311" i="1"/>
  <c r="AV325" i="1"/>
  <c r="AV332" i="1"/>
  <c r="AW311" i="1"/>
  <c r="AW318" i="1"/>
  <c r="AW325" i="1"/>
  <c r="AW332" i="1"/>
  <c r="AW31" i="1"/>
  <c r="U32" i="1"/>
  <c r="D33" i="1"/>
  <c r="I33" i="1"/>
  <c r="J33" i="1"/>
  <c r="L33" i="1"/>
  <c r="Q33" i="1"/>
  <c r="R33" i="1"/>
  <c r="Y33" i="1"/>
  <c r="Z33" i="1"/>
  <c r="AG33" i="1"/>
  <c r="D35" i="1"/>
  <c r="D38" i="1" s="1"/>
  <c r="E35" i="1"/>
  <c r="E38" i="1" s="1"/>
  <c r="F35" i="1"/>
  <c r="G35" i="1"/>
  <c r="G38" i="1" s="1"/>
  <c r="H35" i="1"/>
  <c r="I35" i="1"/>
  <c r="J35" i="1"/>
  <c r="K35" i="1"/>
  <c r="L35" i="1"/>
  <c r="M35" i="1"/>
  <c r="M38" i="1" s="1"/>
  <c r="N35" i="1"/>
  <c r="O35" i="1"/>
  <c r="O38" i="1" s="1"/>
  <c r="P35" i="1"/>
  <c r="Q35" i="1"/>
  <c r="R35" i="1"/>
  <c r="S35" i="1"/>
  <c r="T35" i="1"/>
  <c r="T38" i="1" s="1"/>
  <c r="U35" i="1"/>
  <c r="U38" i="1" s="1"/>
  <c r="V35" i="1"/>
  <c r="W35" i="1"/>
  <c r="W38" i="1" s="1"/>
  <c r="X35" i="1"/>
  <c r="Y35" i="1"/>
  <c r="Z35" i="1"/>
  <c r="AA35" i="1"/>
  <c r="AB35" i="1"/>
  <c r="AC35" i="1"/>
  <c r="AC38" i="1" s="1"/>
  <c r="AD35" i="1"/>
  <c r="AE35" i="1"/>
  <c r="AE38" i="1" s="1"/>
  <c r="AF35" i="1"/>
  <c r="AG35" i="1"/>
  <c r="AQ35" i="1"/>
  <c r="AR35" i="1"/>
  <c r="AS280" i="1"/>
  <c r="AS312" i="1"/>
  <c r="AS319" i="1"/>
  <c r="AS326" i="1"/>
  <c r="AS333" i="1"/>
  <c r="AS35" i="1"/>
  <c r="AT280" i="1"/>
  <c r="AT312" i="1"/>
  <c r="AT319" i="1"/>
  <c r="AT35" i="1" s="1"/>
  <c r="AT326" i="1"/>
  <c r="AT333" i="1"/>
  <c r="AU280" i="1"/>
  <c r="AU35" i="1" s="1"/>
  <c r="AU312" i="1"/>
  <c r="AU319" i="1"/>
  <c r="AU326" i="1"/>
  <c r="AU333" i="1"/>
  <c r="AV280" i="1"/>
  <c r="AV35" i="1" s="1"/>
  <c r="AV312" i="1"/>
  <c r="AV319" i="1"/>
  <c r="AV326" i="1"/>
  <c r="AV333" i="1"/>
  <c r="AW280" i="1"/>
  <c r="AW35" i="1" s="1"/>
  <c r="AW312" i="1"/>
  <c r="AW319" i="1"/>
  <c r="AW326" i="1"/>
  <c r="AW333" i="1"/>
  <c r="D36" i="1"/>
  <c r="E36" i="1"/>
  <c r="F36" i="1"/>
  <c r="G36" i="1"/>
  <c r="K44" i="1" s="1"/>
  <c r="H36" i="1"/>
  <c r="I36" i="1"/>
  <c r="I38" i="1" s="1"/>
  <c r="J36" i="1"/>
  <c r="K36" i="1"/>
  <c r="L36" i="1"/>
  <c r="L44" i="1" s="1"/>
  <c r="M36" i="1"/>
  <c r="N36" i="1"/>
  <c r="N44" i="1" s="1"/>
  <c r="O36" i="1"/>
  <c r="S44" i="1" s="1"/>
  <c r="P36" i="1"/>
  <c r="P38" i="1" s="1"/>
  <c r="P40" i="1" s="1"/>
  <c r="Q36" i="1"/>
  <c r="R36" i="1"/>
  <c r="S36" i="1"/>
  <c r="T36" i="1"/>
  <c r="T44" i="1" s="1"/>
  <c r="U36" i="1"/>
  <c r="V36" i="1"/>
  <c r="W36" i="1"/>
  <c r="W44" i="1" s="1"/>
  <c r="X36" i="1"/>
  <c r="Y36" i="1"/>
  <c r="Y38" i="1" s="1"/>
  <c r="Z36" i="1"/>
  <c r="AA36" i="1"/>
  <c r="AB36" i="1"/>
  <c r="AB44" i="1" s="1"/>
  <c r="AC36" i="1"/>
  <c r="AD36" i="1"/>
  <c r="AD44" i="1" s="1"/>
  <c r="AE36" i="1"/>
  <c r="AF36" i="1"/>
  <c r="AF38" i="1" s="1"/>
  <c r="AF40" i="1" s="1"/>
  <c r="AG36" i="1"/>
  <c r="AQ36" i="1"/>
  <c r="AR36" i="1"/>
  <c r="AR38" i="1" s="1"/>
  <c r="AR40" i="1" s="1"/>
  <c r="AS281" i="1"/>
  <c r="AS313" i="1"/>
  <c r="AS320" i="1"/>
  <c r="AS36" i="1" s="1"/>
  <c r="AS327" i="1"/>
  <c r="AS334" i="1"/>
  <c r="AT281" i="1"/>
  <c r="AT36" i="1" s="1"/>
  <c r="AT313" i="1"/>
  <c r="AT320" i="1"/>
  <c r="AT327" i="1"/>
  <c r="AT334" i="1"/>
  <c r="AU281" i="1"/>
  <c r="AU36" i="1" s="1"/>
  <c r="AU313" i="1"/>
  <c r="AU320" i="1"/>
  <c r="AU327" i="1"/>
  <c r="AU334" i="1"/>
  <c r="AV281" i="1"/>
  <c r="AV36" i="1" s="1"/>
  <c r="AW44" i="1" s="1"/>
  <c r="AV313" i="1"/>
  <c r="AV320" i="1"/>
  <c r="AV327" i="1"/>
  <c r="AV334" i="1"/>
  <c r="AW281" i="1"/>
  <c r="AW313" i="1"/>
  <c r="AW320" i="1"/>
  <c r="AW327" i="1"/>
  <c r="AW334" i="1"/>
  <c r="AW36" i="1"/>
  <c r="D37" i="1"/>
  <c r="E37" i="1"/>
  <c r="F37" i="1"/>
  <c r="J45" i="1" s="1"/>
  <c r="G37" i="1"/>
  <c r="H37" i="1"/>
  <c r="L45" i="1" s="1"/>
  <c r="I37" i="1"/>
  <c r="I45" i="1" s="1"/>
  <c r="J37" i="1"/>
  <c r="K37" i="1"/>
  <c r="K45" i="1" s="1"/>
  <c r="L37" i="1"/>
  <c r="M37" i="1"/>
  <c r="N37" i="1"/>
  <c r="N45" i="1" s="1"/>
  <c r="O37" i="1"/>
  <c r="P37" i="1"/>
  <c r="Q37" i="1"/>
  <c r="Q45" i="1" s="1"/>
  <c r="R37" i="1"/>
  <c r="S37" i="1"/>
  <c r="S45" i="1" s="1"/>
  <c r="T37" i="1"/>
  <c r="U37" i="1"/>
  <c r="V37" i="1"/>
  <c r="W37" i="1"/>
  <c r="X37" i="1"/>
  <c r="AB45" i="1" s="1"/>
  <c r="Y37" i="1"/>
  <c r="Y45" i="1" s="1"/>
  <c r="Z37" i="1"/>
  <c r="AA37" i="1"/>
  <c r="AA45" i="1" s="1"/>
  <c r="AB37" i="1"/>
  <c r="AC37" i="1"/>
  <c r="AD37" i="1"/>
  <c r="AD45" i="1" s="1"/>
  <c r="AE37" i="1"/>
  <c r="AF37" i="1"/>
  <c r="AG37" i="1"/>
  <c r="AX37" i="1" s="1"/>
  <c r="AQ37" i="1"/>
  <c r="AR37" i="1"/>
  <c r="AR51" i="1" s="1"/>
  <c r="AS282" i="1"/>
  <c r="AS314" i="1"/>
  <c r="AS321" i="1"/>
  <c r="AS37" i="1" s="1"/>
  <c r="AS328" i="1"/>
  <c r="AS335" i="1"/>
  <c r="AT282" i="1"/>
  <c r="AT37" i="1" s="1"/>
  <c r="AT314" i="1"/>
  <c r="AT321" i="1"/>
  <c r="AT328" i="1"/>
  <c r="AT335" i="1"/>
  <c r="AU282" i="1"/>
  <c r="AU37" i="1" s="1"/>
  <c r="AU314" i="1"/>
  <c r="AU321" i="1"/>
  <c r="AU328" i="1"/>
  <c r="AU335" i="1"/>
  <c r="AV282" i="1"/>
  <c r="AV37" i="1" s="1"/>
  <c r="AV314" i="1"/>
  <c r="AV321" i="1"/>
  <c r="AV328" i="1"/>
  <c r="AV335" i="1"/>
  <c r="AW282" i="1"/>
  <c r="AW314" i="1"/>
  <c r="AW321" i="1"/>
  <c r="AW328" i="1"/>
  <c r="AW335" i="1"/>
  <c r="AW37" i="1"/>
  <c r="AY37" i="1"/>
  <c r="AY45" i="1" s="1"/>
  <c r="H38" i="1"/>
  <c r="H40" i="1" s="1"/>
  <c r="J38" i="1"/>
  <c r="K38" i="1"/>
  <c r="K46" i="1" s="1"/>
  <c r="Q38" i="1"/>
  <c r="Q46" i="1" s="1"/>
  <c r="S38" i="1"/>
  <c r="X38" i="1"/>
  <c r="X40" i="1" s="1"/>
  <c r="Z38" i="1"/>
  <c r="AA38" i="1"/>
  <c r="AA46" i="1" s="1"/>
  <c r="AG38" i="1"/>
  <c r="AG46" i="1" s="1"/>
  <c r="AQ38" i="1"/>
  <c r="AQ40" i="1" s="1"/>
  <c r="D39" i="1"/>
  <c r="E39" i="1"/>
  <c r="F39" i="1"/>
  <c r="G39" i="1"/>
  <c r="H39" i="1"/>
  <c r="I39" i="1"/>
  <c r="J39" i="1"/>
  <c r="K39" i="1"/>
  <c r="L39" i="1"/>
  <c r="M39" i="1"/>
  <c r="N39" i="1"/>
  <c r="O39" i="1"/>
  <c r="P39" i="1"/>
  <c r="Q39" i="1"/>
  <c r="R39" i="1"/>
  <c r="S39" i="1"/>
  <c r="T39" i="1"/>
  <c r="U39" i="1"/>
  <c r="V39" i="1"/>
  <c r="W39" i="1"/>
  <c r="X39" i="1"/>
  <c r="Y39" i="1"/>
  <c r="Z39" i="1"/>
  <c r="AA39" i="1"/>
  <c r="AA40" i="1" s="1"/>
  <c r="AB39" i="1"/>
  <c r="AC39" i="1"/>
  <c r="AD39" i="1"/>
  <c r="AE39" i="1"/>
  <c r="AF39" i="1"/>
  <c r="AG39" i="1"/>
  <c r="AX39" i="1" s="1"/>
  <c r="AQ39" i="1"/>
  <c r="AR39" i="1"/>
  <c r="AS283" i="1"/>
  <c r="AS39" i="1" s="1"/>
  <c r="AT283" i="1"/>
  <c r="AT39" i="1" s="1"/>
  <c r="AU283" i="1"/>
  <c r="AU39" i="1"/>
  <c r="AV283" i="1"/>
  <c r="AV39" i="1"/>
  <c r="AW39" i="1"/>
  <c r="AY39" i="1"/>
  <c r="J40" i="1"/>
  <c r="K40" i="1"/>
  <c r="Q40" i="1"/>
  <c r="Z40" i="1"/>
  <c r="AG40" i="1"/>
  <c r="H43" i="1"/>
  <c r="I43" i="1"/>
  <c r="J43" i="1"/>
  <c r="L43" i="1"/>
  <c r="M43" i="1"/>
  <c r="N43" i="1"/>
  <c r="P43" i="1"/>
  <c r="Q43" i="1"/>
  <c r="U43" i="1"/>
  <c r="W43" i="1"/>
  <c r="X43" i="1"/>
  <c r="Y43" i="1"/>
  <c r="Z43" i="1"/>
  <c r="AB43" i="1"/>
  <c r="AC43" i="1"/>
  <c r="AD43" i="1"/>
  <c r="AF43" i="1"/>
  <c r="AG43" i="1"/>
  <c r="AR43" i="1"/>
  <c r="H44" i="1"/>
  <c r="J44" i="1"/>
  <c r="M44" i="1"/>
  <c r="O44" i="1"/>
  <c r="Q44" i="1"/>
  <c r="R44" i="1"/>
  <c r="U44" i="1"/>
  <c r="V44" i="1"/>
  <c r="X44" i="1"/>
  <c r="Z44" i="1"/>
  <c r="AC44" i="1"/>
  <c r="AE44" i="1"/>
  <c r="AF44" i="1"/>
  <c r="AG44" i="1"/>
  <c r="AR44" i="1"/>
  <c r="AT44" i="1"/>
  <c r="H45" i="1"/>
  <c r="M45" i="1"/>
  <c r="P45" i="1"/>
  <c r="R45" i="1"/>
  <c r="T45" i="1"/>
  <c r="U45" i="1"/>
  <c r="W45" i="1"/>
  <c r="X45" i="1"/>
  <c r="AC45" i="1"/>
  <c r="AF45" i="1"/>
  <c r="AH45" i="1"/>
  <c r="AI45" i="1"/>
  <c r="AJ45" i="1"/>
  <c r="AK45" i="1"/>
  <c r="AL45" i="1"/>
  <c r="AM45" i="1"/>
  <c r="AR45" i="1"/>
  <c r="M46" i="1"/>
  <c r="O46" i="1"/>
  <c r="X46" i="1"/>
  <c r="AC46" i="1"/>
  <c r="AE46" i="1"/>
  <c r="AR46" i="1"/>
  <c r="D49" i="1"/>
  <c r="E49" i="1"/>
  <c r="F49" i="1"/>
  <c r="H49" i="1"/>
  <c r="I49" i="1"/>
  <c r="J49" i="1"/>
  <c r="K49" i="1"/>
  <c r="L49" i="1"/>
  <c r="M49" i="1"/>
  <c r="Q49" i="1"/>
  <c r="T49" i="1"/>
  <c r="U49" i="1"/>
  <c r="X49" i="1"/>
  <c r="Y49" i="1"/>
  <c r="Z49" i="1"/>
  <c r="AA49" i="1"/>
  <c r="AB49" i="1"/>
  <c r="AC49" i="1"/>
  <c r="AF49" i="1"/>
  <c r="AG49" i="1"/>
  <c r="AQ49" i="1"/>
  <c r="AR49" i="1"/>
  <c r="AS49" i="1"/>
  <c r="D50" i="1"/>
  <c r="E50" i="1"/>
  <c r="F50" i="1"/>
  <c r="G50" i="1"/>
  <c r="H50" i="1"/>
  <c r="J50" i="1"/>
  <c r="K50" i="1"/>
  <c r="M50" i="1"/>
  <c r="Q50" i="1"/>
  <c r="R50" i="1"/>
  <c r="T50" i="1"/>
  <c r="U50" i="1"/>
  <c r="X50" i="1"/>
  <c r="Z50" i="1"/>
  <c r="AA50" i="1"/>
  <c r="AB50" i="1"/>
  <c r="AC50" i="1"/>
  <c r="AF50" i="1"/>
  <c r="AG50" i="1"/>
  <c r="AQ50" i="1"/>
  <c r="D51" i="1"/>
  <c r="E51" i="1"/>
  <c r="G51" i="1"/>
  <c r="H51" i="1"/>
  <c r="J51" i="1"/>
  <c r="K51" i="1"/>
  <c r="L51" i="1"/>
  <c r="M51" i="1"/>
  <c r="R51" i="1"/>
  <c r="T51" i="1"/>
  <c r="U51" i="1"/>
  <c r="X51" i="1"/>
  <c r="Z51" i="1"/>
  <c r="AA51" i="1"/>
  <c r="AB51" i="1"/>
  <c r="AC51" i="1"/>
  <c r="AF51" i="1"/>
  <c r="AQ51" i="1"/>
  <c r="H52" i="1"/>
  <c r="I52" i="1"/>
  <c r="J52" i="1"/>
  <c r="K52" i="1"/>
  <c r="Q52" i="1"/>
  <c r="X52" i="1"/>
  <c r="Y52" i="1"/>
  <c r="Z52" i="1"/>
  <c r="AA52" i="1"/>
  <c r="AG52" i="1"/>
  <c r="AQ52" i="1"/>
  <c r="AR52" i="1"/>
  <c r="P55" i="1"/>
  <c r="T55" i="1" s="1"/>
  <c r="T58" i="1" s="1"/>
  <c r="Q55" i="1"/>
  <c r="Q56" i="1" s="1"/>
  <c r="R55" i="1"/>
  <c r="S55" i="1"/>
  <c r="U55" i="1"/>
  <c r="Y55" i="1" s="1"/>
  <c r="Y58" i="1" s="1"/>
  <c r="AU57" i="1"/>
  <c r="W57" i="1"/>
  <c r="W55" i="1"/>
  <c r="AV57" i="1"/>
  <c r="AA57" i="1" s="1"/>
  <c r="AW57" i="1"/>
  <c r="AE57" i="1" s="1"/>
  <c r="AG57" i="1"/>
  <c r="D56" i="1"/>
  <c r="E56" i="1"/>
  <c r="F56" i="1"/>
  <c r="G56" i="1"/>
  <c r="H56" i="1"/>
  <c r="I56" i="1"/>
  <c r="J56" i="1"/>
  <c r="K56" i="1"/>
  <c r="L56" i="1"/>
  <c r="M56" i="1"/>
  <c r="N56" i="1"/>
  <c r="O56" i="1"/>
  <c r="P56" i="1"/>
  <c r="S56" i="1"/>
  <c r="AR56" i="1"/>
  <c r="AS56" i="1"/>
  <c r="AT56" i="1"/>
  <c r="AU56" i="1"/>
  <c r="AV56" i="1"/>
  <c r="AW56" i="1"/>
  <c r="H57" i="1"/>
  <c r="I57" i="1"/>
  <c r="J57" i="1"/>
  <c r="K57" i="1"/>
  <c r="L57" i="1"/>
  <c r="M57" i="1"/>
  <c r="N57" i="1"/>
  <c r="O57" i="1"/>
  <c r="P57" i="1"/>
  <c r="S57" i="1"/>
  <c r="AR57" i="1"/>
  <c r="AS57" i="1"/>
  <c r="AT57" i="1"/>
  <c r="D58" i="1"/>
  <c r="E58" i="1"/>
  <c r="F58" i="1"/>
  <c r="G58" i="1"/>
  <c r="H58" i="1"/>
  <c r="I58" i="1"/>
  <c r="J58" i="1"/>
  <c r="K58" i="1"/>
  <c r="L58" i="1"/>
  <c r="M58" i="1"/>
  <c r="Q58" i="1"/>
  <c r="AQ58" i="1"/>
  <c r="AR58" i="1"/>
  <c r="AS58" i="1"/>
  <c r="D63" i="1"/>
  <c r="D64" i="1" s="1"/>
  <c r="D59" i="1"/>
  <c r="E63" i="1"/>
  <c r="E59" i="1" s="1"/>
  <c r="F63" i="1"/>
  <c r="F59" i="1" s="1"/>
  <c r="G63" i="1"/>
  <c r="G59" i="1"/>
  <c r="H63" i="1"/>
  <c r="H59" i="1" s="1"/>
  <c r="I63" i="1"/>
  <c r="I59" i="1"/>
  <c r="J63" i="1"/>
  <c r="J59" i="1" s="1"/>
  <c r="K63" i="1"/>
  <c r="K66" i="1" s="1"/>
  <c r="K59" i="1"/>
  <c r="L63" i="1"/>
  <c r="L59" i="1" s="1"/>
  <c r="L60" i="1" s="1"/>
  <c r="M63" i="1"/>
  <c r="M59" i="1" s="1"/>
  <c r="M60" i="1" s="1"/>
  <c r="N63" i="1"/>
  <c r="N59" i="1" s="1"/>
  <c r="O63" i="1"/>
  <c r="O59" i="1"/>
  <c r="O60" i="1" s="1"/>
  <c r="S63" i="1"/>
  <c r="S64" i="1" s="1"/>
  <c r="S59" i="1"/>
  <c r="T63" i="1"/>
  <c r="T59" i="1" s="1"/>
  <c r="U63" i="1"/>
  <c r="W63" i="1"/>
  <c r="W59" i="1" s="1"/>
  <c r="AQ63" i="1"/>
  <c r="AQ59" i="1" s="1"/>
  <c r="AQ62" i="1" s="1"/>
  <c r="AR63" i="1"/>
  <c r="AS65" i="1" s="1"/>
  <c r="AR59" i="1"/>
  <c r="AR62" i="1" s="1"/>
  <c r="AS63" i="1"/>
  <c r="AS59" i="1"/>
  <c r="AT61" i="1" s="1"/>
  <c r="AT63" i="1"/>
  <c r="AT59" i="1" s="1"/>
  <c r="AU63" i="1"/>
  <c r="AU59" i="1" s="1"/>
  <c r="AU60" i="1" s="1"/>
  <c r="AV63" i="1"/>
  <c r="AV64" i="1" s="1"/>
  <c r="AW63" i="1"/>
  <c r="AW59" i="1"/>
  <c r="K60" i="1"/>
  <c r="AT60" i="1"/>
  <c r="K61" i="1"/>
  <c r="AU61" i="1"/>
  <c r="I62" i="1"/>
  <c r="K62" i="1"/>
  <c r="M62" i="1"/>
  <c r="E64" i="1"/>
  <c r="F64" i="1"/>
  <c r="G64" i="1"/>
  <c r="I64" i="1"/>
  <c r="J64" i="1"/>
  <c r="K64" i="1"/>
  <c r="L64" i="1"/>
  <c r="M64" i="1"/>
  <c r="N64" i="1"/>
  <c r="O64" i="1"/>
  <c r="AR64" i="1"/>
  <c r="AU64" i="1"/>
  <c r="T65" i="1"/>
  <c r="W65" i="1" s="1"/>
  <c r="U65" i="1"/>
  <c r="V65" i="1"/>
  <c r="AU65" i="1"/>
  <c r="X65" i="1"/>
  <c r="Y65" i="1"/>
  <c r="Z65" i="1"/>
  <c r="AV65" i="1"/>
  <c r="AB65" i="1"/>
  <c r="AC65" i="1"/>
  <c r="AD65" i="1"/>
  <c r="AW65" i="1"/>
  <c r="AE65" i="1" s="1"/>
  <c r="AT65" i="1"/>
  <c r="D66" i="1"/>
  <c r="E66" i="1"/>
  <c r="F66" i="1"/>
  <c r="G66" i="1"/>
  <c r="H66" i="1"/>
  <c r="I66" i="1"/>
  <c r="J66" i="1"/>
  <c r="L66" i="1"/>
  <c r="T66" i="1"/>
  <c r="AS66" i="1"/>
  <c r="D71" i="1"/>
  <c r="D75" i="1" s="1"/>
  <c r="E71" i="1"/>
  <c r="G71" i="1"/>
  <c r="G75" i="1" s="1"/>
  <c r="H71" i="1"/>
  <c r="I71" i="1"/>
  <c r="I72" i="1" s="1"/>
  <c r="J71" i="1"/>
  <c r="K71" i="1"/>
  <c r="K72" i="1" s="1"/>
  <c r="M71" i="1"/>
  <c r="M72" i="1" s="1"/>
  <c r="P71" i="1"/>
  <c r="Q71" i="1"/>
  <c r="Q75" i="1" s="1"/>
  <c r="U71" i="1"/>
  <c r="W71" i="1"/>
  <c r="X71" i="1"/>
  <c r="Y71" i="1"/>
  <c r="Y72" i="1" s="1"/>
  <c r="Z71" i="1"/>
  <c r="AC71" i="1"/>
  <c r="AC72" i="1" s="1"/>
  <c r="AE71" i="1"/>
  <c r="AF71" i="1"/>
  <c r="AF72" i="1" s="1"/>
  <c r="AG71" i="1"/>
  <c r="AG75" i="1" s="1"/>
  <c r="AQ71" i="1"/>
  <c r="AR71" i="1"/>
  <c r="AR72" i="1" s="1"/>
  <c r="E72" i="1"/>
  <c r="G72" i="1"/>
  <c r="H72" i="1"/>
  <c r="J72" i="1"/>
  <c r="U72" i="1"/>
  <c r="X72" i="1"/>
  <c r="Z72" i="1"/>
  <c r="AQ72" i="1"/>
  <c r="D315" i="1"/>
  <c r="D74" i="1"/>
  <c r="E315" i="1"/>
  <c r="E74" i="1" s="1"/>
  <c r="E75" i="1" s="1"/>
  <c r="F315" i="1"/>
  <c r="F74" i="1" s="1"/>
  <c r="G315" i="1"/>
  <c r="G74" i="1" s="1"/>
  <c r="H315" i="1"/>
  <c r="H74" i="1"/>
  <c r="H75" i="1" s="1"/>
  <c r="I315" i="1"/>
  <c r="I74" i="1"/>
  <c r="J315" i="1"/>
  <c r="J74" i="1"/>
  <c r="K315" i="1"/>
  <c r="K74" i="1" s="1"/>
  <c r="K75" i="1" s="1"/>
  <c r="L315" i="1"/>
  <c r="L74" i="1"/>
  <c r="M315" i="1"/>
  <c r="M74" i="1" s="1"/>
  <c r="N315" i="1"/>
  <c r="N74" i="1" s="1"/>
  <c r="O315" i="1"/>
  <c r="O74" i="1" s="1"/>
  <c r="P315" i="1"/>
  <c r="P74" i="1"/>
  <c r="P75" i="1" s="1"/>
  <c r="Q315" i="1"/>
  <c r="Q74" i="1"/>
  <c r="Q77" i="1" s="1"/>
  <c r="R315" i="1"/>
  <c r="R74" i="1"/>
  <c r="S315" i="1"/>
  <c r="S74" i="1" s="1"/>
  <c r="T315" i="1"/>
  <c r="T74" i="1"/>
  <c r="U315" i="1"/>
  <c r="AU315" i="1" s="1"/>
  <c r="AU74" i="1" s="1"/>
  <c r="V315" i="1"/>
  <c r="V74" i="1" s="1"/>
  <c r="W315" i="1"/>
  <c r="W74" i="1" s="1"/>
  <c r="X315" i="1"/>
  <c r="AV315" i="1" s="1"/>
  <c r="AV74" i="1" s="1"/>
  <c r="X74" i="1"/>
  <c r="X77" i="1" s="1"/>
  <c r="Y315" i="1"/>
  <c r="Y74" i="1"/>
  <c r="Z315" i="1"/>
  <c r="Z74" i="1"/>
  <c r="AA315" i="1"/>
  <c r="AA74" i="1" s="1"/>
  <c r="AA77" i="1" s="1"/>
  <c r="AB315" i="1"/>
  <c r="AB74" i="1"/>
  <c r="AC315" i="1"/>
  <c r="AC74" i="1" s="1"/>
  <c r="AD315" i="1"/>
  <c r="AE315" i="1"/>
  <c r="AE74" i="1" s="1"/>
  <c r="AF315" i="1"/>
  <c r="AF74" i="1"/>
  <c r="AF75" i="1" s="1"/>
  <c r="AG315" i="1"/>
  <c r="AG74" i="1"/>
  <c r="AG77" i="1" s="1"/>
  <c r="AQ315" i="1"/>
  <c r="AQ74" i="1"/>
  <c r="AQ75" i="1" s="1"/>
  <c r="AR315" i="1"/>
  <c r="AR74" i="1" s="1"/>
  <c r="AR77" i="1" s="1"/>
  <c r="AT315" i="1"/>
  <c r="AT74" i="1" s="1"/>
  <c r="I75" i="1"/>
  <c r="J75" i="1"/>
  <c r="Y75" i="1"/>
  <c r="Z75" i="1"/>
  <c r="J76" i="1"/>
  <c r="Z76" i="1"/>
  <c r="L77" i="1"/>
  <c r="R77" i="1"/>
  <c r="T77" i="1"/>
  <c r="Y77" i="1"/>
  <c r="Z77" i="1"/>
  <c r="AB77" i="1"/>
  <c r="AQ77" i="1"/>
  <c r="D322" i="1"/>
  <c r="D80" i="1" s="1"/>
  <c r="E322" i="1"/>
  <c r="E80" i="1"/>
  <c r="F322" i="1"/>
  <c r="F80" i="1" s="1"/>
  <c r="G322" i="1"/>
  <c r="G80" i="1" s="1"/>
  <c r="H322" i="1"/>
  <c r="H80" i="1" s="1"/>
  <c r="I322" i="1"/>
  <c r="I80" i="1"/>
  <c r="J322" i="1"/>
  <c r="J80" i="1"/>
  <c r="K322" i="1"/>
  <c r="K80" i="1"/>
  <c r="P305" i="1"/>
  <c r="P322" i="1"/>
  <c r="Q345" i="1"/>
  <c r="R345" i="1" s="1"/>
  <c r="Q305" i="1"/>
  <c r="Q322" i="1"/>
  <c r="Q80" i="1"/>
  <c r="R322" i="1"/>
  <c r="S322" i="1"/>
  <c r="AT322" i="1" s="1"/>
  <c r="T305" i="1"/>
  <c r="T322" i="1"/>
  <c r="T80" i="1" s="1"/>
  <c r="U345" i="1"/>
  <c r="U305" i="1"/>
  <c r="U80" i="1" s="1"/>
  <c r="U322" i="1"/>
  <c r="V345" i="1"/>
  <c r="V322" i="1"/>
  <c r="AU322" i="1" s="1"/>
  <c r="W322" i="1"/>
  <c r="X305" i="1"/>
  <c r="X322" i="1"/>
  <c r="X80" i="1"/>
  <c r="Y345" i="1"/>
  <c r="Y322" i="1"/>
  <c r="Z322" i="1"/>
  <c r="AA322" i="1"/>
  <c r="AV322" i="1" s="1"/>
  <c r="AB305" i="1"/>
  <c r="AB80" i="1" s="1"/>
  <c r="AB322" i="1"/>
  <c r="AC345" i="1"/>
  <c r="AC305" i="1" s="1"/>
  <c r="AC80" i="1" s="1"/>
  <c r="AC322" i="1"/>
  <c r="AD345" i="1"/>
  <c r="AD305" i="1" s="1"/>
  <c r="AD322" i="1"/>
  <c r="AW322" i="1" s="1"/>
  <c r="AE345" i="1"/>
  <c r="AE305" i="1" s="1"/>
  <c r="AE80" i="1" s="1"/>
  <c r="AE322" i="1"/>
  <c r="AF305" i="1"/>
  <c r="AF322" i="1"/>
  <c r="AF80" i="1" s="1"/>
  <c r="AX80" i="1" s="1"/>
  <c r="AG345" i="1"/>
  <c r="AG305" i="1"/>
  <c r="AG80" i="1" s="1"/>
  <c r="AG322" i="1"/>
  <c r="AQ305" i="1"/>
  <c r="AQ80" i="1" s="1"/>
  <c r="AQ322" i="1"/>
  <c r="AR305" i="1"/>
  <c r="AR80" i="1" s="1"/>
  <c r="AR322" i="1"/>
  <c r="AY80" i="1"/>
  <c r="J81" i="1"/>
  <c r="J82" i="1" s="1"/>
  <c r="D84" i="1"/>
  <c r="E84" i="1"/>
  <c r="E99" i="1" s="1"/>
  <c r="F84" i="1"/>
  <c r="G84" i="1"/>
  <c r="H84" i="1"/>
  <c r="I84" i="1"/>
  <c r="J84" i="1"/>
  <c r="J85" i="1" s="1"/>
  <c r="K84" i="1"/>
  <c r="L84" i="1"/>
  <c r="M84" i="1"/>
  <c r="N84" i="1"/>
  <c r="O84" i="1"/>
  <c r="P84" i="1"/>
  <c r="Q84" i="1"/>
  <c r="R84" i="1"/>
  <c r="S84" i="1"/>
  <c r="S99" i="1" s="1"/>
  <c r="T84" i="1"/>
  <c r="U84" i="1"/>
  <c r="U99" i="1" s="1"/>
  <c r="V84" i="1"/>
  <c r="W84" i="1"/>
  <c r="X84" i="1"/>
  <c r="Y84" i="1"/>
  <c r="Z84" i="1"/>
  <c r="Z85" i="1" s="1"/>
  <c r="AA84" i="1"/>
  <c r="AB84" i="1"/>
  <c r="AC84" i="1"/>
  <c r="AD84" i="1"/>
  <c r="AE84" i="1"/>
  <c r="AF84" i="1"/>
  <c r="AG84" i="1"/>
  <c r="AG112" i="1"/>
  <c r="AH84" i="1"/>
  <c r="AH99" i="1" s="1"/>
  <c r="AQ84" i="1"/>
  <c r="AR84" i="1"/>
  <c r="AS288" i="1"/>
  <c r="AS84" i="1" s="1"/>
  <c r="AT288" i="1"/>
  <c r="AT84" i="1"/>
  <c r="E35" i="284" s="1"/>
  <c r="AU288" i="1"/>
  <c r="AU84" i="1" s="1"/>
  <c r="F35" i="284" s="1"/>
  <c r="AV288" i="1"/>
  <c r="AV84" i="1" s="1"/>
  <c r="G35" i="284" s="1"/>
  <c r="AW288" i="1"/>
  <c r="AW84" i="1" s="1"/>
  <c r="D88" i="1"/>
  <c r="E88" i="1"/>
  <c r="F88" i="1"/>
  <c r="G88" i="1"/>
  <c r="H88" i="1"/>
  <c r="I88" i="1"/>
  <c r="J88" i="1"/>
  <c r="K88" i="1"/>
  <c r="L88" i="1"/>
  <c r="M88" i="1"/>
  <c r="N88" i="1"/>
  <c r="O88" i="1"/>
  <c r="P88" i="1"/>
  <c r="Q88" i="1"/>
  <c r="R88" i="1"/>
  <c r="S88" i="1"/>
  <c r="T88" i="1"/>
  <c r="U88" i="1"/>
  <c r="V88" i="1"/>
  <c r="W88" i="1"/>
  <c r="X88" i="1"/>
  <c r="Y88" i="1"/>
  <c r="Z88" i="1"/>
  <c r="AA88" i="1"/>
  <c r="AB88" i="1"/>
  <c r="AC88" i="1"/>
  <c r="AD88" i="1"/>
  <c r="AE88" i="1"/>
  <c r="AF88" i="1"/>
  <c r="AG88" i="1"/>
  <c r="AQ88" i="1"/>
  <c r="AR88" i="1"/>
  <c r="AS88" i="1"/>
  <c r="AT88" i="1"/>
  <c r="AU88" i="1"/>
  <c r="AV88" i="1"/>
  <c r="AW88" i="1"/>
  <c r="J92" i="1"/>
  <c r="AS93" i="1"/>
  <c r="M93" i="1" s="1"/>
  <c r="M97" i="1" s="1"/>
  <c r="P93" i="1"/>
  <c r="Q372" i="1"/>
  <c r="Q376" i="1"/>
  <c r="R372" i="1"/>
  <c r="S372" i="1"/>
  <c r="S383" i="1"/>
  <c r="T93" i="1"/>
  <c r="U372" i="1"/>
  <c r="U376" i="1"/>
  <c r="U383" i="1"/>
  <c r="V372" i="1"/>
  <c r="V383" i="1"/>
  <c r="W383" i="1" s="1"/>
  <c r="X93" i="1"/>
  <c r="Y372" i="1"/>
  <c r="Y93" i="1" s="1"/>
  <c r="Y376" i="1"/>
  <c r="Z376" i="1" s="1"/>
  <c r="Y383" i="1"/>
  <c r="Z372" i="1"/>
  <c r="AB93" i="1"/>
  <c r="AB97" i="1" s="1"/>
  <c r="AC372" i="1"/>
  <c r="AC376" i="1"/>
  <c r="AC383" i="1"/>
  <c r="AD383" i="1" s="1"/>
  <c r="AC93" i="1"/>
  <c r="AC97" i="1" s="1"/>
  <c r="AD376" i="1"/>
  <c r="AE376" i="1" s="1"/>
  <c r="AE383" i="1"/>
  <c r="AF93" i="1"/>
  <c r="AG372" i="1"/>
  <c r="AG376" i="1"/>
  <c r="AG383" i="1"/>
  <c r="AG93" i="1" s="1"/>
  <c r="AQ93" i="1"/>
  <c r="AR93" i="1"/>
  <c r="AT93" i="1"/>
  <c r="E28" i="284" s="1"/>
  <c r="AU93" i="1"/>
  <c r="F28" i="284" s="1"/>
  <c r="AV93" i="1"/>
  <c r="G28" i="284" s="1"/>
  <c r="AW93" i="1"/>
  <c r="J94" i="1"/>
  <c r="J95" i="1"/>
  <c r="D97" i="1"/>
  <c r="E97" i="1"/>
  <c r="F97" i="1"/>
  <c r="G97" i="1"/>
  <c r="H97" i="1"/>
  <c r="I97" i="1"/>
  <c r="J97" i="1"/>
  <c r="K97" i="1"/>
  <c r="T97" i="1"/>
  <c r="X97" i="1"/>
  <c r="Y97" i="1"/>
  <c r="AG97" i="1"/>
  <c r="AQ97" i="1"/>
  <c r="AR97" i="1"/>
  <c r="AS97" i="1"/>
  <c r="D99" i="1"/>
  <c r="F99" i="1"/>
  <c r="G99" i="1"/>
  <c r="H99" i="1"/>
  <c r="I99" i="1"/>
  <c r="J99" i="1"/>
  <c r="K99" i="1"/>
  <c r="L99" i="1"/>
  <c r="M99" i="1"/>
  <c r="N99" i="1"/>
  <c r="O99" i="1"/>
  <c r="P99" i="1"/>
  <c r="Q99" i="1"/>
  <c r="R99" i="1"/>
  <c r="T99" i="1"/>
  <c r="V99" i="1"/>
  <c r="W99" i="1"/>
  <c r="X99" i="1"/>
  <c r="Y99" i="1"/>
  <c r="Z99" i="1"/>
  <c r="AA99" i="1"/>
  <c r="AB99" i="1"/>
  <c r="AC99" i="1"/>
  <c r="AD99" i="1"/>
  <c r="AE99" i="1"/>
  <c r="AF99" i="1"/>
  <c r="AG99" i="1"/>
  <c r="AQ99" i="1"/>
  <c r="AR99" i="1"/>
  <c r="AT99" i="1"/>
  <c r="AV99" i="1"/>
  <c r="P103" i="1"/>
  <c r="Q103" i="1"/>
  <c r="R103" i="1"/>
  <c r="T103" i="1"/>
  <c r="V103" i="1"/>
  <c r="W103" i="1"/>
  <c r="X103" i="1"/>
  <c r="Y103" i="1"/>
  <c r="Z103" i="1"/>
  <c r="AA103" i="1"/>
  <c r="AB103" i="1"/>
  <c r="AC103" i="1"/>
  <c r="AF103" i="1"/>
  <c r="AG103" i="1"/>
  <c r="AX103" i="1" s="1"/>
  <c r="I48" i="284" s="1"/>
  <c r="AQ103" i="1"/>
  <c r="AU103" i="1"/>
  <c r="AV103" i="1"/>
  <c r="AY103" i="1"/>
  <c r="P370" i="1"/>
  <c r="P105" i="1" s="1"/>
  <c r="Q344" i="1"/>
  <c r="Q347" i="1"/>
  <c r="R347" i="1" s="1"/>
  <c r="Q352" i="1"/>
  <c r="R352" i="1" s="1"/>
  <c r="Q356" i="1"/>
  <c r="R356" i="1" s="1"/>
  <c r="Q361" i="1"/>
  <c r="R361" i="1" s="1"/>
  <c r="Q362" i="1"/>
  <c r="Q363" i="1"/>
  <c r="Q364" i="1"/>
  <c r="R364" i="1" s="1"/>
  <c r="Q365" i="1"/>
  <c r="Q369" i="1"/>
  <c r="R369" i="1" s="1"/>
  <c r="Q370" i="1"/>
  <c r="R344" i="1"/>
  <c r="R362" i="1"/>
  <c r="R363" i="1"/>
  <c r="R365" i="1"/>
  <c r="R367" i="1"/>
  <c r="AT370" i="1"/>
  <c r="AT105" i="1" s="1"/>
  <c r="T370" i="1"/>
  <c r="T105" i="1" s="1"/>
  <c r="U344" i="1"/>
  <c r="U347" i="1"/>
  <c r="V347" i="1" s="1"/>
  <c r="U352" i="1"/>
  <c r="V352" i="1" s="1"/>
  <c r="U356" i="1"/>
  <c r="V356" i="1" s="1"/>
  <c r="U361" i="1"/>
  <c r="V361" i="1" s="1"/>
  <c r="U362" i="1"/>
  <c r="V362" i="1" s="1"/>
  <c r="U363" i="1"/>
  <c r="V363" i="1" s="1"/>
  <c r="U364" i="1"/>
  <c r="V364" i="1" s="1"/>
  <c r="U365" i="1"/>
  <c r="U369" i="1"/>
  <c r="V344" i="1"/>
  <c r="V353" i="1"/>
  <c r="V355" i="1"/>
  <c r="V365" i="1"/>
  <c r="V369" i="1"/>
  <c r="AU370" i="1"/>
  <c r="X370" i="1"/>
  <c r="X105" i="1"/>
  <c r="Y344" i="1"/>
  <c r="Z344" i="1" s="1"/>
  <c r="Y347" i="1"/>
  <c r="Y352" i="1"/>
  <c r="Y353" i="1"/>
  <c r="Y356" i="1"/>
  <c r="Y357" i="1"/>
  <c r="Y361" i="1"/>
  <c r="Y362" i="1"/>
  <c r="Y363" i="1"/>
  <c r="Z363" i="1" s="1"/>
  <c r="Y364" i="1"/>
  <c r="Y365" i="1"/>
  <c r="Z365" i="1" s="1"/>
  <c r="Y367" i="1"/>
  <c r="Y369" i="1"/>
  <c r="Z347" i="1"/>
  <c r="Z348" i="1"/>
  <c r="Z352" i="1"/>
  <c r="Z353" i="1"/>
  <c r="Z356" i="1"/>
  <c r="Z357" i="1"/>
  <c r="Z361" i="1"/>
  <c r="Z362" i="1"/>
  <c r="Z364" i="1"/>
  <c r="Z366" i="1"/>
  <c r="Z367" i="1"/>
  <c r="Z369" i="1"/>
  <c r="AV370" i="1"/>
  <c r="AB370" i="1"/>
  <c r="AC344" i="1"/>
  <c r="AC347" i="1"/>
  <c r="AC350" i="1"/>
  <c r="AC352" i="1"/>
  <c r="AC353" i="1"/>
  <c r="AD353" i="1" s="1"/>
  <c r="AC354" i="1"/>
  <c r="AD354" i="1" s="1"/>
  <c r="AC356" i="1"/>
  <c r="AC357" i="1"/>
  <c r="AD357" i="1" s="1"/>
  <c r="AC359" i="1"/>
  <c r="AC361" i="1"/>
  <c r="AC362" i="1"/>
  <c r="AD362" i="1" s="1"/>
  <c r="AC363" i="1"/>
  <c r="AD363" i="1" s="1"/>
  <c r="AC364" i="1"/>
  <c r="AC365" i="1"/>
  <c r="AD365" i="1" s="1"/>
  <c r="AC366" i="1"/>
  <c r="AC367" i="1"/>
  <c r="AC368" i="1"/>
  <c r="AC369" i="1"/>
  <c r="AD344" i="1"/>
  <c r="AD347" i="1"/>
  <c r="AD350" i="1"/>
  <c r="AD352" i="1"/>
  <c r="AD356" i="1"/>
  <c r="AD359" i="1"/>
  <c r="AD361" i="1"/>
  <c r="AD364" i="1"/>
  <c r="AD366" i="1"/>
  <c r="AD367" i="1"/>
  <c r="AD368" i="1"/>
  <c r="AD369" i="1"/>
  <c r="AW370" i="1"/>
  <c r="AF370" i="1"/>
  <c r="AF105" i="1"/>
  <c r="AG344" i="1"/>
  <c r="AG347" i="1"/>
  <c r="AG349" i="1"/>
  <c r="AG350" i="1"/>
  <c r="AG352" i="1"/>
  <c r="AG356" i="1"/>
  <c r="AG357" i="1"/>
  <c r="AG361" i="1"/>
  <c r="AG362" i="1"/>
  <c r="AG363" i="1"/>
  <c r="AG364" i="1"/>
  <c r="AG365" i="1"/>
  <c r="AG366" i="1"/>
  <c r="AG368" i="1"/>
  <c r="AG369" i="1"/>
  <c r="AQ370" i="1"/>
  <c r="AQ105" i="1"/>
  <c r="AR370" i="1"/>
  <c r="AR105" i="1" s="1"/>
  <c r="AS370" i="1"/>
  <c r="AS105" i="1" s="1"/>
  <c r="D50" i="284" s="1"/>
  <c r="AU105" i="1"/>
  <c r="F50" i="284" s="1"/>
  <c r="AV105" i="1"/>
  <c r="G50" i="284" s="1"/>
  <c r="AW105" i="1"/>
  <c r="H50" i="284" s="1"/>
  <c r="AY104" i="1"/>
  <c r="P107" i="1"/>
  <c r="Q107" i="1"/>
  <c r="R381" i="1"/>
  <c r="R107" i="1"/>
  <c r="S382" i="1"/>
  <c r="S107" i="1" s="1"/>
  <c r="S381" i="1"/>
  <c r="S386" i="1"/>
  <c r="T107" i="1"/>
  <c r="U382" i="1"/>
  <c r="W382" i="1" s="1"/>
  <c r="U381" i="1"/>
  <c r="U107" i="1"/>
  <c r="V382" i="1"/>
  <c r="V107" i="1" s="1"/>
  <c r="V381" i="1"/>
  <c r="W381" i="1" s="1"/>
  <c r="W386" i="1"/>
  <c r="X107" i="1"/>
  <c r="Y381" i="1"/>
  <c r="Y107" i="1"/>
  <c r="Z381" i="1"/>
  <c r="Z107" i="1" s="1"/>
  <c r="Z386" i="1"/>
  <c r="AA382" i="1"/>
  <c r="AA386" i="1"/>
  <c r="AB107" i="1"/>
  <c r="AC381" i="1"/>
  <c r="AD381" i="1" s="1"/>
  <c r="AC386" i="1"/>
  <c r="AC107" i="1"/>
  <c r="AD386" i="1"/>
  <c r="AE382" i="1"/>
  <c r="AE386" i="1"/>
  <c r="AF107" i="1"/>
  <c r="AX107" i="1" s="1"/>
  <c r="AG381" i="1"/>
  <c r="AG107" i="1"/>
  <c r="AQ107" i="1"/>
  <c r="AR107" i="1"/>
  <c r="AS107" i="1"/>
  <c r="AT107" i="1"/>
  <c r="AU107" i="1"/>
  <c r="AV107" i="1"/>
  <c r="AY107" i="1"/>
  <c r="P108" i="1"/>
  <c r="Q108" i="1"/>
  <c r="R378" i="1"/>
  <c r="R108" i="1" s="1"/>
  <c r="T108" i="1"/>
  <c r="U378" i="1"/>
  <c r="X108" i="1"/>
  <c r="Y378" i="1"/>
  <c r="Y108" i="1"/>
  <c r="Z378" i="1"/>
  <c r="Z108" i="1"/>
  <c r="AA378" i="1"/>
  <c r="AA108" i="1" s="1"/>
  <c r="AB108" i="1"/>
  <c r="AC378" i="1"/>
  <c r="AC108" i="1"/>
  <c r="AD378" i="1"/>
  <c r="AF108" i="1"/>
  <c r="AG378" i="1"/>
  <c r="AG108" i="1" s="1"/>
  <c r="AX108" i="1" s="1"/>
  <c r="I52" i="284" s="1"/>
  <c r="AQ108" i="1"/>
  <c r="AR108" i="1"/>
  <c r="AS108" i="1"/>
  <c r="D52" i="284" s="1"/>
  <c r="AT108" i="1"/>
  <c r="E52" i="284" s="1"/>
  <c r="AU108" i="1"/>
  <c r="F52" i="284" s="1"/>
  <c r="AV108" i="1"/>
  <c r="G52" i="284" s="1"/>
  <c r="AY108" i="1"/>
  <c r="S111" i="1"/>
  <c r="V111" i="1"/>
  <c r="W111" i="1"/>
  <c r="X111" i="1" s="1"/>
  <c r="AT112" i="1"/>
  <c r="E55" i="284" s="1"/>
  <c r="S112" i="1"/>
  <c r="T112" i="1"/>
  <c r="U112" i="1"/>
  <c r="V112" i="1"/>
  <c r="W112" i="1"/>
  <c r="X112" i="1"/>
  <c r="Y112" i="1"/>
  <c r="Z112" i="1"/>
  <c r="AA112" i="1"/>
  <c r="AB112" i="1"/>
  <c r="AC112" i="1"/>
  <c r="AD112" i="1"/>
  <c r="AE112" i="1"/>
  <c r="AF112" i="1"/>
  <c r="AQ112" i="1"/>
  <c r="AQ113" i="1" s="1"/>
  <c r="AR112" i="1"/>
  <c r="AS112" i="1"/>
  <c r="D55" i="284" s="1"/>
  <c r="D56" i="284" s="1"/>
  <c r="AU112" i="1"/>
  <c r="F55" i="284" s="1"/>
  <c r="F56" i="284" s="1"/>
  <c r="AV112" i="1"/>
  <c r="G55" i="284" s="1"/>
  <c r="G56" i="284" s="1"/>
  <c r="AW112" i="1"/>
  <c r="H55" i="284" s="1"/>
  <c r="AT113" i="1"/>
  <c r="S113" i="1"/>
  <c r="T113" i="1"/>
  <c r="U113" i="1"/>
  <c r="V113" i="1"/>
  <c r="AR113" i="1"/>
  <c r="AV113" i="1"/>
  <c r="O232" i="1"/>
  <c r="O229" i="1" s="1"/>
  <c r="O118" i="1" s="1"/>
  <c r="AS118" i="1" s="1"/>
  <c r="O231" i="1"/>
  <c r="P232" i="1"/>
  <c r="P229" i="1" s="1"/>
  <c r="P118" i="1" s="1"/>
  <c r="P231" i="1"/>
  <c r="Q232" i="1"/>
  <c r="Q231" i="1"/>
  <c r="Q229" i="1" s="1"/>
  <c r="Q118" i="1" s="1"/>
  <c r="R232" i="1"/>
  <c r="R229" i="1" s="1"/>
  <c r="R118" i="1" s="1"/>
  <c r="R121" i="1" s="1"/>
  <c r="R122" i="1" s="1"/>
  <c r="R231" i="1"/>
  <c r="S232" i="1"/>
  <c r="S229" i="1" s="1"/>
  <c r="S118" i="1" s="1"/>
  <c r="S231" i="1"/>
  <c r="T232" i="1"/>
  <c r="T229" i="1" s="1"/>
  <c r="T118" i="1" s="1"/>
  <c r="T231" i="1"/>
  <c r="U232" i="1"/>
  <c r="U231" i="1"/>
  <c r="U229" i="1" s="1"/>
  <c r="U118" i="1" s="1"/>
  <c r="V232" i="1"/>
  <c r="V229" i="1" s="1"/>
  <c r="V118" i="1" s="1"/>
  <c r="V231" i="1"/>
  <c r="W232" i="1"/>
  <c r="W229" i="1" s="1"/>
  <c r="W118" i="1" s="1"/>
  <c r="W231" i="1"/>
  <c r="X232" i="1"/>
  <c r="X229" i="1" s="1"/>
  <c r="X118" i="1" s="1"/>
  <c r="X231" i="1"/>
  <c r="Y232" i="1"/>
  <c r="Y231" i="1"/>
  <c r="Y229" i="1" s="1"/>
  <c r="Y118" i="1" s="1"/>
  <c r="Z232" i="1"/>
  <c r="Z229" i="1" s="1"/>
  <c r="Z118" i="1" s="1"/>
  <c r="Z231" i="1"/>
  <c r="AA232" i="1"/>
  <c r="AA229" i="1" s="1"/>
  <c r="AA118" i="1" s="1"/>
  <c r="AA231" i="1"/>
  <c r="AB232" i="1"/>
  <c r="AB229" i="1" s="1"/>
  <c r="AB118" i="1" s="1"/>
  <c r="AB231" i="1"/>
  <c r="AC232" i="1"/>
  <c r="AC231" i="1"/>
  <c r="AC229" i="1" s="1"/>
  <c r="AC118" i="1" s="1"/>
  <c r="AD232" i="1"/>
  <c r="AD229" i="1" s="1"/>
  <c r="AD118" i="1" s="1"/>
  <c r="AD231" i="1"/>
  <c r="AE232" i="1"/>
  <c r="AE229" i="1" s="1"/>
  <c r="AE118" i="1" s="1"/>
  <c r="AE231" i="1"/>
  <c r="AF232" i="1"/>
  <c r="AF229" i="1" s="1"/>
  <c r="AF118" i="1" s="1"/>
  <c r="AF231" i="1"/>
  <c r="AG232" i="1"/>
  <c r="AG231" i="1"/>
  <c r="AG229" i="1" s="1"/>
  <c r="AG118" i="1" s="1"/>
  <c r="AQ118" i="1"/>
  <c r="AR118" i="1"/>
  <c r="AR121" i="1" s="1"/>
  <c r="H119" i="1"/>
  <c r="I119" i="1"/>
  <c r="J119" i="1"/>
  <c r="K119" i="1"/>
  <c r="L119" i="1"/>
  <c r="L120" i="1" s="1"/>
  <c r="M119" i="1"/>
  <c r="N119" i="1"/>
  <c r="M120" i="1"/>
  <c r="N120" i="1"/>
  <c r="AL136" i="1"/>
  <c r="AM136" i="1" s="1"/>
  <c r="AY136" i="1" s="1"/>
  <c r="AL137" i="1"/>
  <c r="AM137" i="1"/>
  <c r="AY137" i="1"/>
  <c r="E121" i="1"/>
  <c r="F121" i="1"/>
  <c r="G121" i="1"/>
  <c r="H121" i="1"/>
  <c r="I121" i="1"/>
  <c r="J121" i="1"/>
  <c r="K121" i="1"/>
  <c r="L121" i="1"/>
  <c r="L122" i="1" s="1"/>
  <c r="M121" i="1"/>
  <c r="M122" i="1" s="1"/>
  <c r="N121" i="1"/>
  <c r="N122" i="1"/>
  <c r="E123" i="1"/>
  <c r="F123" i="1"/>
  <c r="G123" i="1"/>
  <c r="H123" i="1"/>
  <c r="I123" i="1"/>
  <c r="J123" i="1"/>
  <c r="K123" i="1"/>
  <c r="L123" i="1"/>
  <c r="L124" i="1" s="1"/>
  <c r="M123" i="1"/>
  <c r="M124" i="1" s="1"/>
  <c r="N123" i="1"/>
  <c r="N124" i="1" s="1"/>
  <c r="S123" i="1"/>
  <c r="AR123" i="1"/>
  <c r="T149" i="1"/>
  <c r="T127" i="1" s="1"/>
  <c r="D142" i="1"/>
  <c r="E142" i="1"/>
  <c r="I143" i="1" s="1"/>
  <c r="F142" i="1"/>
  <c r="G142" i="1"/>
  <c r="H142" i="1"/>
  <c r="H145" i="1" s="1"/>
  <c r="I142" i="1"/>
  <c r="J142" i="1"/>
  <c r="K142" i="1"/>
  <c r="L142" i="1"/>
  <c r="L143" i="1" s="1"/>
  <c r="L144" i="1" s="1"/>
  <c r="M142" i="1"/>
  <c r="Q143" i="1" s="1"/>
  <c r="Q144" i="1" s="1"/>
  <c r="N142" i="1"/>
  <c r="N143" i="1" s="1"/>
  <c r="AQ142" i="1"/>
  <c r="AS142" i="1"/>
  <c r="AT142" i="1"/>
  <c r="AU142" i="1"/>
  <c r="AV142" i="1"/>
  <c r="AW142" i="1"/>
  <c r="AW145" i="1" s="1"/>
  <c r="AW146" i="1" s="1"/>
  <c r="H143" i="1"/>
  <c r="J143" i="1"/>
  <c r="M143" i="1"/>
  <c r="M144" i="1" s="1"/>
  <c r="O143" i="1"/>
  <c r="O144" i="1" s="1"/>
  <c r="P143" i="1"/>
  <c r="P144" i="1" s="1"/>
  <c r="S143" i="1"/>
  <c r="T143" i="1"/>
  <c r="U143" i="1"/>
  <c r="U144" i="1" s="1"/>
  <c r="V143" i="1"/>
  <c r="W143" i="1"/>
  <c r="W144" i="1" s="1"/>
  <c r="X143" i="1"/>
  <c r="X144" i="1" s="1"/>
  <c r="Y143" i="1"/>
  <c r="Z143" i="1"/>
  <c r="AA143" i="1"/>
  <c r="AB143" i="1"/>
  <c r="AC143" i="1"/>
  <c r="AC144" i="1" s="1"/>
  <c r="AD143" i="1"/>
  <c r="AE143" i="1"/>
  <c r="AE144" i="1" s="1"/>
  <c r="AF143" i="1"/>
  <c r="AG143" i="1"/>
  <c r="AV143" i="1"/>
  <c r="AW143" i="1"/>
  <c r="AW144" i="1" s="1"/>
  <c r="N144" i="1"/>
  <c r="S144" i="1"/>
  <c r="T144" i="1"/>
  <c r="V144" i="1"/>
  <c r="Y144" i="1"/>
  <c r="Z144" i="1"/>
  <c r="AA144" i="1"/>
  <c r="AB144" i="1"/>
  <c r="AD144" i="1"/>
  <c r="AV144" i="1"/>
  <c r="G145" i="1"/>
  <c r="I145" i="1"/>
  <c r="J145" i="1"/>
  <c r="L145" i="1"/>
  <c r="L146" i="1" s="1"/>
  <c r="N145" i="1"/>
  <c r="N146" i="1" s="1"/>
  <c r="P145" i="1"/>
  <c r="Q145" i="1"/>
  <c r="R145" i="1"/>
  <c r="S145" i="1"/>
  <c r="T145" i="1"/>
  <c r="T146" i="1" s="1"/>
  <c r="U145" i="1"/>
  <c r="U146" i="1" s="1"/>
  <c r="V145" i="1"/>
  <c r="V146" i="1" s="1"/>
  <c r="W145" i="1"/>
  <c r="W146" i="1" s="1"/>
  <c r="X145" i="1"/>
  <c r="Y145" i="1"/>
  <c r="Y146" i="1" s="1"/>
  <c r="Z145" i="1"/>
  <c r="AA145" i="1"/>
  <c r="AB145" i="1"/>
  <c r="AB146" i="1" s="1"/>
  <c r="AC145" i="1"/>
  <c r="AD145" i="1"/>
  <c r="AD146" i="1" s="1"/>
  <c r="AE145" i="1"/>
  <c r="AE146" i="1" s="1"/>
  <c r="AF145" i="1"/>
  <c r="AG145" i="1"/>
  <c r="AV145" i="1"/>
  <c r="AV146" i="1" s="1"/>
  <c r="P146" i="1"/>
  <c r="Q146" i="1"/>
  <c r="R146" i="1"/>
  <c r="S146" i="1"/>
  <c r="X146" i="1"/>
  <c r="Z146" i="1"/>
  <c r="AA146" i="1"/>
  <c r="AC146" i="1"/>
  <c r="AU149" i="1"/>
  <c r="W152" i="1"/>
  <c r="AW156" i="1"/>
  <c r="X157" i="1"/>
  <c r="Y157" i="1"/>
  <c r="Y158" i="1" s="1"/>
  <c r="Z157" i="1"/>
  <c r="AA157" i="1"/>
  <c r="AB157" i="1"/>
  <c r="AB158" i="1" s="1"/>
  <c r="AC157" i="1"/>
  <c r="AD157" i="1"/>
  <c r="AE157" i="1"/>
  <c r="AE158" i="1" s="1"/>
  <c r="AF157" i="1"/>
  <c r="AG157" i="1"/>
  <c r="AV157" i="1"/>
  <c r="AW157" i="1"/>
  <c r="K158" i="1"/>
  <c r="X158" i="1"/>
  <c r="Z158" i="1"/>
  <c r="AA158" i="1"/>
  <c r="AC158" i="1"/>
  <c r="AD158" i="1"/>
  <c r="AF158" i="1"/>
  <c r="AG158" i="1"/>
  <c r="AV158" i="1"/>
  <c r="AW158" i="1"/>
  <c r="G159" i="1"/>
  <c r="H159" i="1"/>
  <c r="I159" i="1"/>
  <c r="J159" i="1"/>
  <c r="K159" i="1"/>
  <c r="K160" i="1" s="1"/>
  <c r="U159" i="1"/>
  <c r="V159" i="1"/>
  <c r="V160" i="1" s="1"/>
  <c r="W159" i="1"/>
  <c r="W160" i="1" s="1"/>
  <c r="X159" i="1"/>
  <c r="X160" i="1" s="1"/>
  <c r="Y159" i="1"/>
  <c r="Y160" i="1" s="1"/>
  <c r="Z159" i="1"/>
  <c r="AA159" i="1"/>
  <c r="AB159" i="1"/>
  <c r="AC159" i="1"/>
  <c r="AD159" i="1"/>
  <c r="AD160" i="1" s="1"/>
  <c r="AE159" i="1"/>
  <c r="AE160" i="1" s="1"/>
  <c r="AF159" i="1"/>
  <c r="AG159" i="1"/>
  <c r="AV159" i="1"/>
  <c r="AW159" i="1"/>
  <c r="G160" i="1"/>
  <c r="H160" i="1"/>
  <c r="I160" i="1"/>
  <c r="J160" i="1"/>
  <c r="U160" i="1"/>
  <c r="Z160" i="1"/>
  <c r="AA160" i="1"/>
  <c r="AB160" i="1"/>
  <c r="AC160" i="1"/>
  <c r="AF160" i="1"/>
  <c r="AG160" i="1"/>
  <c r="AV160" i="1"/>
  <c r="AW160" i="1"/>
  <c r="Y161" i="1"/>
  <c r="Z161" i="1"/>
  <c r="AA161" i="1"/>
  <c r="AB161" i="1"/>
  <c r="AB163" i="1" s="1"/>
  <c r="AC161" i="1"/>
  <c r="AD161" i="1"/>
  <c r="AD163" i="1" s="1"/>
  <c r="AE161" i="1"/>
  <c r="AE162" i="1" s="1"/>
  <c r="AF161" i="1"/>
  <c r="AG161" i="1"/>
  <c r="AW161" i="1"/>
  <c r="Y162" i="1"/>
  <c r="AA162" i="1"/>
  <c r="AB162" i="1"/>
  <c r="AC162" i="1"/>
  <c r="AF162" i="1"/>
  <c r="Y163" i="1"/>
  <c r="AA163" i="1"/>
  <c r="AE163" i="1"/>
  <c r="AI164" i="1" s="1"/>
  <c r="AI163" i="1"/>
  <c r="AJ163" i="1"/>
  <c r="AK163" i="1"/>
  <c r="AL163" i="1"/>
  <c r="AM163" i="1"/>
  <c r="AM164" i="1" s="1"/>
  <c r="H164" i="1"/>
  <c r="Y164" i="1"/>
  <c r="AG168" i="1"/>
  <c r="AH168" i="1"/>
  <c r="AG170" i="1"/>
  <c r="AH170" i="1"/>
  <c r="AW170" i="1"/>
  <c r="D182" i="1"/>
  <c r="F182" i="1"/>
  <c r="G182" i="1"/>
  <c r="H182" i="1"/>
  <c r="I182" i="1"/>
  <c r="J182" i="1"/>
  <c r="K183" i="1" s="1"/>
  <c r="K182" i="1"/>
  <c r="L183" i="1" s="1"/>
  <c r="L185" i="1" s="1"/>
  <c r="L182" i="1"/>
  <c r="M182" i="1"/>
  <c r="O182" i="1"/>
  <c r="P182" i="1"/>
  <c r="Q183" i="1" s="1"/>
  <c r="Q182" i="1"/>
  <c r="R182" i="1"/>
  <c r="R183" i="1" s="1"/>
  <c r="R185" i="1" s="1"/>
  <c r="R186" i="1" s="1"/>
  <c r="S182" i="1"/>
  <c r="S183" i="1" s="1"/>
  <c r="S185" i="1" s="1"/>
  <c r="S186" i="1" s="1"/>
  <c r="T182" i="1"/>
  <c r="U182" i="1"/>
  <c r="AA182" i="1"/>
  <c r="AB183" i="1" s="1"/>
  <c r="AB185" i="1" s="1"/>
  <c r="AB182" i="1"/>
  <c r="AC182" i="1"/>
  <c r="AD182" i="1"/>
  <c r="AE182" i="1"/>
  <c r="AF182" i="1"/>
  <c r="AG183" i="1" s="1"/>
  <c r="AG185" i="1" s="1"/>
  <c r="AG186" i="1" s="1"/>
  <c r="AS182" i="1"/>
  <c r="AT182" i="1"/>
  <c r="AU182" i="1"/>
  <c r="AV182" i="1"/>
  <c r="AW182" i="1"/>
  <c r="H183" i="1"/>
  <c r="H185" i="1" s="1"/>
  <c r="M183" i="1"/>
  <c r="M185" i="1" s="1"/>
  <c r="M186" i="1" s="1"/>
  <c r="P183" i="1"/>
  <c r="T183" i="1"/>
  <c r="T185" i="1" s="1"/>
  <c r="T186" i="1" s="1"/>
  <c r="U183" i="1"/>
  <c r="AC183" i="1"/>
  <c r="AC185" i="1" s="1"/>
  <c r="AC186" i="1" s="1"/>
  <c r="AD183" i="1"/>
  <c r="AD185" i="1" s="1"/>
  <c r="AD186" i="1" s="1"/>
  <c r="AE183" i="1"/>
  <c r="D184" i="1"/>
  <c r="D185" i="1" s="1"/>
  <c r="E184" i="1"/>
  <c r="F184" i="1"/>
  <c r="G184" i="1"/>
  <c r="AQ184" i="1"/>
  <c r="H184" i="1"/>
  <c r="I184" i="1"/>
  <c r="J184" i="1"/>
  <c r="K184" i="1"/>
  <c r="AR184" i="1"/>
  <c r="L184" i="1"/>
  <c r="M184" i="1"/>
  <c r="N184" i="1"/>
  <c r="O184" i="1"/>
  <c r="AS184" i="1"/>
  <c r="P184" i="1"/>
  <c r="P185" i="1"/>
  <c r="Q184" i="1"/>
  <c r="Q185" i="1"/>
  <c r="Q186" i="1" s="1"/>
  <c r="R184" i="1"/>
  <c r="S184" i="1"/>
  <c r="AT184" i="1"/>
  <c r="T184" i="1"/>
  <c r="U184" i="1"/>
  <c r="U185" i="1" s="1"/>
  <c r="V184" i="1"/>
  <c r="W184" i="1"/>
  <c r="AU184" i="1"/>
  <c r="X184" i="1"/>
  <c r="Y184" i="1"/>
  <c r="Z184" i="1"/>
  <c r="AA184" i="1"/>
  <c r="AV184" i="1"/>
  <c r="AB184" i="1"/>
  <c r="AC184" i="1"/>
  <c r="AD184" i="1"/>
  <c r="AE184" i="1"/>
  <c r="AE185" i="1" s="1"/>
  <c r="AE186" i="1" s="1"/>
  <c r="AW184" i="1"/>
  <c r="AF184" i="1"/>
  <c r="AG184" i="1"/>
  <c r="AX184" i="1"/>
  <c r="AY184" i="1"/>
  <c r="H188" i="1"/>
  <c r="I188" i="1"/>
  <c r="J188" i="1"/>
  <c r="K188" i="1"/>
  <c r="E190" i="1"/>
  <c r="F190" i="1"/>
  <c r="G190" i="1"/>
  <c r="H190" i="1"/>
  <c r="I190" i="1"/>
  <c r="J190" i="1"/>
  <c r="K190" i="1"/>
  <c r="E192" i="1"/>
  <c r="F192" i="1"/>
  <c r="J193" i="1" s="1"/>
  <c r="G192" i="1"/>
  <c r="H192" i="1"/>
  <c r="L193" i="1" s="1"/>
  <c r="I192" i="1"/>
  <c r="I193" i="1" s="1"/>
  <c r="J192" i="1"/>
  <c r="K192" i="1"/>
  <c r="K193" i="1" s="1"/>
  <c r="H193" i="1"/>
  <c r="Q193" i="1"/>
  <c r="U193" i="1"/>
  <c r="V193" i="1"/>
  <c r="Y193" i="1"/>
  <c r="Z193" i="1"/>
  <c r="AB193" i="1"/>
  <c r="AC193" i="1"/>
  <c r="AG193" i="1"/>
  <c r="AS193" i="1"/>
  <c r="L195" i="1"/>
  <c r="M195" i="1"/>
  <c r="O195" i="1"/>
  <c r="Q195" i="1"/>
  <c r="U195" i="1"/>
  <c r="V195" i="1"/>
  <c r="Y195" i="1"/>
  <c r="Z195" i="1"/>
  <c r="AB195" i="1"/>
  <c r="AC195" i="1"/>
  <c r="AG195" i="1"/>
  <c r="AS195" i="1"/>
  <c r="P207" i="1"/>
  <c r="S207" i="1"/>
  <c r="W207" i="1"/>
  <c r="AA207" i="1"/>
  <c r="AE207" i="1"/>
  <c r="D209" i="1"/>
  <c r="H214" i="1" s="1"/>
  <c r="E209" i="1"/>
  <c r="E208" i="1"/>
  <c r="F209" i="1"/>
  <c r="F217" i="1" s="1"/>
  <c r="G209" i="1"/>
  <c r="G208" i="1"/>
  <c r="G218" i="1" s="1"/>
  <c r="H209" i="1"/>
  <c r="H208" i="1"/>
  <c r="I209" i="1"/>
  <c r="I214" i="1" s="1"/>
  <c r="I208" i="1"/>
  <c r="J209" i="1"/>
  <c r="K209" i="1"/>
  <c r="K208" i="1" s="1"/>
  <c r="L209" i="1"/>
  <c r="L219" i="1" s="1"/>
  <c r="M209" i="1"/>
  <c r="M208" i="1"/>
  <c r="N209" i="1"/>
  <c r="N208" i="1" s="1"/>
  <c r="O209" i="1"/>
  <c r="O219" i="1" s="1"/>
  <c r="O208" i="1"/>
  <c r="P209" i="1"/>
  <c r="P214" i="1" s="1"/>
  <c r="Q209" i="1"/>
  <c r="Q219" i="1" s="1"/>
  <c r="Q208" i="1"/>
  <c r="R209" i="1"/>
  <c r="R217" i="1" s="1"/>
  <c r="AT209" i="1"/>
  <c r="AT208" i="1" s="1"/>
  <c r="T209" i="1"/>
  <c r="T208" i="1" s="1"/>
  <c r="U209" i="1"/>
  <c r="U208" i="1"/>
  <c r="V209" i="1"/>
  <c r="V208" i="1"/>
  <c r="AU275" i="1"/>
  <c r="AU209" i="1" s="1"/>
  <c r="X209" i="1"/>
  <c r="Y209" i="1"/>
  <c r="Y208" i="1" s="1"/>
  <c r="Z209" i="1"/>
  <c r="Z208" i="1"/>
  <c r="Z213" i="1" s="1"/>
  <c r="AV275" i="1"/>
  <c r="AV209" i="1" s="1"/>
  <c r="AB209" i="1"/>
  <c r="AB208" i="1"/>
  <c r="AC209" i="1"/>
  <c r="AC214" i="1" s="1"/>
  <c r="AD209" i="1"/>
  <c r="AD208" i="1"/>
  <c r="AD213" i="1" s="1"/>
  <c r="AW275" i="1"/>
  <c r="AW209" i="1" s="1"/>
  <c r="AF209" i="1"/>
  <c r="AF208" i="1"/>
  <c r="AF218" i="1" s="1"/>
  <c r="AG209" i="1"/>
  <c r="AG208" i="1" s="1"/>
  <c r="AQ209" i="1"/>
  <c r="AQ219" i="1" s="1"/>
  <c r="AQ208" i="1"/>
  <c r="AR209" i="1"/>
  <c r="AR208" i="1"/>
  <c r="AS209" i="1"/>
  <c r="AS208" i="1" s="1"/>
  <c r="H212" i="1"/>
  <c r="I212" i="1"/>
  <c r="J212" i="1"/>
  <c r="K212" i="1"/>
  <c r="L212" i="1"/>
  <c r="M212" i="1"/>
  <c r="N212" i="1"/>
  <c r="O212" i="1"/>
  <c r="Q212" i="1"/>
  <c r="R212" i="1"/>
  <c r="U212" i="1"/>
  <c r="V212" i="1"/>
  <c r="X212" i="1"/>
  <c r="Y212" i="1"/>
  <c r="Z212" i="1"/>
  <c r="AA212" i="1"/>
  <c r="AB212" i="1"/>
  <c r="AC212" i="1"/>
  <c r="AD212" i="1"/>
  <c r="AE212" i="1"/>
  <c r="AF212" i="1"/>
  <c r="AG212" i="1"/>
  <c r="AR212" i="1"/>
  <c r="AS212" i="1"/>
  <c r="AT212" i="1"/>
  <c r="AU212" i="1"/>
  <c r="AV212" i="1"/>
  <c r="AW212" i="1"/>
  <c r="AR213" i="1"/>
  <c r="K214" i="1"/>
  <c r="L214" i="1"/>
  <c r="O214" i="1"/>
  <c r="T214" i="1"/>
  <c r="U214" i="1"/>
  <c r="V214" i="1"/>
  <c r="Y214" i="1"/>
  <c r="Z214" i="1"/>
  <c r="AD214" i="1"/>
  <c r="AF214" i="1"/>
  <c r="AR214" i="1"/>
  <c r="AS214" i="1"/>
  <c r="AT214" i="1"/>
  <c r="E217" i="1"/>
  <c r="G217" i="1"/>
  <c r="H217" i="1"/>
  <c r="K217" i="1"/>
  <c r="M217" i="1"/>
  <c r="N217" i="1"/>
  <c r="O217" i="1"/>
  <c r="Q217" i="1"/>
  <c r="T217" i="1"/>
  <c r="U217" i="1"/>
  <c r="V217" i="1"/>
  <c r="Z217" i="1"/>
  <c r="AB217" i="1"/>
  <c r="AC217" i="1"/>
  <c r="AD217" i="1"/>
  <c r="AF217" i="1"/>
  <c r="AG217" i="1"/>
  <c r="AQ217" i="1"/>
  <c r="AR217" i="1"/>
  <c r="AS217" i="1"/>
  <c r="AT217" i="1"/>
  <c r="E218" i="1"/>
  <c r="H218" i="1"/>
  <c r="M218" i="1"/>
  <c r="O218" i="1"/>
  <c r="U218" i="1"/>
  <c r="V218" i="1"/>
  <c r="AB218" i="1"/>
  <c r="AD218" i="1"/>
  <c r="AQ218" i="1"/>
  <c r="AR218" i="1"/>
  <c r="E219" i="1"/>
  <c r="F219" i="1"/>
  <c r="G219" i="1"/>
  <c r="H219" i="1"/>
  <c r="I219" i="1"/>
  <c r="K219" i="1"/>
  <c r="M219" i="1"/>
  <c r="N219" i="1"/>
  <c r="P219" i="1"/>
  <c r="T219" i="1"/>
  <c r="U219" i="1"/>
  <c r="V219" i="1"/>
  <c r="Y219" i="1"/>
  <c r="Z219" i="1"/>
  <c r="AB219" i="1"/>
  <c r="AC219" i="1"/>
  <c r="AD219" i="1"/>
  <c r="AF219" i="1"/>
  <c r="AG219" i="1"/>
  <c r="AR219" i="1"/>
  <c r="AS219" i="1"/>
  <c r="AT219" i="1"/>
  <c r="D222" i="1"/>
  <c r="D224" i="1" s="1"/>
  <c r="E222" i="1"/>
  <c r="F222" i="1"/>
  <c r="F224" i="1" s="1"/>
  <c r="G222" i="1"/>
  <c r="H222" i="1"/>
  <c r="H224" i="1" s="1"/>
  <c r="I222" i="1"/>
  <c r="I224" i="1" s="1"/>
  <c r="J222" i="1"/>
  <c r="K222" i="1"/>
  <c r="L222" i="1"/>
  <c r="L224" i="1" s="1"/>
  <c r="M222" i="1"/>
  <c r="N222" i="1"/>
  <c r="O222" i="1"/>
  <c r="P222" i="1"/>
  <c r="Q222" i="1"/>
  <c r="R222" i="1"/>
  <c r="S222" i="1"/>
  <c r="T222" i="1"/>
  <c r="T224" i="1" s="1"/>
  <c r="U222" i="1"/>
  <c r="V222" i="1"/>
  <c r="V224" i="1" s="1"/>
  <c r="V226" i="1" s="1"/>
  <c r="W222" i="1"/>
  <c r="X222" i="1"/>
  <c r="X224" i="1" s="1"/>
  <c r="Y222" i="1"/>
  <c r="Z222" i="1"/>
  <c r="AA222" i="1"/>
  <c r="AB222" i="1"/>
  <c r="AB224" i="1" s="1"/>
  <c r="AC222" i="1"/>
  <c r="AD222" i="1"/>
  <c r="AE222" i="1"/>
  <c r="AF222" i="1"/>
  <c r="AG222" i="1"/>
  <c r="AQ222" i="1"/>
  <c r="AR222" i="1"/>
  <c r="AS222" i="1"/>
  <c r="AS224" i="1" s="1"/>
  <c r="AT222" i="1"/>
  <c r="P223" i="1"/>
  <c r="P224" i="1" s="1"/>
  <c r="Q223" i="1"/>
  <c r="R223" i="1"/>
  <c r="S369" i="1"/>
  <c r="S223" i="1" s="1"/>
  <c r="T223" i="1"/>
  <c r="U223" i="1"/>
  <c r="V223" i="1"/>
  <c r="W223" i="1"/>
  <c r="X223" i="1"/>
  <c r="Y223" i="1"/>
  <c r="Z223" i="1"/>
  <c r="Z224" i="1" s="1"/>
  <c r="AA223" i="1"/>
  <c r="AB223" i="1"/>
  <c r="AC223" i="1"/>
  <c r="AD223" i="1"/>
  <c r="AD224" i="1" s="1"/>
  <c r="AE223" i="1"/>
  <c r="AE224" i="1" s="1"/>
  <c r="AF223" i="1"/>
  <c r="AG223" i="1"/>
  <c r="AQ223" i="1"/>
  <c r="AR223" i="1"/>
  <c r="AS223" i="1"/>
  <c r="AT223" i="1"/>
  <c r="AU223" i="1"/>
  <c r="AV223" i="1"/>
  <c r="AW422" i="1"/>
  <c r="AW427" i="1"/>
  <c r="AW223" i="1" s="1"/>
  <c r="E224" i="1"/>
  <c r="G224" i="1"/>
  <c r="J224" i="1"/>
  <c r="J226" i="1" s="1"/>
  <c r="K224" i="1"/>
  <c r="M224" i="1"/>
  <c r="M226" i="1" s="1"/>
  <c r="N224" i="1"/>
  <c r="O224" i="1"/>
  <c r="O225" i="1" s="1"/>
  <c r="Q224" i="1"/>
  <c r="Q226" i="1" s="1"/>
  <c r="R224" i="1"/>
  <c r="S224" i="1"/>
  <c r="U224" i="1"/>
  <c r="W224" i="1"/>
  <c r="AA224" i="1"/>
  <c r="AC224" i="1"/>
  <c r="AC226" i="1" s="1"/>
  <c r="AF224" i="1"/>
  <c r="AF226" i="1" s="1"/>
  <c r="AG224" i="1"/>
  <c r="AG226" i="1" s="1"/>
  <c r="AQ224" i="1"/>
  <c r="AR224" i="1"/>
  <c r="AT224" i="1"/>
  <c r="N225" i="1"/>
  <c r="U225" i="1"/>
  <c r="V225" i="1"/>
  <c r="K226" i="1"/>
  <c r="N226" i="1"/>
  <c r="O226" i="1"/>
  <c r="AQ229" i="1"/>
  <c r="AR229" i="1"/>
  <c r="AS229" i="1"/>
  <c r="AT229" i="1"/>
  <c r="AU229" i="1"/>
  <c r="O230" i="1"/>
  <c r="P230" i="1"/>
  <c r="Q230" i="1"/>
  <c r="R230" i="1"/>
  <c r="S230" i="1"/>
  <c r="T230" i="1"/>
  <c r="U230" i="1"/>
  <c r="V230" i="1"/>
  <c r="W230" i="1"/>
  <c r="X230" i="1"/>
  <c r="Y230" i="1"/>
  <c r="Z230" i="1"/>
  <c r="AA230" i="1"/>
  <c r="AB230" i="1"/>
  <c r="AC230" i="1"/>
  <c r="AD230" i="1"/>
  <c r="AE230" i="1"/>
  <c r="AF230" i="1"/>
  <c r="AG230" i="1"/>
  <c r="AQ231" i="1"/>
  <c r="AQ230" i="1"/>
  <c r="AR231" i="1"/>
  <c r="AR230" i="1"/>
  <c r="AS231" i="1"/>
  <c r="AS230" i="1"/>
  <c r="AT231" i="1"/>
  <c r="AT230" i="1"/>
  <c r="AU231" i="1"/>
  <c r="AU230" i="1" s="1"/>
  <c r="AQ232" i="1"/>
  <c r="AR232" i="1"/>
  <c r="AS232" i="1"/>
  <c r="AT232" i="1"/>
  <c r="AU232" i="1"/>
  <c r="AU233" i="1"/>
  <c r="AV233" i="1"/>
  <c r="AW233" i="1"/>
  <c r="AU234" i="1"/>
  <c r="AV234" i="1"/>
  <c r="AW234" i="1"/>
  <c r="AU235" i="1"/>
  <c r="AV235" i="1"/>
  <c r="AW235" i="1"/>
  <c r="AU236" i="1"/>
  <c r="AV236" i="1"/>
  <c r="AW236" i="1"/>
  <c r="AQ238" i="1"/>
  <c r="AR238" i="1"/>
  <c r="AS238" i="1"/>
  <c r="AT238" i="1"/>
  <c r="AU238" i="1"/>
  <c r="AV238" i="1"/>
  <c r="AW238" i="1"/>
  <c r="AQ240" i="1"/>
  <c r="AR240" i="1"/>
  <c r="AS240" i="1"/>
  <c r="AT240" i="1"/>
  <c r="AU240" i="1"/>
  <c r="AV240" i="1"/>
  <c r="AW240" i="1"/>
  <c r="AA242" i="1"/>
  <c r="AV242" i="1" s="1"/>
  <c r="X242" i="1"/>
  <c r="Y242" i="1"/>
  <c r="Y243" i="1" s="1"/>
  <c r="Z242" i="1"/>
  <c r="Z244" i="1" s="1"/>
  <c r="Z245" i="1" s="1"/>
  <c r="AQ242" i="1"/>
  <c r="AR242" i="1"/>
  <c r="AR243" i="1" s="1"/>
  <c r="AS242" i="1"/>
  <c r="AT242" i="1"/>
  <c r="AT244" i="1" s="1"/>
  <c r="AT245" i="1" s="1"/>
  <c r="AW242" i="1"/>
  <c r="D243" i="1"/>
  <c r="E243" i="1"/>
  <c r="F243" i="1"/>
  <c r="G243" i="1"/>
  <c r="H243" i="1"/>
  <c r="I243" i="1"/>
  <c r="J243" i="1"/>
  <c r="K243" i="1"/>
  <c r="L243" i="1"/>
  <c r="M243" i="1"/>
  <c r="N243" i="1"/>
  <c r="O243" i="1"/>
  <c r="P243" i="1"/>
  <c r="Q243" i="1"/>
  <c r="R243" i="1"/>
  <c r="S243" i="1"/>
  <c r="T243" i="1"/>
  <c r="U243" i="1"/>
  <c r="V243" i="1"/>
  <c r="X243" i="1"/>
  <c r="Z243" i="1"/>
  <c r="AS243" i="1"/>
  <c r="AT243" i="1"/>
  <c r="L244" i="1"/>
  <c r="M244" i="1"/>
  <c r="N244" i="1"/>
  <c r="N245" i="1" s="1"/>
  <c r="O244" i="1"/>
  <c r="O245" i="1" s="1"/>
  <c r="P244" i="1"/>
  <c r="P245" i="1" s="1"/>
  <c r="Q244" i="1"/>
  <c r="Q245" i="1" s="1"/>
  <c r="R244" i="1"/>
  <c r="S244" i="1"/>
  <c r="T244" i="1"/>
  <c r="U244" i="1"/>
  <c r="V244" i="1"/>
  <c r="V245" i="1" s="1"/>
  <c r="Y244" i="1"/>
  <c r="AB244" i="1"/>
  <c r="AC244" i="1"/>
  <c r="AD244" i="1"/>
  <c r="AD245" i="1" s="1"/>
  <c r="AE244" i="1"/>
  <c r="AF244" i="1"/>
  <c r="AF245" i="1" s="1"/>
  <c r="AG244" i="1"/>
  <c r="AG245" i="1" s="1"/>
  <c r="AR244" i="1"/>
  <c r="AS244" i="1"/>
  <c r="L245" i="1"/>
  <c r="M245" i="1"/>
  <c r="R245" i="1"/>
  <c r="S245" i="1"/>
  <c r="T245" i="1"/>
  <c r="Y245" i="1"/>
  <c r="AC245" i="1"/>
  <c r="AS245" i="1"/>
  <c r="AS277" i="1"/>
  <c r="AT277" i="1"/>
  <c r="AU277" i="1"/>
  <c r="AV277" i="1"/>
  <c r="AW277" i="1"/>
  <c r="AW283" i="1"/>
  <c r="D284" i="1"/>
  <c r="D286" i="1" s="1"/>
  <c r="D289" i="1" s="1"/>
  <c r="D291" i="1" s="1"/>
  <c r="E284" i="1"/>
  <c r="E286" i="1" s="1"/>
  <c r="E289" i="1" s="1"/>
  <c r="E291" i="1" s="1"/>
  <c r="E299" i="1" s="1"/>
  <c r="F284" i="1"/>
  <c r="F286" i="1" s="1"/>
  <c r="F289" i="1" s="1"/>
  <c r="F291" i="1" s="1"/>
  <c r="F293" i="1" s="1"/>
  <c r="G284" i="1"/>
  <c r="G286" i="1" s="1"/>
  <c r="G289" i="1" s="1"/>
  <c r="G291" i="1" s="1"/>
  <c r="H284" i="1"/>
  <c r="I284" i="1"/>
  <c r="J284" i="1"/>
  <c r="J286" i="1" s="1"/>
  <c r="J289" i="1" s="1"/>
  <c r="J291" i="1" s="1"/>
  <c r="K284" i="1"/>
  <c r="K286" i="1" s="1"/>
  <c r="L284" i="1"/>
  <c r="M284" i="1"/>
  <c r="N284" i="1"/>
  <c r="N286" i="1" s="1"/>
  <c r="N289" i="1" s="1"/>
  <c r="N291" i="1" s="1"/>
  <c r="O284" i="1"/>
  <c r="P284" i="1"/>
  <c r="Q284" i="1"/>
  <c r="R284" i="1"/>
  <c r="R286" i="1" s="1"/>
  <c r="R289" i="1" s="1"/>
  <c r="R291" i="1" s="1"/>
  <c r="S284" i="1"/>
  <c r="S286" i="1" s="1"/>
  <c r="S289" i="1" s="1"/>
  <c r="S291" i="1" s="1"/>
  <c r="T284" i="1"/>
  <c r="T286" i="1" s="1"/>
  <c r="U284" i="1"/>
  <c r="U286" i="1" s="1"/>
  <c r="U289" i="1" s="1"/>
  <c r="U291" i="1" s="1"/>
  <c r="V284" i="1"/>
  <c r="V286" i="1" s="1"/>
  <c r="V289" i="1" s="1"/>
  <c r="V291" i="1" s="1"/>
  <c r="J11" i="6" s="1"/>
  <c r="P11" i="6" s="1"/>
  <c r="W284" i="1"/>
  <c r="W286" i="1" s="1"/>
  <c r="W289" i="1" s="1"/>
  <c r="W291" i="1" s="1"/>
  <c r="X284" i="1"/>
  <c r="AV284" i="1" s="1"/>
  <c r="Y284" i="1"/>
  <c r="Z284" i="1"/>
  <c r="Z286" i="1" s="1"/>
  <c r="Z289" i="1" s="1"/>
  <c r="Z291" i="1" s="1"/>
  <c r="AA284" i="1"/>
  <c r="AA286" i="1" s="1"/>
  <c r="AB284" i="1"/>
  <c r="AC284" i="1"/>
  <c r="AW284" i="1" s="1"/>
  <c r="AD284" i="1"/>
  <c r="AD286" i="1" s="1"/>
  <c r="AE284" i="1"/>
  <c r="AF284" i="1"/>
  <c r="AG284" i="1"/>
  <c r="AQ284" i="1"/>
  <c r="AQ286" i="1" s="1"/>
  <c r="AQ289" i="1" s="1"/>
  <c r="AR284" i="1"/>
  <c r="AR286" i="1" s="1"/>
  <c r="AR289" i="1" s="1"/>
  <c r="AR291" i="1" s="1"/>
  <c r="AS284" i="1"/>
  <c r="AT284" i="1"/>
  <c r="AU284" i="1"/>
  <c r="H286" i="1"/>
  <c r="I286" i="1"/>
  <c r="I289" i="1" s="1"/>
  <c r="I291" i="1" s="1"/>
  <c r="L286" i="1"/>
  <c r="M286" i="1"/>
  <c r="M289" i="1" s="1"/>
  <c r="M291" i="1" s="1"/>
  <c r="O286" i="1"/>
  <c r="O289" i="1" s="1"/>
  <c r="O291" i="1" s="1"/>
  <c r="P286" i="1"/>
  <c r="Q286" i="1"/>
  <c r="Q289" i="1" s="1"/>
  <c r="Q291" i="1" s="1"/>
  <c r="X286" i="1"/>
  <c r="Y286" i="1"/>
  <c r="Y289" i="1" s="1"/>
  <c r="Y291" i="1" s="1"/>
  <c r="AB286" i="1"/>
  <c r="AC286" i="1"/>
  <c r="AC289" i="1" s="1"/>
  <c r="AC291" i="1" s="1"/>
  <c r="AE286" i="1"/>
  <c r="AE289" i="1" s="1"/>
  <c r="AE291" i="1" s="1"/>
  <c r="AF286" i="1"/>
  <c r="AF289" i="1" s="1"/>
  <c r="AG286" i="1"/>
  <c r="AG289" i="1" s="1"/>
  <c r="H289" i="1"/>
  <c r="H291" i="1" s="1"/>
  <c r="K289" i="1"/>
  <c r="K291" i="1" s="1"/>
  <c r="L289" i="1"/>
  <c r="X289" i="1"/>
  <c r="X291" i="1" s="1"/>
  <c r="AA289" i="1"/>
  <c r="AA291" i="1" s="1"/>
  <c r="AA299" i="1" s="1"/>
  <c r="AB289" i="1"/>
  <c r="AS290" i="1"/>
  <c r="AT290" i="1"/>
  <c r="AU290" i="1"/>
  <c r="AV290" i="1"/>
  <c r="AW290" i="1"/>
  <c r="AF291" i="1"/>
  <c r="AF293" i="1" s="1"/>
  <c r="AG291" i="1"/>
  <c r="AG293" i="1" s="1"/>
  <c r="AQ291" i="1"/>
  <c r="AF292" i="1"/>
  <c r="AS292" i="1"/>
  <c r="AT292" i="1"/>
  <c r="AU292" i="1"/>
  <c r="AV292" i="1"/>
  <c r="AW292" i="1"/>
  <c r="E293" i="1"/>
  <c r="AA293" i="1"/>
  <c r="F299" i="1"/>
  <c r="D300" i="1"/>
  <c r="E300" i="1"/>
  <c r="F300" i="1"/>
  <c r="G300" i="1"/>
  <c r="H300" i="1"/>
  <c r="I300" i="1"/>
  <c r="J300" i="1"/>
  <c r="K300" i="1"/>
  <c r="L300" i="1"/>
  <c r="M300" i="1"/>
  <c r="N300" i="1"/>
  <c r="O300" i="1"/>
  <c r="P300" i="1"/>
  <c r="Q300" i="1"/>
  <c r="R300" i="1"/>
  <c r="S300" i="1"/>
  <c r="T300" i="1"/>
  <c r="U300" i="1"/>
  <c r="V300" i="1"/>
  <c r="W300" i="1"/>
  <c r="X300" i="1"/>
  <c r="AV300" i="1" s="1"/>
  <c r="Y300" i="1"/>
  <c r="Z300" i="1"/>
  <c r="AA300" i="1"/>
  <c r="AB300" i="1"/>
  <c r="AW300" i="1" s="1"/>
  <c r="AC300" i="1"/>
  <c r="AD300" i="1"/>
  <c r="AE300" i="1"/>
  <c r="AF300" i="1"/>
  <c r="AG300" i="1"/>
  <c r="AQ300" i="1"/>
  <c r="AR300" i="1"/>
  <c r="AS300" i="1"/>
  <c r="AT300" i="1"/>
  <c r="D301" i="1"/>
  <c r="E301" i="1"/>
  <c r="F301" i="1"/>
  <c r="G301" i="1"/>
  <c r="H301" i="1"/>
  <c r="I301" i="1"/>
  <c r="J301" i="1"/>
  <c r="K301" i="1"/>
  <c r="L301" i="1"/>
  <c r="M301" i="1"/>
  <c r="N301" i="1"/>
  <c r="O301" i="1"/>
  <c r="P301" i="1"/>
  <c r="AT301" i="1" s="1"/>
  <c r="Q301" i="1"/>
  <c r="R301" i="1"/>
  <c r="S301" i="1"/>
  <c r="T301" i="1"/>
  <c r="AU301" i="1" s="1"/>
  <c r="U301" i="1"/>
  <c r="V301" i="1"/>
  <c r="W301" i="1"/>
  <c r="X301" i="1"/>
  <c r="Y301" i="1"/>
  <c r="Z301" i="1"/>
  <c r="AA301" i="1"/>
  <c r="AB301" i="1"/>
  <c r="AW301" i="1" s="1"/>
  <c r="AC301" i="1"/>
  <c r="AD301" i="1"/>
  <c r="AE301" i="1"/>
  <c r="AF301" i="1"/>
  <c r="AG301" i="1"/>
  <c r="AQ301" i="1"/>
  <c r="AR301" i="1"/>
  <c r="AS301" i="1"/>
  <c r="AV301" i="1"/>
  <c r="D302" i="1"/>
  <c r="E302" i="1"/>
  <c r="F302" i="1"/>
  <c r="G302" i="1"/>
  <c r="H302" i="1"/>
  <c r="I302" i="1"/>
  <c r="J302" i="1"/>
  <c r="K302" i="1"/>
  <c r="L302" i="1"/>
  <c r="M302" i="1"/>
  <c r="N302" i="1"/>
  <c r="O302" i="1"/>
  <c r="AS302" i="1" s="1"/>
  <c r="P302" i="1"/>
  <c r="Q302" i="1"/>
  <c r="R302" i="1"/>
  <c r="S302" i="1"/>
  <c r="T302" i="1"/>
  <c r="U302" i="1"/>
  <c r="V302" i="1"/>
  <c r="W302" i="1"/>
  <c r="X302" i="1"/>
  <c r="Y302" i="1"/>
  <c r="Z302" i="1"/>
  <c r="AA302" i="1"/>
  <c r="AB302" i="1"/>
  <c r="AC302" i="1"/>
  <c r="AD302" i="1"/>
  <c r="AE302" i="1"/>
  <c r="AW302" i="1" s="1"/>
  <c r="AF302" i="1"/>
  <c r="AG302" i="1"/>
  <c r="AQ302" i="1"/>
  <c r="AR302" i="1"/>
  <c r="AV302" i="1"/>
  <c r="D329" i="1"/>
  <c r="D303" i="1"/>
  <c r="E329" i="1"/>
  <c r="E303" i="1" s="1"/>
  <c r="F329" i="1"/>
  <c r="F303" i="1"/>
  <c r="G329" i="1"/>
  <c r="G303" i="1"/>
  <c r="H329" i="1"/>
  <c r="H303" i="1"/>
  <c r="I329" i="1"/>
  <c r="I303" i="1" s="1"/>
  <c r="J329" i="1"/>
  <c r="J303" i="1" s="1"/>
  <c r="K329" i="1"/>
  <c r="K303" i="1" s="1"/>
  <c r="L329" i="1"/>
  <c r="L303" i="1"/>
  <c r="AS303" i="1" s="1"/>
  <c r="M329" i="1"/>
  <c r="M303" i="1" s="1"/>
  <c r="N329" i="1"/>
  <c r="N303" i="1"/>
  <c r="O329" i="1"/>
  <c r="O303" i="1"/>
  <c r="P329" i="1"/>
  <c r="P303" i="1"/>
  <c r="AT303" i="1" s="1"/>
  <c r="Q329" i="1"/>
  <c r="Q303" i="1" s="1"/>
  <c r="R329" i="1"/>
  <c r="R303" i="1" s="1"/>
  <c r="S329" i="1"/>
  <c r="S303" i="1"/>
  <c r="T329" i="1"/>
  <c r="T303" i="1"/>
  <c r="U329" i="1"/>
  <c r="U303" i="1" s="1"/>
  <c r="V329" i="1"/>
  <c r="V303" i="1"/>
  <c r="W329" i="1"/>
  <c r="AU329" i="1" s="1"/>
  <c r="X329" i="1"/>
  <c r="AV329" i="1" s="1"/>
  <c r="Y329" i="1"/>
  <c r="Y303" i="1" s="1"/>
  <c r="Z329" i="1"/>
  <c r="Z303" i="1" s="1"/>
  <c r="AA329" i="1"/>
  <c r="AA303" i="1"/>
  <c r="AB329" i="1"/>
  <c r="AB303" i="1"/>
  <c r="AC329" i="1"/>
  <c r="AD329" i="1"/>
  <c r="AD303" i="1"/>
  <c r="AE329" i="1"/>
  <c r="AE303" i="1" s="1"/>
  <c r="AF329" i="1"/>
  <c r="AF303" i="1" s="1"/>
  <c r="AG329" i="1"/>
  <c r="AG303" i="1" s="1"/>
  <c r="AQ329" i="1"/>
  <c r="AQ303" i="1" s="1"/>
  <c r="AR329" i="1"/>
  <c r="AR303" i="1"/>
  <c r="D336" i="1"/>
  <c r="D304" i="1"/>
  <c r="E336" i="1"/>
  <c r="E304" i="1" s="1"/>
  <c r="F336" i="1"/>
  <c r="F304" i="1"/>
  <c r="G336" i="1"/>
  <c r="G304" i="1"/>
  <c r="H336" i="1"/>
  <c r="H304" i="1"/>
  <c r="I336" i="1"/>
  <c r="I304" i="1" s="1"/>
  <c r="J336" i="1"/>
  <c r="J304" i="1" s="1"/>
  <c r="K336" i="1"/>
  <c r="K304" i="1" s="1"/>
  <c r="L336" i="1"/>
  <c r="L304" i="1"/>
  <c r="M336" i="1"/>
  <c r="M304" i="1"/>
  <c r="N336" i="1"/>
  <c r="AS336" i="1" s="1"/>
  <c r="N304" i="1"/>
  <c r="O336" i="1"/>
  <c r="O304" i="1"/>
  <c r="P336" i="1"/>
  <c r="P304" i="1"/>
  <c r="Q336" i="1"/>
  <c r="Q304" i="1" s="1"/>
  <c r="R336" i="1"/>
  <c r="R304" i="1" s="1"/>
  <c r="AT304" i="1" s="1"/>
  <c r="S336" i="1"/>
  <c r="S304" i="1" s="1"/>
  <c r="T336" i="1"/>
  <c r="T304" i="1"/>
  <c r="U336" i="1"/>
  <c r="U304" i="1"/>
  <c r="V336" i="1"/>
  <c r="V304" i="1"/>
  <c r="W336" i="1"/>
  <c r="W304" i="1"/>
  <c r="X336" i="1"/>
  <c r="X304" i="1"/>
  <c r="AV304" i="1" s="1"/>
  <c r="Y336" i="1"/>
  <c r="Y304" i="1" s="1"/>
  <c r="Z336" i="1"/>
  <c r="Z304" i="1"/>
  <c r="AA336" i="1"/>
  <c r="AA304" i="1" s="1"/>
  <c r="AB336" i="1"/>
  <c r="AB304" i="1"/>
  <c r="AC336" i="1"/>
  <c r="AC304" i="1"/>
  <c r="AD336" i="1"/>
  <c r="AD304" i="1"/>
  <c r="AE336" i="1"/>
  <c r="AE304" i="1"/>
  <c r="AW304" i="1" s="1"/>
  <c r="AF336" i="1"/>
  <c r="AF304" i="1"/>
  <c r="AG336" i="1"/>
  <c r="AG304" i="1" s="1"/>
  <c r="AQ336" i="1"/>
  <c r="AQ304" i="1" s="1"/>
  <c r="AR336" i="1"/>
  <c r="AR304" i="1" s="1"/>
  <c r="AS306" i="1"/>
  <c r="N306" i="1" s="1"/>
  <c r="L306" i="1"/>
  <c r="M306" i="1"/>
  <c r="O306" i="1"/>
  <c r="P306" i="1"/>
  <c r="Q306" i="1"/>
  <c r="R306" i="1"/>
  <c r="S346" i="1"/>
  <c r="S306" i="1" s="1"/>
  <c r="T306" i="1"/>
  <c r="U306" i="1"/>
  <c r="V306" i="1"/>
  <c r="W346" i="1"/>
  <c r="W306" i="1" s="1"/>
  <c r="X306" i="1"/>
  <c r="Y306" i="1"/>
  <c r="Z306" i="1"/>
  <c r="AA346" i="1"/>
  <c r="AA306" i="1" s="1"/>
  <c r="AB306" i="1"/>
  <c r="AC306" i="1"/>
  <c r="AD306" i="1"/>
  <c r="AE346" i="1"/>
  <c r="AE306" i="1"/>
  <c r="AF306" i="1"/>
  <c r="AG306" i="1"/>
  <c r="AQ306" i="1"/>
  <c r="AR306" i="1"/>
  <c r="AT306" i="1"/>
  <c r="AU306" i="1"/>
  <c r="AV306" i="1"/>
  <c r="AW306" i="1"/>
  <c r="D307" i="1"/>
  <c r="E307" i="1"/>
  <c r="F307" i="1"/>
  <c r="G307" i="1"/>
  <c r="H307" i="1"/>
  <c r="I307" i="1"/>
  <c r="J307" i="1"/>
  <c r="K307" i="1"/>
  <c r="L307" i="1"/>
  <c r="AS307" i="1" s="1"/>
  <c r="M307" i="1"/>
  <c r="N307" i="1"/>
  <c r="O307" i="1"/>
  <c r="P307" i="1"/>
  <c r="AT307" i="1" s="1"/>
  <c r="Q307" i="1"/>
  <c r="R307" i="1"/>
  <c r="S307" i="1"/>
  <c r="T307" i="1"/>
  <c r="U307" i="1"/>
  <c r="AU307" i="1" s="1"/>
  <c r="V307" i="1"/>
  <c r="W307" i="1"/>
  <c r="X307" i="1"/>
  <c r="AV307" i="1" s="1"/>
  <c r="Y307" i="1"/>
  <c r="Z307" i="1"/>
  <c r="AA307" i="1"/>
  <c r="AB307" i="1"/>
  <c r="AC307" i="1"/>
  <c r="AE307" i="1"/>
  <c r="AF307" i="1"/>
  <c r="AG307" i="1"/>
  <c r="AQ307" i="1"/>
  <c r="AR307" i="1"/>
  <c r="F308" i="1"/>
  <c r="L322" i="1"/>
  <c r="M322" i="1"/>
  <c r="N322" i="1"/>
  <c r="O322" i="1"/>
  <c r="AS322" i="1" s="1"/>
  <c r="AT329" i="1"/>
  <c r="AT336" i="1"/>
  <c r="AU336" i="1"/>
  <c r="AW336" i="1"/>
  <c r="S344" i="1"/>
  <c r="W344" i="1"/>
  <c r="AA344" i="1"/>
  <c r="AE344" i="1"/>
  <c r="S347" i="1"/>
  <c r="W347" i="1"/>
  <c r="AA347" i="1"/>
  <c r="AE347" i="1"/>
  <c r="S348" i="1"/>
  <c r="W348" i="1"/>
  <c r="AA348" i="1"/>
  <c r="AE348" i="1"/>
  <c r="S349" i="1"/>
  <c r="W349" i="1"/>
  <c r="AA349" i="1"/>
  <c r="AE349" i="1"/>
  <c r="S350" i="1"/>
  <c r="W350" i="1"/>
  <c r="AA350" i="1"/>
  <c r="AE350" i="1"/>
  <c r="S351" i="1"/>
  <c r="W351" i="1"/>
  <c r="AA351" i="1"/>
  <c r="AE351" i="1"/>
  <c r="S352" i="1"/>
  <c r="W352" i="1"/>
  <c r="AA352" i="1"/>
  <c r="AE352" i="1"/>
  <c r="S353" i="1"/>
  <c r="W353" i="1"/>
  <c r="AA353" i="1"/>
  <c r="AE353" i="1"/>
  <c r="S354" i="1"/>
  <c r="W354" i="1"/>
  <c r="AA354" i="1"/>
  <c r="AE354" i="1"/>
  <c r="S355" i="1"/>
  <c r="W355" i="1"/>
  <c r="AA355" i="1"/>
  <c r="AE355" i="1"/>
  <c r="S356" i="1"/>
  <c r="W356" i="1"/>
  <c r="AA356" i="1"/>
  <c r="AE356" i="1"/>
  <c r="S357" i="1"/>
  <c r="W357" i="1"/>
  <c r="AA357" i="1"/>
  <c r="AE357" i="1"/>
  <c r="S358" i="1"/>
  <c r="W358" i="1"/>
  <c r="AA358" i="1"/>
  <c r="AE358" i="1"/>
  <c r="S359" i="1"/>
  <c r="W359" i="1"/>
  <c r="AA359" i="1"/>
  <c r="AE359" i="1"/>
  <c r="S361" i="1"/>
  <c r="W361" i="1"/>
  <c r="AA361" i="1"/>
  <c r="AE361" i="1"/>
  <c r="S362" i="1"/>
  <c r="W362" i="1"/>
  <c r="AA362" i="1"/>
  <c r="AE362" i="1"/>
  <c r="S363" i="1"/>
  <c r="W363" i="1"/>
  <c r="AA363" i="1"/>
  <c r="AE363" i="1"/>
  <c r="S364" i="1"/>
  <c r="W364" i="1"/>
  <c r="AA364" i="1"/>
  <c r="AE364" i="1"/>
  <c r="S365" i="1"/>
  <c r="W365" i="1"/>
  <c r="AA365" i="1"/>
  <c r="AE365" i="1"/>
  <c r="S366" i="1"/>
  <c r="W366" i="1"/>
  <c r="AA366" i="1"/>
  <c r="AE366" i="1"/>
  <c r="S367" i="1"/>
  <c r="W367" i="1"/>
  <c r="AA367" i="1"/>
  <c r="AE367" i="1"/>
  <c r="S368" i="1"/>
  <c r="W368" i="1"/>
  <c r="AA368" i="1"/>
  <c r="AE368" i="1"/>
  <c r="W369" i="1"/>
  <c r="AA369" i="1"/>
  <c r="AE369" i="1"/>
  <c r="S373" i="1"/>
  <c r="W373" i="1"/>
  <c r="AA373" i="1"/>
  <c r="AC373" i="1"/>
  <c r="AD373" i="1"/>
  <c r="AG373" i="1"/>
  <c r="S374" i="1"/>
  <c r="W374" i="1"/>
  <c r="AA374" i="1"/>
  <c r="AC374" i="1"/>
  <c r="AC379" i="1" s="1"/>
  <c r="AD374" i="1"/>
  <c r="AG374" i="1"/>
  <c r="AG379" i="1" s="1"/>
  <c r="S375" i="1"/>
  <c r="U375" i="1"/>
  <c r="U379" i="1" s="1"/>
  <c r="V375" i="1"/>
  <c r="W375" i="1" s="1"/>
  <c r="Y375" i="1"/>
  <c r="AA375" i="1" s="1"/>
  <c r="Z375" i="1"/>
  <c r="AC375" i="1"/>
  <c r="AD375" i="1"/>
  <c r="AE375" i="1"/>
  <c r="S377" i="1"/>
  <c r="W377" i="1"/>
  <c r="AA377" i="1"/>
  <c r="AD377" i="1"/>
  <c r="AE377" i="1" s="1"/>
  <c r="AG377" i="1"/>
  <c r="P379" i="1"/>
  <c r="Q379" i="1"/>
  <c r="AT379" i="1"/>
  <c r="T379" i="1"/>
  <c r="T393" i="1" s="1"/>
  <c r="AU379" i="1"/>
  <c r="AU393" i="1" s="1"/>
  <c r="X379" i="1"/>
  <c r="Y379" i="1"/>
  <c r="Z379" i="1"/>
  <c r="AV379" i="1"/>
  <c r="AV393" i="1" s="1"/>
  <c r="AA379" i="1"/>
  <c r="AB379" i="1"/>
  <c r="AW379" i="1"/>
  <c r="AF379" i="1"/>
  <c r="AQ379" i="1"/>
  <c r="AQ393" i="1" s="1"/>
  <c r="AR379" i="1"/>
  <c r="AS379" i="1"/>
  <c r="AS393" i="1" s="1"/>
  <c r="S384" i="1"/>
  <c r="W384" i="1"/>
  <c r="AA384" i="1"/>
  <c r="AE384" i="1"/>
  <c r="S385" i="1"/>
  <c r="W385" i="1"/>
  <c r="AA385" i="1"/>
  <c r="AE385" i="1"/>
  <c r="S387" i="1"/>
  <c r="W387" i="1"/>
  <c r="AA387" i="1"/>
  <c r="AE387" i="1"/>
  <c r="Q388" i="1"/>
  <c r="R388" i="1"/>
  <c r="W388" i="1"/>
  <c r="AA388" i="1"/>
  <c r="AE388" i="1"/>
  <c r="P389" i="1"/>
  <c r="Q389" i="1"/>
  <c r="R389" i="1"/>
  <c r="AT389" i="1"/>
  <c r="AT393" i="1" s="1"/>
  <c r="T389" i="1"/>
  <c r="U389" i="1"/>
  <c r="W389" i="1" s="1"/>
  <c r="V389" i="1"/>
  <c r="AU389" i="1"/>
  <c r="X389" i="1"/>
  <c r="Y389" i="1"/>
  <c r="AV389" i="1"/>
  <c r="AB389" i="1"/>
  <c r="AC389" i="1"/>
  <c r="AD389" i="1"/>
  <c r="AW389" i="1"/>
  <c r="AE389" i="1"/>
  <c r="AF389" i="1"/>
  <c r="AF393" i="1" s="1"/>
  <c r="AG389" i="1"/>
  <c r="AQ389" i="1"/>
  <c r="AR389" i="1"/>
  <c r="AS389" i="1"/>
  <c r="S391" i="1"/>
  <c r="W391" i="1"/>
  <c r="Y391" i="1"/>
  <c r="Z391" i="1" s="1"/>
  <c r="AC391" i="1"/>
  <c r="AD391" i="1" s="1"/>
  <c r="AG391" i="1"/>
  <c r="P393" i="1"/>
  <c r="Q393" i="1"/>
  <c r="AB393" i="1"/>
  <c r="AW393" i="1"/>
  <c r="AR393" i="1"/>
  <c r="AW403" i="1"/>
  <c r="AW404" i="1"/>
  <c r="AW405" i="1"/>
  <c r="AW406" i="1"/>
  <c r="AW407" i="1"/>
  <c r="T408" i="1"/>
  <c r="U408" i="1"/>
  <c r="U416" i="1" s="1"/>
  <c r="V408" i="1"/>
  <c r="W408" i="1"/>
  <c r="X408" i="1"/>
  <c r="X416" i="1" s="1"/>
  <c r="Y408" i="1"/>
  <c r="Y416" i="1" s="1"/>
  <c r="Z408" i="1"/>
  <c r="Z416" i="1" s="1"/>
  <c r="AA408" i="1"/>
  <c r="AA416" i="1" s="1"/>
  <c r="AB408" i="1"/>
  <c r="AC408" i="1"/>
  <c r="AC416" i="1" s="1"/>
  <c r="AD408" i="1"/>
  <c r="AE408" i="1"/>
  <c r="AF408" i="1"/>
  <c r="AG408" i="1"/>
  <c r="AQ408" i="1"/>
  <c r="AQ416" i="1" s="1"/>
  <c r="AR408" i="1"/>
  <c r="AS408" i="1"/>
  <c r="AT408" i="1"/>
  <c r="AT416" i="1" s="1"/>
  <c r="AU408" i="1"/>
  <c r="AV408" i="1"/>
  <c r="AW408" i="1"/>
  <c r="AW410" i="1"/>
  <c r="AW411" i="1"/>
  <c r="AW412" i="1"/>
  <c r="AW413" i="1"/>
  <c r="AW414" i="1"/>
  <c r="AW415" i="1"/>
  <c r="T416" i="1"/>
  <c r="V416" i="1"/>
  <c r="W416" i="1"/>
  <c r="AB416" i="1"/>
  <c r="AD416" i="1"/>
  <c r="AE416" i="1"/>
  <c r="AW416" i="1" s="1"/>
  <c r="AF416" i="1"/>
  <c r="AG416" i="1"/>
  <c r="AR416" i="1"/>
  <c r="AS416" i="1"/>
  <c r="AU416" i="1"/>
  <c r="AV416" i="1"/>
  <c r="AW420" i="1"/>
  <c r="AW421" i="1"/>
  <c r="AW423" i="1"/>
  <c r="AW424" i="1"/>
  <c r="T425" i="1"/>
  <c r="T431" i="1" s="1"/>
  <c r="T440" i="1" s="1"/>
  <c r="U425" i="1"/>
  <c r="U431" i="1" s="1"/>
  <c r="V425" i="1"/>
  <c r="V431" i="1" s="1"/>
  <c r="V440" i="1" s="1"/>
  <c r="W425" i="1"/>
  <c r="W431" i="1" s="1"/>
  <c r="W440" i="1" s="1"/>
  <c r="X425" i="1"/>
  <c r="X431" i="1" s="1"/>
  <c r="X440" i="1" s="1"/>
  <c r="Y425" i="1"/>
  <c r="Y431" i="1" s="1"/>
  <c r="Y440" i="1" s="1"/>
  <c r="Z425" i="1"/>
  <c r="AA425" i="1"/>
  <c r="AA431" i="1" s="1"/>
  <c r="AA440" i="1" s="1"/>
  <c r="AB425" i="1"/>
  <c r="AC425" i="1"/>
  <c r="AD425" i="1"/>
  <c r="AD431" i="1" s="1"/>
  <c r="AD440" i="1" s="1"/>
  <c r="AE425" i="1"/>
  <c r="AF425" i="1"/>
  <c r="AG425" i="1"/>
  <c r="AQ425" i="1"/>
  <c r="AR425" i="1"/>
  <c r="AR431" i="1" s="1"/>
  <c r="AS425" i="1"/>
  <c r="AS431" i="1" s="1"/>
  <c r="AS440" i="1" s="1"/>
  <c r="AT425" i="1"/>
  <c r="AU425" i="1"/>
  <c r="AU431" i="1" s="1"/>
  <c r="AU440" i="1" s="1"/>
  <c r="AV425" i="1"/>
  <c r="AV431" i="1" s="1"/>
  <c r="AV440" i="1" s="1"/>
  <c r="AW425" i="1"/>
  <c r="AW428" i="1"/>
  <c r="AW429" i="1"/>
  <c r="AW430" i="1"/>
  <c r="Z431" i="1"/>
  <c r="Z440" i="1" s="1"/>
  <c r="AB431" i="1"/>
  <c r="AB440" i="1" s="1"/>
  <c r="AC431" i="1"/>
  <c r="AE431" i="1"/>
  <c r="AE440" i="1" s="1"/>
  <c r="AW440" i="1" s="1"/>
  <c r="AF431" i="1"/>
  <c r="AF440" i="1" s="1"/>
  <c r="AG431" i="1"/>
  <c r="AG440" i="1" s="1"/>
  <c r="AQ431" i="1"/>
  <c r="AT431" i="1"/>
  <c r="AT440" i="1" s="1"/>
  <c r="AW431" i="1"/>
  <c r="AS433" i="1"/>
  <c r="AT433" i="1"/>
  <c r="AW433" i="1"/>
  <c r="AW434" i="1"/>
  <c r="T436" i="1"/>
  <c r="U436" i="1"/>
  <c r="V436" i="1"/>
  <c r="W436" i="1"/>
  <c r="X436" i="1"/>
  <c r="Y436" i="1"/>
  <c r="Z436" i="1"/>
  <c r="AA436" i="1"/>
  <c r="AB436" i="1"/>
  <c r="AC436" i="1"/>
  <c r="AD436" i="1"/>
  <c r="AE436" i="1"/>
  <c r="AF436" i="1"/>
  <c r="AG436" i="1"/>
  <c r="AQ436" i="1"/>
  <c r="AR436" i="1"/>
  <c r="AS436" i="1"/>
  <c r="AT436" i="1"/>
  <c r="AU436" i="1"/>
  <c r="AV436" i="1"/>
  <c r="AW438" i="1"/>
  <c r="AW437" i="1"/>
  <c r="AW436" i="1"/>
  <c r="U440" i="1"/>
  <c r="AC440" i="1"/>
  <c r="AQ440" i="1"/>
  <c r="AR440" i="1"/>
  <c r="D7" i="3"/>
  <c r="K8" i="3"/>
  <c r="L8" i="3"/>
  <c r="M8" i="3"/>
  <c r="N8" i="3"/>
  <c r="O8" i="3"/>
  <c r="P8" i="3"/>
  <c r="Q8" i="3"/>
  <c r="R8" i="3"/>
  <c r="S8" i="3"/>
  <c r="T8" i="3"/>
  <c r="G11" i="3"/>
  <c r="H11" i="3"/>
  <c r="I56" i="3"/>
  <c r="I36" i="3" s="1"/>
  <c r="I23" i="3"/>
  <c r="E29" i="3"/>
  <c r="F29" i="3"/>
  <c r="F62" i="3" s="1"/>
  <c r="G29" i="3"/>
  <c r="D42" i="3"/>
  <c r="E42" i="3"/>
  <c r="F42" i="3"/>
  <c r="G42" i="3"/>
  <c r="H42" i="3"/>
  <c r="D49" i="3"/>
  <c r="E49" i="3"/>
  <c r="F49" i="3"/>
  <c r="G49" i="3"/>
  <c r="H49" i="3"/>
  <c r="K71" i="3"/>
  <c r="K69" i="3"/>
  <c r="L71" i="3"/>
  <c r="L69" i="3"/>
  <c r="M69" i="3" s="1"/>
  <c r="N69" i="3" s="1"/>
  <c r="O69" i="3" s="1"/>
  <c r="P69" i="3" s="1"/>
  <c r="Q69" i="3" s="1"/>
  <c r="R69" i="3" s="1"/>
  <c r="S69" i="3" s="1"/>
  <c r="T69" i="3" s="1"/>
  <c r="E53" i="3"/>
  <c r="F53" i="3" s="1"/>
  <c r="G53" i="3" s="1"/>
  <c r="H53" i="3" s="1"/>
  <c r="I53" i="3" s="1"/>
  <c r="J53" i="3" s="1"/>
  <c r="K53" i="3" s="1"/>
  <c r="L53" i="3" s="1"/>
  <c r="M53" i="3" s="1"/>
  <c r="N53" i="3" s="1"/>
  <c r="O53" i="3" s="1"/>
  <c r="P53" i="3" s="1"/>
  <c r="Q53" i="3" s="1"/>
  <c r="R53" i="3" s="1"/>
  <c r="S53" i="3" s="1"/>
  <c r="T53" i="3" s="1"/>
  <c r="E62" i="3"/>
  <c r="G62" i="3"/>
  <c r="I62" i="3"/>
  <c r="D64" i="3"/>
  <c r="E64" i="3"/>
  <c r="F64" i="3"/>
  <c r="G64" i="3"/>
  <c r="H64" i="3"/>
  <c r="D66" i="3"/>
  <c r="E66" i="3"/>
  <c r="F66" i="3"/>
  <c r="G66" i="3"/>
  <c r="I66" i="3"/>
  <c r="D68" i="3"/>
  <c r="D70" i="3" s="1"/>
  <c r="E68" i="3"/>
  <c r="F68" i="3"/>
  <c r="G68" i="3"/>
  <c r="D69" i="3"/>
  <c r="E69" i="3"/>
  <c r="E70" i="3" s="1"/>
  <c r="F69" i="3"/>
  <c r="F70" i="3" s="1"/>
  <c r="G69" i="3"/>
  <c r="G70" i="3" s="1"/>
  <c r="H69" i="3"/>
  <c r="E103" i="3"/>
  <c r="E89" i="284" s="1"/>
  <c r="D85" i="284" s="1"/>
  <c r="AF89" i="3"/>
  <c r="AH257" i="1" a="1"/>
  <c r="AH256" i="1" a="1"/>
  <c r="AH255" i="1" a="1"/>
  <c r="AH254" i="1" a="1"/>
  <c r="AH253" i="1" a="1"/>
  <c r="Y253" i="1" a="1"/>
  <c r="Q253" i="1" a="1"/>
  <c r="I253" i="1" a="1"/>
  <c r="Z253" i="1" a="1"/>
  <c r="R253" i="1" a="1"/>
  <c r="J253" i="1" a="1"/>
  <c r="AA253" i="1" a="1"/>
  <c r="S253" i="1" a="1"/>
  <c r="K253" i="1" a="1"/>
  <c r="AB253" i="1" a="1"/>
  <c r="T253" i="1" a="1"/>
  <c r="L253" i="1" a="1"/>
  <c r="D253" i="1" a="1"/>
  <c r="AC253" i="1" a="1"/>
  <c r="U253" i="1" a="1"/>
  <c r="M253" i="1" a="1"/>
  <c r="E253" i="1" a="1"/>
  <c r="AD253" i="1" a="1"/>
  <c r="V253" i="1" a="1"/>
  <c r="N253" i="1" a="1"/>
  <c r="F253" i="1" a="1"/>
  <c r="AE253" i="1" a="1"/>
  <c r="W253" i="1" a="1"/>
  <c r="O253" i="1" a="1"/>
  <c r="G253" i="1" a="1"/>
  <c r="X253" i="1" a="1"/>
  <c r="P253" i="1" a="1"/>
  <c r="H253" i="1" a="1"/>
  <c r="D43" i="3" l="1"/>
  <c r="AH253" i="1"/>
  <c r="AH254" i="1"/>
  <c r="AH255" i="1"/>
  <c r="AH256" i="1"/>
  <c r="AH257" i="1"/>
  <c r="H253" i="1"/>
  <c r="G271" i="1"/>
  <c r="G270" i="1"/>
  <c r="G269" i="1"/>
  <c r="G268" i="1"/>
  <c r="F269" i="1"/>
  <c r="P253" i="1"/>
  <c r="E271" i="1"/>
  <c r="E270" i="1"/>
  <c r="E269" i="1"/>
  <c r="E268" i="1"/>
  <c r="X253" i="1"/>
  <c r="G253" i="1"/>
  <c r="G267" i="1" s="1"/>
  <c r="O253" i="1"/>
  <c r="W253" i="1"/>
  <c r="AE253" i="1"/>
  <c r="F253" i="1"/>
  <c r="N253" i="1"/>
  <c r="V253" i="1"/>
  <c r="AD253" i="1"/>
  <c r="E253" i="1"/>
  <c r="E267" i="1" s="1"/>
  <c r="M253" i="1"/>
  <c r="U253" i="1"/>
  <c r="AC253" i="1"/>
  <c r="D253" i="1"/>
  <c r="L253" i="1"/>
  <c r="T253" i="1"/>
  <c r="AB253" i="1"/>
  <c r="K253" i="1"/>
  <c r="S253" i="1"/>
  <c r="AA253" i="1"/>
  <c r="J253" i="1"/>
  <c r="R253" i="1"/>
  <c r="Z253" i="1"/>
  <c r="I253" i="1"/>
  <c r="Q253" i="1"/>
  <c r="Y253" i="1"/>
  <c r="Z293" i="1"/>
  <c r="Z299" i="1"/>
  <c r="AU304" i="1"/>
  <c r="AQ293" i="1"/>
  <c r="AQ299" i="1"/>
  <c r="AQ308" i="1" s="1"/>
  <c r="D99" i="3"/>
  <c r="F11" i="6"/>
  <c r="R293" i="1"/>
  <c r="R299" i="1"/>
  <c r="AD74" i="1"/>
  <c r="AW315" i="1"/>
  <c r="AD307" i="1"/>
  <c r="E308" i="1"/>
  <c r="K293" i="1"/>
  <c r="K299" i="1"/>
  <c r="K308" i="1" s="1"/>
  <c r="AW307" i="1"/>
  <c r="AW163" i="1"/>
  <c r="AW164" i="1" s="1"/>
  <c r="AW162" i="1"/>
  <c r="AU242" i="1"/>
  <c r="AV244" i="1" s="1"/>
  <c r="S389" i="1"/>
  <c r="E11" i="6"/>
  <c r="Q293" i="1"/>
  <c r="Q299" i="1"/>
  <c r="Q308" i="1" s="1"/>
  <c r="AR226" i="1"/>
  <c r="AR225" i="1"/>
  <c r="N218" i="1"/>
  <c r="E7" i="284"/>
  <c r="AT13" i="1"/>
  <c r="AT15" i="1"/>
  <c r="AT17" i="1"/>
  <c r="AT58" i="1"/>
  <c r="AT51" i="1"/>
  <c r="AT62" i="1"/>
  <c r="AT50" i="1"/>
  <c r="AT66" i="1"/>
  <c r="AT97" i="1"/>
  <c r="E7" i="3"/>
  <c r="E8" i="3" s="1"/>
  <c r="I79" i="284"/>
  <c r="H12" i="3"/>
  <c r="Y213" i="1"/>
  <c r="Y218" i="1"/>
  <c r="S103" i="1"/>
  <c r="AW208" i="1"/>
  <c r="AW217" i="1"/>
  <c r="AW219" i="1"/>
  <c r="AE209" i="1"/>
  <c r="AW214" i="1"/>
  <c r="AC303" i="1"/>
  <c r="AW329" i="1"/>
  <c r="Z225" i="1"/>
  <c r="AA226" i="1"/>
  <c r="X214" i="1"/>
  <c r="AB214" i="1"/>
  <c r="X217" i="1"/>
  <c r="AA209" i="1"/>
  <c r="X219" i="1"/>
  <c r="X208" i="1"/>
  <c r="M71" i="3"/>
  <c r="AW303" i="1"/>
  <c r="M293" i="1"/>
  <c r="M299" i="1"/>
  <c r="J293" i="1"/>
  <c r="J299" i="1"/>
  <c r="J308" i="1" s="1"/>
  <c r="AU217" i="1"/>
  <c r="AU208" i="1"/>
  <c r="AU219" i="1"/>
  <c r="W209" i="1"/>
  <c r="AU214" i="1"/>
  <c r="AV214" i="1"/>
  <c r="S212" i="1"/>
  <c r="W212" i="1"/>
  <c r="L186" i="1"/>
  <c r="AE374" i="1"/>
  <c r="I293" i="1"/>
  <c r="I299" i="1"/>
  <c r="I308" i="1" s="1"/>
  <c r="AG218" i="1"/>
  <c r="AS289" i="1"/>
  <c r="L291" i="1"/>
  <c r="W299" i="1"/>
  <c r="W293" i="1"/>
  <c r="G299" i="1"/>
  <c r="G308" i="1" s="1"/>
  <c r="G293" i="1"/>
  <c r="AS329" i="1"/>
  <c r="AT302" i="1"/>
  <c r="X293" i="1"/>
  <c r="AV291" i="1"/>
  <c r="X299" i="1"/>
  <c r="AS286" i="1"/>
  <c r="M213" i="1"/>
  <c r="AU300" i="1"/>
  <c r="Q11" i="6"/>
  <c r="R11" i="6"/>
  <c r="S11" i="6"/>
  <c r="P19" i="6"/>
  <c r="K213" i="1"/>
  <c r="O213" i="1"/>
  <c r="K218" i="1"/>
  <c r="P212" i="1"/>
  <c r="P208" i="1"/>
  <c r="T212" i="1"/>
  <c r="P217" i="1"/>
  <c r="AT185" i="1"/>
  <c r="K185" i="1"/>
  <c r="K186" i="1" s="1"/>
  <c r="H293" i="1"/>
  <c r="H299" i="1"/>
  <c r="H308" i="1" s="1"/>
  <c r="I11" i="6"/>
  <c r="U299" i="1"/>
  <c r="U308" i="1" s="1"/>
  <c r="W226" i="1"/>
  <c r="J208" i="1"/>
  <c r="J219" i="1"/>
  <c r="J214" i="1"/>
  <c r="N214" i="1"/>
  <c r="J217" i="1"/>
  <c r="D186" i="1"/>
  <c r="J183" i="1"/>
  <c r="J185" i="1" s="1"/>
  <c r="J186" i="1" s="1"/>
  <c r="X393" i="1"/>
  <c r="AS304" i="1"/>
  <c r="AU286" i="1"/>
  <c r="T289" i="1"/>
  <c r="D299" i="1"/>
  <c r="D308" i="1" s="1"/>
  <c r="D293" i="1"/>
  <c r="W225" i="1"/>
  <c r="AB226" i="1"/>
  <c r="AB225" i="1"/>
  <c r="L226" i="1"/>
  <c r="L225" i="1"/>
  <c r="I213" i="1"/>
  <c r="I218" i="1"/>
  <c r="AR299" i="1"/>
  <c r="AR308" i="1" s="1"/>
  <c r="AR293" i="1"/>
  <c r="G11" i="6"/>
  <c r="S299" i="1"/>
  <c r="S293" i="1"/>
  <c r="AE391" i="1"/>
  <c r="AG299" i="1"/>
  <c r="AG308" i="1" s="1"/>
  <c r="V293" i="1"/>
  <c r="AE293" i="1"/>
  <c r="AE299" i="1"/>
  <c r="AE308" i="1" s="1"/>
  <c r="S226" i="1"/>
  <c r="S225" i="1"/>
  <c r="T218" i="1"/>
  <c r="T213" i="1"/>
  <c r="AE373" i="1"/>
  <c r="AV336" i="1"/>
  <c r="X303" i="1"/>
  <c r="AV303" i="1" s="1"/>
  <c r="AF299" i="1"/>
  <c r="AF308" i="1" s="1"/>
  <c r="U293" i="1"/>
  <c r="AC293" i="1"/>
  <c r="AC299" i="1"/>
  <c r="AC308" i="1" s="1"/>
  <c r="U245" i="1"/>
  <c r="R226" i="1"/>
  <c r="R225" i="1"/>
  <c r="Y224" i="1"/>
  <c r="Z226" i="1" s="1"/>
  <c r="I226" i="1"/>
  <c r="M225" i="1"/>
  <c r="S208" i="1"/>
  <c r="AT218" i="1"/>
  <c r="AT213" i="1"/>
  <c r="AW185" i="1"/>
  <c r="AW183" i="1" s="1"/>
  <c r="AB186" i="1"/>
  <c r="AW244" i="1"/>
  <c r="X226" i="1"/>
  <c r="X225" i="1"/>
  <c r="R208" i="1"/>
  <c r="R219" i="1"/>
  <c r="R214" i="1"/>
  <c r="AS121" i="1"/>
  <c r="AS119" i="1"/>
  <c r="AS120" i="1" s="1"/>
  <c r="AS122" i="1" s="1"/>
  <c r="AS123" i="1"/>
  <c r="AA391" i="1"/>
  <c r="S388" i="1"/>
  <c r="W303" i="1"/>
  <c r="AU303" i="1" s="1"/>
  <c r="Y293" i="1"/>
  <c r="Y299" i="1"/>
  <c r="Q218" i="1"/>
  <c r="Q213" i="1"/>
  <c r="U213" i="1"/>
  <c r="AV286" i="1"/>
  <c r="AD289" i="1"/>
  <c r="AD291" i="1" s="1"/>
  <c r="AW286" i="1"/>
  <c r="N293" i="1"/>
  <c r="N299" i="1"/>
  <c r="P226" i="1"/>
  <c r="P225" i="1"/>
  <c r="AD149" i="1"/>
  <c r="AD121" i="1"/>
  <c r="AD122" i="1" s="1"/>
  <c r="AD119" i="1"/>
  <c r="AD120" i="1" s="1"/>
  <c r="AD123" i="1"/>
  <c r="AD124" i="1" s="1"/>
  <c r="J8" i="6"/>
  <c r="P8" i="6" s="1"/>
  <c r="V123" i="1"/>
  <c r="V121" i="1"/>
  <c r="V122" i="1" s="1"/>
  <c r="V119" i="1"/>
  <c r="V120" i="1" s="1"/>
  <c r="AU302" i="1"/>
  <c r="V299" i="1"/>
  <c r="AE226" i="1"/>
  <c r="AE225" i="1"/>
  <c r="AV217" i="1"/>
  <c r="AV208" i="1"/>
  <c r="AV219" i="1"/>
  <c r="U186" i="1"/>
  <c r="H186" i="1"/>
  <c r="AC123" i="1"/>
  <c r="AC124" i="1" s="1"/>
  <c r="AC119" i="1"/>
  <c r="AC120" i="1" s="1"/>
  <c r="AC149" i="1"/>
  <c r="AC121" i="1"/>
  <c r="AC122" i="1" s="1"/>
  <c r="I8" i="6"/>
  <c r="N22" i="6" s="1"/>
  <c r="U123" i="1"/>
  <c r="U121" i="1"/>
  <c r="U122" i="1" s="1"/>
  <c r="U119" i="1"/>
  <c r="U120" i="1" s="1"/>
  <c r="U149" i="1"/>
  <c r="AB291" i="1"/>
  <c r="AW289" i="1"/>
  <c r="AT286" i="1"/>
  <c r="P289" i="1"/>
  <c r="AD226" i="1"/>
  <c r="AD225" i="1"/>
  <c r="AS226" i="1"/>
  <c r="AS225" i="1"/>
  <c r="AT226" i="1"/>
  <c r="AT225" i="1"/>
  <c r="T226" i="1"/>
  <c r="T225" i="1"/>
  <c r="U226" i="1"/>
  <c r="AS218" i="1"/>
  <c r="AS213" i="1"/>
  <c r="O293" i="1"/>
  <c r="O299" i="1"/>
  <c r="I183" i="1"/>
  <c r="I185" i="1" s="1"/>
  <c r="I186" i="1" s="1"/>
  <c r="S209" i="1"/>
  <c r="U108" i="1"/>
  <c r="V378" i="1"/>
  <c r="V108" i="1" s="1"/>
  <c r="AE107" i="1"/>
  <c r="AD370" i="1"/>
  <c r="U370" i="1"/>
  <c r="Z218" i="1"/>
  <c r="AC208" i="1"/>
  <c r="AG213" i="1" s="1"/>
  <c r="O193" i="1"/>
  <c r="G183" i="1"/>
  <c r="G185" i="1" s="1"/>
  <c r="G186" i="1" s="1"/>
  <c r="O145" i="1"/>
  <c r="O146" i="1" s="1"/>
  <c r="AB149" i="1"/>
  <c r="AB123" i="1"/>
  <c r="AB124" i="1" s="1"/>
  <c r="AB121" i="1"/>
  <c r="AB122" i="1" s="1"/>
  <c r="AB119" i="1"/>
  <c r="AB120" i="1" s="1"/>
  <c r="H8" i="6"/>
  <c r="T123" i="1"/>
  <c r="T121" i="1"/>
  <c r="T122" i="1" s="1"/>
  <c r="T119" i="1"/>
  <c r="T120" i="1" s="1"/>
  <c r="AG370" i="1"/>
  <c r="R370" i="1"/>
  <c r="AV289" i="1"/>
  <c r="AG225" i="1"/>
  <c r="Q225" i="1"/>
  <c r="D219" i="1"/>
  <c r="W107" i="1"/>
  <c r="E50" i="284"/>
  <c r="N60" i="1"/>
  <c r="J61" i="1"/>
  <c r="J60" i="1"/>
  <c r="J62" i="1"/>
  <c r="AA244" i="1"/>
  <c r="AE245" i="1" s="1"/>
  <c r="AW243" i="1"/>
  <c r="AF225" i="1"/>
  <c r="AG214" i="1"/>
  <c r="Q214" i="1"/>
  <c r="M193" i="1"/>
  <c r="R143" i="1"/>
  <c r="R144" i="1" s="1"/>
  <c r="AR142" i="1"/>
  <c r="K145" i="1"/>
  <c r="K143" i="1"/>
  <c r="AV118" i="1"/>
  <c r="AA123" i="1"/>
  <c r="AA124" i="1" s="1"/>
  <c r="AA121" i="1"/>
  <c r="AA122" i="1" s="1"/>
  <c r="AA119" i="1"/>
  <c r="AA120" i="1" s="1"/>
  <c r="AA149" i="1"/>
  <c r="G8" i="6"/>
  <c r="AT118" i="1"/>
  <c r="S121" i="1"/>
  <c r="S122" i="1" s="1"/>
  <c r="S119" i="1"/>
  <c r="S120" i="1" s="1"/>
  <c r="L217" i="1"/>
  <c r="AF213" i="1"/>
  <c r="F208" i="1"/>
  <c r="F218" i="1" s="1"/>
  <c r="P186" i="1"/>
  <c r="AD107" i="1"/>
  <c r="AW107" i="1" s="1"/>
  <c r="AE381" i="1"/>
  <c r="Z123" i="1"/>
  <c r="Z124" i="1" s="1"/>
  <c r="Z121" i="1"/>
  <c r="Z122" i="1" s="1"/>
  <c r="Z119" i="1"/>
  <c r="Z120" i="1" s="1"/>
  <c r="F8" i="6"/>
  <c r="R119" i="1"/>
  <c r="R120" i="1" s="1"/>
  <c r="R123" i="1"/>
  <c r="AG162" i="1"/>
  <c r="AC163" i="1"/>
  <c r="AC164" i="1" s="1"/>
  <c r="AH118" i="1"/>
  <c r="AG149" i="1"/>
  <c r="AG123" i="1"/>
  <c r="AG136" i="1" s="1"/>
  <c r="AH136" i="1" s="1"/>
  <c r="AI136" i="1" s="1"/>
  <c r="AG121" i="1"/>
  <c r="Y123" i="1"/>
  <c r="Y124" i="1" s="1"/>
  <c r="Y121" i="1"/>
  <c r="Y122" i="1" s="1"/>
  <c r="Y119" i="1"/>
  <c r="Y120" i="1" s="1"/>
  <c r="E8" i="6"/>
  <c r="Q123" i="1"/>
  <c r="Q121" i="1"/>
  <c r="Q122" i="1" s="1"/>
  <c r="AD108" i="1"/>
  <c r="AE378" i="1"/>
  <c r="AE108" i="1" s="1"/>
  <c r="Y217" i="1"/>
  <c r="I217" i="1"/>
  <c r="M214" i="1"/>
  <c r="AD162" i="1"/>
  <c r="F145" i="1"/>
  <c r="AA225" i="1"/>
  <c r="L208" i="1"/>
  <c r="D208" i="1"/>
  <c r="E145" i="1"/>
  <c r="Z163" i="1"/>
  <c r="Z162" i="1"/>
  <c r="AF149" i="1"/>
  <c r="AF123" i="1"/>
  <c r="AF121" i="1"/>
  <c r="AF119" i="1"/>
  <c r="X123" i="1"/>
  <c r="X124" i="1" s="1"/>
  <c r="X121" i="1"/>
  <c r="X122" i="1" s="1"/>
  <c r="X119" i="1"/>
  <c r="X120" i="1" s="1"/>
  <c r="D8" i="6"/>
  <c r="P123" i="1"/>
  <c r="P121" i="1"/>
  <c r="P122" i="1" s="1"/>
  <c r="P119" i="1"/>
  <c r="P120" i="1" s="1"/>
  <c r="AE164" i="1"/>
  <c r="AG119" i="1"/>
  <c r="Y111" i="1"/>
  <c r="X113" i="1"/>
  <c r="Z86" i="1"/>
  <c r="Z100" i="1" s="1"/>
  <c r="Z87" i="1"/>
  <c r="Z89" i="1" s="1"/>
  <c r="J86" i="1"/>
  <c r="J100" i="1" s="1"/>
  <c r="J101" i="1" s="1"/>
  <c r="Q119" i="1"/>
  <c r="Q120" i="1" s="1"/>
  <c r="AW118" i="1"/>
  <c r="AE123" i="1"/>
  <c r="AE124" i="1" s="1"/>
  <c r="AE121" i="1"/>
  <c r="AE122" i="1" s="1"/>
  <c r="AE119" i="1"/>
  <c r="AE120" i="1" s="1"/>
  <c r="AE149" i="1"/>
  <c r="K8" i="6"/>
  <c r="X8" i="6" s="1"/>
  <c r="AU118" i="1"/>
  <c r="W123" i="1"/>
  <c r="W121" i="1"/>
  <c r="W122" i="1" s="1"/>
  <c r="W119" i="1"/>
  <c r="W120" i="1" s="1"/>
  <c r="O123" i="1"/>
  <c r="O124" i="1" s="1"/>
  <c r="O121" i="1"/>
  <c r="O122" i="1" s="1"/>
  <c r="O119" i="1"/>
  <c r="O120" i="1" s="1"/>
  <c r="Y370" i="1"/>
  <c r="D217" i="1"/>
  <c r="AF183" i="1"/>
  <c r="AF185" i="1" s="1"/>
  <c r="AT145" i="1"/>
  <c r="AT146" i="1" s="1"/>
  <c r="AU145" i="1"/>
  <c r="AU146" i="1" s="1"/>
  <c r="AT143" i="1"/>
  <c r="AT144" i="1" s="1"/>
  <c r="AU143" i="1"/>
  <c r="AU144" i="1" s="1"/>
  <c r="G22" i="6"/>
  <c r="S124" i="1"/>
  <c r="V370" i="1"/>
  <c r="AA381" i="1"/>
  <c r="AA107" i="1" s="1"/>
  <c r="AC370" i="1"/>
  <c r="U93" i="1"/>
  <c r="U97" i="1" s="1"/>
  <c r="V376" i="1"/>
  <c r="V379" i="1" s="1"/>
  <c r="W379" i="1" s="1"/>
  <c r="D35" i="284"/>
  <c r="AS99" i="1"/>
  <c r="AR75" i="1"/>
  <c r="AC75" i="1"/>
  <c r="AC77" i="1"/>
  <c r="H81" i="1"/>
  <c r="H85" i="1"/>
  <c r="H76" i="1"/>
  <c r="AG173" i="1"/>
  <c r="AG27" i="1" s="1"/>
  <c r="AK173" i="1"/>
  <c r="AK27" i="1" s="1"/>
  <c r="AG174" i="1"/>
  <c r="AU99" i="1"/>
  <c r="W372" i="1"/>
  <c r="AW74" i="1"/>
  <c r="V55" i="1"/>
  <c r="R57" i="1"/>
  <c r="R58" i="1"/>
  <c r="R63" i="1"/>
  <c r="R56" i="1"/>
  <c r="S378" i="1"/>
  <c r="S108" i="1" s="1"/>
  <c r="Y85" i="1"/>
  <c r="Y76" i="1"/>
  <c r="H60" i="1"/>
  <c r="H61" i="1"/>
  <c r="H62" i="1"/>
  <c r="R28" i="1"/>
  <c r="AB105" i="1"/>
  <c r="R305" i="1"/>
  <c r="R80" i="1" s="1"/>
  <c r="S345" i="1"/>
  <c r="S305" i="1" s="1"/>
  <c r="S80" i="1" s="1"/>
  <c r="AG85" i="1"/>
  <c r="AG76" i="1"/>
  <c r="AG81" i="1"/>
  <c r="W61" i="1"/>
  <c r="W60" i="1"/>
  <c r="L22" i="1"/>
  <c r="L158" i="1"/>
  <c r="L23" i="1" s="1"/>
  <c r="H28" i="284"/>
  <c r="AH88" i="1"/>
  <c r="AI88" i="1" s="1"/>
  <c r="AJ88" i="1" s="1"/>
  <c r="AX88" i="1"/>
  <c r="I81" i="1"/>
  <c r="I85" i="1"/>
  <c r="I76" i="1"/>
  <c r="P85" i="1"/>
  <c r="E81" i="1"/>
  <c r="E85" i="1"/>
  <c r="E76" i="1"/>
  <c r="G81" i="1"/>
  <c r="G85" i="1"/>
  <c r="G76" i="1"/>
  <c r="U59" i="1"/>
  <c r="U66" i="1"/>
  <c r="AT305" i="1"/>
  <c r="AT80" i="1" s="1"/>
  <c r="E23" i="284"/>
  <c r="E48" i="284" s="1"/>
  <c r="AT77" i="1"/>
  <c r="AE75" i="1"/>
  <c r="T62" i="1"/>
  <c r="F21" i="1"/>
  <c r="M145" i="1"/>
  <c r="M146" i="1" s="1"/>
  <c r="S370" i="1"/>
  <c r="AT103" i="1"/>
  <c r="AA376" i="1"/>
  <c r="Q93" i="1"/>
  <c r="Q97" i="1" s="1"/>
  <c r="R376" i="1"/>
  <c r="AS315" i="1"/>
  <c r="AS74" i="1" s="1"/>
  <c r="D81" i="1"/>
  <c r="D85" i="1"/>
  <c r="D76" i="1"/>
  <c r="AR119" i="1"/>
  <c r="AR120" i="1" s="1"/>
  <c r="AR122" i="1" s="1"/>
  <c r="AU113" i="1"/>
  <c r="AR103" i="1"/>
  <c r="V305" i="1"/>
  <c r="V80" i="1" s="1"/>
  <c r="W345" i="1"/>
  <c r="W305" i="1" s="1"/>
  <c r="W80" i="1" s="1"/>
  <c r="AQ81" i="1"/>
  <c r="AQ85" i="1"/>
  <c r="AQ76" i="1"/>
  <c r="M75" i="1"/>
  <c r="M77" i="1"/>
  <c r="AA65" i="1"/>
  <c r="S71" i="1"/>
  <c r="AS113" i="1"/>
  <c r="Z383" i="1"/>
  <c r="Z389" i="1" s="1"/>
  <c r="AA389" i="1" s="1"/>
  <c r="AD80" i="1"/>
  <c r="G23" i="284"/>
  <c r="G48" i="284" s="1"/>
  <c r="W370" i="1"/>
  <c r="D28" i="284"/>
  <c r="L93" i="1"/>
  <c r="L97" i="1" s="1"/>
  <c r="N93" i="1"/>
  <c r="O93" i="1"/>
  <c r="W75" i="1"/>
  <c r="AU44" i="1"/>
  <c r="H35" i="284"/>
  <c r="AW99" i="1"/>
  <c r="K81" i="1"/>
  <c r="K85" i="1"/>
  <c r="K76" i="1"/>
  <c r="S40" i="1"/>
  <c r="S46" i="1"/>
  <c r="W113" i="1"/>
  <c r="AF85" i="1"/>
  <c r="AF76" i="1"/>
  <c r="AF81" i="1"/>
  <c r="F23" i="284"/>
  <c r="F48" i="284" s="1"/>
  <c r="L62" i="1"/>
  <c r="L61" i="1"/>
  <c r="AF97" i="1"/>
  <c r="Q85" i="1"/>
  <c r="Q76" i="1"/>
  <c r="Q81" i="1"/>
  <c r="V93" i="1"/>
  <c r="AE103" i="1"/>
  <c r="E29" i="284"/>
  <c r="AD372" i="1"/>
  <c r="AE372" i="1" s="1"/>
  <c r="AE93" i="1" s="1"/>
  <c r="AE97" i="1" s="1"/>
  <c r="Z345" i="1"/>
  <c r="Z305" i="1" s="1"/>
  <c r="Z80" i="1" s="1"/>
  <c r="Z81" i="1" s="1"/>
  <c r="X75" i="1"/>
  <c r="U74" i="1"/>
  <c r="D72" i="1"/>
  <c r="AV45" i="1"/>
  <c r="AW45" i="1"/>
  <c r="H32" i="1"/>
  <c r="H33" i="1"/>
  <c r="U56" i="1"/>
  <c r="W40" i="1"/>
  <c r="W46" i="1"/>
  <c r="G52" i="1"/>
  <c r="G40" i="1"/>
  <c r="H10" i="284"/>
  <c r="AW32" i="1"/>
  <c r="G10" i="284"/>
  <c r="AI175" i="1"/>
  <c r="AI29" i="1" s="1"/>
  <c r="AE28" i="1"/>
  <c r="S60" i="1"/>
  <c r="S61" i="1"/>
  <c r="T56" i="1"/>
  <c r="AX45" i="1"/>
  <c r="J32" i="1"/>
  <c r="F33" i="1"/>
  <c r="J24" i="1"/>
  <c r="J26" i="1"/>
  <c r="AW305" i="1"/>
  <c r="AW80" i="1" s="1"/>
  <c r="Y305" i="1"/>
  <c r="P80" i="1"/>
  <c r="P81" i="1" s="1"/>
  <c r="AG72" i="1"/>
  <c r="Q72" i="1"/>
  <c r="AR66" i="1"/>
  <c r="H64" i="1"/>
  <c r="F51" i="1"/>
  <c r="AV38" i="1"/>
  <c r="AV43" i="1"/>
  <c r="U40" i="1"/>
  <c r="U46" i="1"/>
  <c r="U52" i="1"/>
  <c r="E40" i="1"/>
  <c r="E52" i="1"/>
  <c r="S24" i="1"/>
  <c r="S26" i="1"/>
  <c r="D21" i="1"/>
  <c r="H157" i="1"/>
  <c r="AQ66" i="1"/>
  <c r="AR65" i="1"/>
  <c r="O61" i="1"/>
  <c r="AV59" i="1"/>
  <c r="F38" i="1"/>
  <c r="Y40" i="1"/>
  <c r="Y46" i="1"/>
  <c r="I40" i="1"/>
  <c r="I46" i="1"/>
  <c r="T40" i="1"/>
  <c r="T46" i="1"/>
  <c r="T52" i="1"/>
  <c r="D40" i="1"/>
  <c r="D52" i="1"/>
  <c r="P32" i="1"/>
  <c r="AW28" i="1"/>
  <c r="W64" i="1"/>
  <c r="N61" i="1"/>
  <c r="AU45" i="1"/>
  <c r="O31" i="1"/>
  <c r="AS278" i="1"/>
  <c r="AS31" i="1" s="1"/>
  <c r="AF77" i="1"/>
  <c r="AX74" i="1"/>
  <c r="AW64" i="1"/>
  <c r="AR61" i="1"/>
  <c r="M61" i="1"/>
  <c r="H46" i="1"/>
  <c r="P44" i="1"/>
  <c r="V43" i="1"/>
  <c r="R49" i="1"/>
  <c r="R38" i="1"/>
  <c r="N32" i="1"/>
  <c r="R32" i="1"/>
  <c r="AU28" i="1"/>
  <c r="AW23" i="1"/>
  <c r="AW171" i="1"/>
  <c r="P63" i="1"/>
  <c r="L50" i="1"/>
  <c r="AS50" i="1"/>
  <c r="AS44" i="1"/>
  <c r="X33" i="1"/>
  <c r="AS60" i="1"/>
  <c r="AS61" i="1"/>
  <c r="AU38" i="1"/>
  <c r="AU43" i="1"/>
  <c r="AG32" i="1"/>
  <c r="W32" i="1"/>
  <c r="K23" i="6"/>
  <c r="X23" i="6" s="1"/>
  <c r="AA23" i="6" s="1"/>
  <c r="W162" i="1"/>
  <c r="W27" i="1" s="1"/>
  <c r="W163" i="1"/>
  <c r="AA372" i="1"/>
  <c r="M66" i="1"/>
  <c r="AT64" i="1"/>
  <c r="AS64" i="1"/>
  <c r="I60" i="1"/>
  <c r="I61" i="1"/>
  <c r="U58" i="1"/>
  <c r="X55" i="1"/>
  <c r="R43" i="1"/>
  <c r="AE40" i="1"/>
  <c r="O40" i="1"/>
  <c r="L32" i="1"/>
  <c r="W56" i="1"/>
  <c r="AA55" i="1"/>
  <c r="AT45" i="1"/>
  <c r="AV44" i="1"/>
  <c r="AF33" i="1"/>
  <c r="V32" i="1"/>
  <c r="Z32" i="1"/>
  <c r="AS62" i="1"/>
  <c r="AT49" i="1"/>
  <c r="AT38" i="1"/>
  <c r="AT43" i="1"/>
  <c r="AC52" i="1"/>
  <c r="AC40" i="1"/>
  <c r="M52" i="1"/>
  <c r="M40" i="1"/>
  <c r="K33" i="1"/>
  <c r="K32" i="1"/>
  <c r="AB38" i="1"/>
  <c r="L38" i="1"/>
  <c r="H24" i="1"/>
  <c r="G26" i="1"/>
  <c r="H26" i="1"/>
  <c r="Y63" i="1"/>
  <c r="Y56" i="1"/>
  <c r="AC55" i="1"/>
  <c r="AS45" i="1"/>
  <c r="AS51" i="1"/>
  <c r="V45" i="1"/>
  <c r="Z45" i="1"/>
  <c r="AF52" i="1"/>
  <c r="L161" i="1"/>
  <c r="L159" i="1"/>
  <c r="L160" i="1" s="1"/>
  <c r="L25" i="1" s="1"/>
  <c r="M161" i="1"/>
  <c r="L21" i="1"/>
  <c r="P157" i="1"/>
  <c r="AR60" i="1"/>
  <c r="V38" i="1"/>
  <c r="AW43" i="1"/>
  <c r="AS38" i="1"/>
  <c r="AC33" i="1"/>
  <c r="AC32" i="1"/>
  <c r="Y50" i="1"/>
  <c r="I50" i="1"/>
  <c r="T43" i="1"/>
  <c r="AU278" i="1"/>
  <c r="AU31" i="1" s="1"/>
  <c r="AV32" i="1" s="1"/>
  <c r="AT163" i="1"/>
  <c r="Q28" i="1"/>
  <c r="AH156" i="1"/>
  <c r="AI167" i="1"/>
  <c r="X13" i="1"/>
  <c r="Y15" i="1"/>
  <c r="AG51" i="1"/>
  <c r="Q51" i="1"/>
  <c r="AA44" i="1"/>
  <c r="S43" i="1"/>
  <c r="AB31" i="1"/>
  <c r="AF173" i="1"/>
  <c r="AF27" i="1" s="1"/>
  <c r="V162" i="1"/>
  <c r="V27" i="1" s="1"/>
  <c r="G161" i="1"/>
  <c r="G163" i="1" s="1"/>
  <c r="K164" i="1" s="1"/>
  <c r="AU26" i="1"/>
  <c r="AH22" i="1"/>
  <c r="AH24" i="1"/>
  <c r="AT190" i="1"/>
  <c r="AT191" i="1" s="1"/>
  <c r="AT16" i="1" s="1"/>
  <c r="AT192" i="1"/>
  <c r="K10" i="6"/>
  <c r="X10" i="6" s="1"/>
  <c r="W190" i="1"/>
  <c r="W191" i="1" s="1"/>
  <c r="W16" i="1" s="1"/>
  <c r="W12" i="1"/>
  <c r="W77" i="1" s="1"/>
  <c r="X190" i="1"/>
  <c r="X191" i="1" s="1"/>
  <c r="X16" i="1" s="1"/>
  <c r="W188" i="1"/>
  <c r="W189" i="1" s="1"/>
  <c r="W14" i="1" s="1"/>
  <c r="AJ26" i="27"/>
  <c r="AJ25" i="27"/>
  <c r="R23" i="6"/>
  <c r="S23" i="6"/>
  <c r="Q23" i="6"/>
  <c r="J157" i="1"/>
  <c r="D7" i="284"/>
  <c r="AS13" i="1"/>
  <c r="AI43" i="27"/>
  <c r="AK43" i="27"/>
  <c r="AN43" i="27"/>
  <c r="AG45" i="1"/>
  <c r="Y44" i="1"/>
  <c r="I44" i="1"/>
  <c r="E33" i="1"/>
  <c r="AA31" i="1"/>
  <c r="T31" i="1"/>
  <c r="AS17" i="1"/>
  <c r="AR13" i="1"/>
  <c r="AR17" i="1"/>
  <c r="AR15" i="1"/>
  <c r="AF174" i="1"/>
  <c r="AQ13" i="1"/>
  <c r="AQ14" i="1" s="1"/>
  <c r="AQ15" i="1"/>
  <c r="AQ16" i="1" s="1"/>
  <c r="AF13" i="1"/>
  <c r="AG17" i="1"/>
  <c r="J13" i="1"/>
  <c r="J17" i="1"/>
  <c r="J15" i="1"/>
  <c r="AE45" i="1"/>
  <c r="O45" i="1"/>
  <c r="AE43" i="1"/>
  <c r="O43" i="1"/>
  <c r="AR33" i="1"/>
  <c r="X163" i="1"/>
  <c r="X164" i="1" s="1"/>
  <c r="X29" i="1" s="1"/>
  <c r="J161" i="1"/>
  <c r="E232" i="1"/>
  <c r="E156" i="1" s="1"/>
  <c r="F161" i="1" s="1"/>
  <c r="F163" i="1" s="1"/>
  <c r="AS15" i="1"/>
  <c r="AH198" i="1"/>
  <c r="AI178" i="1"/>
  <c r="AF190" i="1"/>
  <c r="AF191" i="1" s="1"/>
  <c r="AF16" i="1" s="1"/>
  <c r="AE188" i="1"/>
  <c r="AE189" i="1" s="1"/>
  <c r="AE14" i="1" s="1"/>
  <c r="AE12" i="1"/>
  <c r="AE52" i="1" s="1"/>
  <c r="AF192" i="1"/>
  <c r="AR50" i="1"/>
  <c r="AD32" i="1"/>
  <c r="AT278" i="1"/>
  <c r="AT31" i="1" s="1"/>
  <c r="AV162" i="1"/>
  <c r="AV27" i="1" s="1"/>
  <c r="S22" i="1"/>
  <c r="S158" i="1"/>
  <c r="S23" i="1" s="1"/>
  <c r="AC24" i="1"/>
  <c r="N232" i="1"/>
  <c r="N156" i="1" s="1"/>
  <c r="R39" i="27"/>
  <c r="T39" i="27"/>
  <c r="W39" i="27"/>
  <c r="AD38" i="1"/>
  <c r="N38" i="1"/>
  <c r="M32" i="1"/>
  <c r="O158" i="1"/>
  <c r="O23" i="1" s="1"/>
  <c r="AW22" i="1"/>
  <c r="M157" i="1"/>
  <c r="M159" i="1"/>
  <c r="M160" i="1" s="1"/>
  <c r="M25" i="1" s="1"/>
  <c r="M21" i="1"/>
  <c r="AG189" i="1"/>
  <c r="AG14" i="1" s="1"/>
  <c r="AD174" i="1"/>
  <c r="AG22" i="1"/>
  <c r="Q157" i="1"/>
  <c r="AT157" i="1"/>
  <c r="AT21" i="1"/>
  <c r="AE22" i="1"/>
  <c r="AV21" i="1"/>
  <c r="AW24" i="1" s="1"/>
  <c r="AT188" i="1"/>
  <c r="AT189" i="1" s="1"/>
  <c r="AT14" i="1" s="1"/>
  <c r="E9" i="3" s="1"/>
  <c r="H13" i="1"/>
  <c r="H17" i="1"/>
  <c r="H15" i="1"/>
  <c r="I15" i="1"/>
  <c r="R43" i="27"/>
  <c r="T43" i="27"/>
  <c r="Q63" i="1"/>
  <c r="U64" i="1" s="1"/>
  <c r="Y51" i="1"/>
  <c r="I51" i="1"/>
  <c r="W49" i="1"/>
  <c r="G49" i="1"/>
  <c r="AA43" i="1"/>
  <c r="K43" i="1"/>
  <c r="I161" i="1"/>
  <c r="R26" i="1"/>
  <c r="AF17" i="1"/>
  <c r="AS188" i="1"/>
  <c r="AS189" i="1" s="1"/>
  <c r="AS14" i="1" s="1"/>
  <c r="S188" i="1"/>
  <c r="S189" i="1" s="1"/>
  <c r="S14" i="1" s="1"/>
  <c r="G17" i="1"/>
  <c r="AU162" i="1"/>
  <c r="AU27" i="1" s="1"/>
  <c r="AS43" i="1"/>
  <c r="V163" i="1"/>
  <c r="V164" i="1" s="1"/>
  <c r="V29" i="1" s="1"/>
  <c r="AA17" i="1"/>
  <c r="AA13" i="1"/>
  <c r="J38" i="27"/>
  <c r="AN38" i="27"/>
  <c r="AR38" i="27" s="1"/>
  <c r="AQ156" i="1"/>
  <c r="AS190" i="1"/>
  <c r="AS191" i="1" s="1"/>
  <c r="AS16" i="1" s="1"/>
  <c r="Z13" i="1"/>
  <c r="Z17" i="1"/>
  <c r="Z15" i="1"/>
  <c r="R42" i="27"/>
  <c r="T42" i="27"/>
  <c r="P190" i="1"/>
  <c r="P191" i="1" s="1"/>
  <c r="P16" i="1" s="1"/>
  <c r="O188" i="1"/>
  <c r="O189" i="1" s="1"/>
  <c r="O14" i="1" s="1"/>
  <c r="O12" i="1"/>
  <c r="O49" i="1" s="1"/>
  <c r="P192" i="1"/>
  <c r="Q57" i="1"/>
  <c r="T24" i="1"/>
  <c r="K21" i="1"/>
  <c r="AR156" i="1"/>
  <c r="R41" i="27"/>
  <c r="T41" i="27"/>
  <c r="T190" i="1"/>
  <c r="T191" i="1" s="1"/>
  <c r="T16" i="1" s="1"/>
  <c r="U13" i="1"/>
  <c r="M16" i="6"/>
  <c r="N16" i="6"/>
  <c r="O16" i="6"/>
  <c r="AN40" i="27"/>
  <c r="AR40" i="27" s="1"/>
  <c r="AS37" i="27"/>
  <c r="AN36" i="27"/>
  <c r="AR36" i="27" s="1"/>
  <c r="AB34" i="27"/>
  <c r="AS32" i="27"/>
  <c r="AB32" i="27"/>
  <c r="AS30" i="27"/>
  <c r="AA30" i="27"/>
  <c r="AB30" i="27"/>
  <c r="J26" i="27"/>
  <c r="R188" i="1"/>
  <c r="R189" i="1" s="1"/>
  <c r="R14" i="1" s="1"/>
  <c r="T13" i="1"/>
  <c r="AW187" i="1"/>
  <c r="J20" i="27"/>
  <c r="T20" i="27"/>
  <c r="N57" i="284"/>
  <c r="U16" i="6"/>
  <c r="V167" i="1"/>
  <c r="AA192" i="1"/>
  <c r="AR190" i="1"/>
  <c r="AR191" i="1" s="1"/>
  <c r="AR16" i="1" s="1"/>
  <c r="AD190" i="1"/>
  <c r="AD191" i="1" s="1"/>
  <c r="AD16" i="1" s="1"/>
  <c r="N190" i="1"/>
  <c r="N191" i="1" s="1"/>
  <c r="N16" i="1" s="1"/>
  <c r="AR41" i="27"/>
  <c r="S41" i="27"/>
  <c r="AK40" i="27"/>
  <c r="AQ37" i="27"/>
  <c r="AK36" i="27"/>
  <c r="R17" i="27"/>
  <c r="T17" i="27"/>
  <c r="W17" i="27"/>
  <c r="AI12" i="27"/>
  <c r="AK12" i="27"/>
  <c r="AN12" i="27"/>
  <c r="D16" i="423"/>
  <c r="E16" i="423" s="1"/>
  <c r="M24" i="6"/>
  <c r="S190" i="1"/>
  <c r="S191" i="1" s="1"/>
  <c r="S16" i="1" s="1"/>
  <c r="AV187" i="1"/>
  <c r="P12" i="1"/>
  <c r="AB39" i="27"/>
  <c r="AB35" i="27"/>
  <c r="W34" i="27"/>
  <c r="AA34" i="27" s="1"/>
  <c r="AI33" i="27"/>
  <c r="W32" i="27"/>
  <c r="AA32" i="27" s="1"/>
  <c r="AI29" i="27"/>
  <c r="AC17" i="1"/>
  <c r="M17" i="1"/>
  <c r="AG13" i="1"/>
  <c r="Q13" i="1"/>
  <c r="AA39" i="27"/>
  <c r="AN37" i="27"/>
  <c r="AR37" i="27" s="1"/>
  <c r="AA35" i="27"/>
  <c r="AS34" i="27"/>
  <c r="Z11" i="27"/>
  <c r="AB11" i="27"/>
  <c r="AQ11" i="27"/>
  <c r="AQ26" i="27" s="1"/>
  <c r="AS11" i="27"/>
  <c r="AS25" i="27" s="1"/>
  <c r="V188" i="1"/>
  <c r="V189" i="1" s="1"/>
  <c r="V14" i="1" s="1"/>
  <c r="AU187" i="1"/>
  <c r="Z39" i="27"/>
  <c r="W38" i="27"/>
  <c r="AA38" i="27" s="1"/>
  <c r="Z35" i="27"/>
  <c r="AI31" i="27"/>
  <c r="AN31" i="27"/>
  <c r="AR31" i="27" s="1"/>
  <c r="N23" i="27"/>
  <c r="S23" i="27"/>
  <c r="S25" i="27" s="1"/>
  <c r="AI20" i="27"/>
  <c r="AK20" i="27"/>
  <c r="AN20" i="27"/>
  <c r="AR10" i="27"/>
  <c r="AS29" i="27"/>
  <c r="Z29" i="27"/>
  <c r="AA29" i="27"/>
  <c r="AB29" i="27"/>
  <c r="T192" i="1"/>
  <c r="AD12" i="1"/>
  <c r="AD33" i="1" s="1"/>
  <c r="V12" i="1"/>
  <c r="V33" i="1" s="1"/>
  <c r="N12" i="1"/>
  <c r="R13" i="1" s="1"/>
  <c r="T38" i="27"/>
  <c r="AQ32" i="27"/>
  <c r="AQ30" i="27"/>
  <c r="Z19" i="27"/>
  <c r="AA19" i="27"/>
  <c r="AB19" i="27"/>
  <c r="AQ19" i="27"/>
  <c r="AR19" i="27"/>
  <c r="AS19" i="27"/>
  <c r="J16" i="27"/>
  <c r="T16" i="27"/>
  <c r="V24" i="6"/>
  <c r="Y24" i="6" s="1"/>
  <c r="W24" i="6"/>
  <c r="Z24" i="6" s="1"/>
  <c r="P16" i="6"/>
  <c r="Q10" i="6"/>
  <c r="R10" i="6"/>
  <c r="S10" i="6"/>
  <c r="P24" i="6"/>
  <c r="AS39" i="27"/>
  <c r="AS35" i="27"/>
  <c r="AS33" i="27"/>
  <c r="AA33" i="27"/>
  <c r="AA31" i="27"/>
  <c r="AR18" i="27"/>
  <c r="Q25" i="27"/>
  <c r="E56" i="284"/>
  <c r="AD192" i="1"/>
  <c r="N192" i="1"/>
  <c r="AB13" i="1"/>
  <c r="L13" i="1"/>
  <c r="Q42" i="27"/>
  <c r="AR39" i="27"/>
  <c r="AR35" i="27"/>
  <c r="AN30" i="27"/>
  <c r="AR30" i="27" s="1"/>
  <c r="R13" i="27"/>
  <c r="T13" i="27"/>
  <c r="W13" i="27"/>
  <c r="AA13" i="27" s="1"/>
  <c r="AB24" i="1"/>
  <c r="S192" i="1"/>
  <c r="V190" i="1"/>
  <c r="V191" i="1" s="1"/>
  <c r="V16" i="1" s="1"/>
  <c r="N24" i="6"/>
  <c r="O24" i="6"/>
  <c r="AK38" i="27"/>
  <c r="AK34" i="27"/>
  <c r="Q26" i="27"/>
  <c r="AS43" i="27"/>
  <c r="AI16" i="27"/>
  <c r="AK16" i="27"/>
  <c r="AN16" i="27"/>
  <c r="AR16" i="27" s="1"/>
  <c r="U17" i="1"/>
  <c r="AR43" i="27"/>
  <c r="AA37" i="27"/>
  <c r="R21" i="27"/>
  <c r="T21" i="27"/>
  <c r="W21" i="27"/>
  <c r="S12" i="1"/>
  <c r="S77" i="1" s="1"/>
  <c r="AR33" i="27"/>
  <c r="AI32" i="27"/>
  <c r="AN32" i="27"/>
  <c r="AR32" i="27" s="1"/>
  <c r="AS31" i="27"/>
  <c r="AR29" i="27"/>
  <c r="J22" i="27"/>
  <c r="J25" i="27" s="1"/>
  <c r="AK22" i="27"/>
  <c r="AN22" i="27"/>
  <c r="AR22" i="27" s="1"/>
  <c r="Z15" i="27"/>
  <c r="AA15" i="27"/>
  <c r="AB15" i="27"/>
  <c r="AQ15" i="27"/>
  <c r="AR15" i="27"/>
  <c r="AS15" i="27"/>
  <c r="I25" i="27"/>
  <c r="I26" i="27"/>
  <c r="I5" i="34"/>
  <c r="V16" i="6"/>
  <c r="W16" i="6"/>
  <c r="AQ29" i="27"/>
  <c r="H5" i="34"/>
  <c r="AI24" i="27"/>
  <c r="AI21" i="27"/>
  <c r="AA20" i="27"/>
  <c r="AN18" i="27"/>
  <c r="AI17" i="27"/>
  <c r="AA16" i="27"/>
  <c r="AN14" i="27"/>
  <c r="AR14" i="27" s="1"/>
  <c r="AN10" i="27"/>
  <c r="P15" i="6"/>
  <c r="Y10" i="6"/>
  <c r="W19" i="27"/>
  <c r="W15" i="27"/>
  <c r="W11" i="27"/>
  <c r="AA11" i="27" s="1"/>
  <c r="AK18" i="27"/>
  <c r="AK14" i="27"/>
  <c r="AK10" i="27"/>
  <c r="T19" i="27"/>
  <c r="T15" i="27"/>
  <c r="T11" i="27"/>
  <c r="M19" i="6"/>
  <c r="AA21" i="27"/>
  <c r="AS20" i="27"/>
  <c r="AN19" i="27"/>
  <c r="AA17" i="27"/>
  <c r="AS16" i="27"/>
  <c r="AN15" i="27"/>
  <c r="AS12" i="27"/>
  <c r="AN11" i="27"/>
  <c r="AR11" i="27" s="1"/>
  <c r="S9" i="6"/>
  <c r="Z21" i="27"/>
  <c r="AR20" i="27"/>
  <c r="W20" i="27"/>
  <c r="Z17" i="27"/>
  <c r="W16" i="27"/>
  <c r="Z13" i="27"/>
  <c r="AR12" i="27"/>
  <c r="W12" i="27"/>
  <c r="AA12" i="27" s="1"/>
  <c r="R9" i="6"/>
  <c r="AK19" i="27"/>
  <c r="AK15" i="27"/>
  <c r="AK11" i="27"/>
  <c r="T12" i="27"/>
  <c r="AR24" i="27"/>
  <c r="AS21" i="27"/>
  <c r="AA18" i="27"/>
  <c r="AS17" i="27"/>
  <c r="AA14" i="27"/>
  <c r="AS13" i="27"/>
  <c r="AA10" i="27"/>
  <c r="Z18" i="27"/>
  <c r="Z14" i="27"/>
  <c r="Z10" i="27"/>
  <c r="P82" i="1" l="1"/>
  <c r="P92" i="1"/>
  <c r="P94" i="1" s="1"/>
  <c r="AP262" i="1"/>
  <c r="AP269" i="1"/>
  <c r="E10" i="284"/>
  <c r="AT32" i="1"/>
  <c r="AT33" i="1"/>
  <c r="AT71" i="1"/>
  <c r="E11" i="3"/>
  <c r="AH182" i="1"/>
  <c r="AH159" i="1"/>
  <c r="AH142" i="1"/>
  <c r="AH157" i="1"/>
  <c r="AH161" i="1"/>
  <c r="AH162" i="1" s="1"/>
  <c r="Q86" i="1"/>
  <c r="Q100" i="1" s="1"/>
  <c r="AF127" i="1"/>
  <c r="AF150" i="1"/>
  <c r="AF152" i="1"/>
  <c r="U14" i="6"/>
  <c r="V14" i="6"/>
  <c r="W14" i="6"/>
  <c r="W217" i="1"/>
  <c r="W219" i="1"/>
  <c r="W214" i="1"/>
  <c r="AV267" i="1"/>
  <c r="AV260" i="1"/>
  <c r="I163" i="1"/>
  <c r="AA33" i="1"/>
  <c r="AA32" i="1"/>
  <c r="AA71" i="1"/>
  <c r="K162" i="1"/>
  <c r="K27" i="1" s="1"/>
  <c r="P158" i="1"/>
  <c r="P23" i="1" s="1"/>
  <c r="P22" i="1"/>
  <c r="AT46" i="1"/>
  <c r="AT40" i="1"/>
  <c r="AT52" i="1"/>
  <c r="O52" i="1"/>
  <c r="P64" i="1"/>
  <c r="T64" i="1"/>
  <c r="P59" i="1"/>
  <c r="P66" i="1"/>
  <c r="I29" i="3"/>
  <c r="AU305" i="1"/>
  <c r="AU80" i="1" s="1"/>
  <c r="K86" i="1"/>
  <c r="K100" i="1" s="1"/>
  <c r="V56" i="1"/>
  <c r="Z55" i="1"/>
  <c r="V58" i="1"/>
  <c r="V63" i="1"/>
  <c r="W376" i="1"/>
  <c r="M14" i="6"/>
  <c r="N14" i="6"/>
  <c r="O14" i="6"/>
  <c r="AA127" i="1"/>
  <c r="AA150" i="1"/>
  <c r="AV149" i="1"/>
  <c r="W378" i="1"/>
  <c r="W108" i="1" s="1"/>
  <c r="AR185" i="1"/>
  <c r="E43" i="3"/>
  <c r="Q267" i="1"/>
  <c r="Q260" i="1"/>
  <c r="AD267" i="1"/>
  <c r="AD260" i="1"/>
  <c r="AF264" i="1"/>
  <c r="AX257" i="1"/>
  <c r="AF271" i="1"/>
  <c r="AH262" i="1"/>
  <c r="AH269" i="1"/>
  <c r="AI269" i="1"/>
  <c r="U268" i="1"/>
  <c r="U261" i="1"/>
  <c r="AQ262" i="1"/>
  <c r="AQ269" i="1"/>
  <c r="K268" i="1"/>
  <c r="K261" i="1"/>
  <c r="L271" i="1"/>
  <c r="L264" i="1"/>
  <c r="AC263" i="1"/>
  <c r="AC270" i="1"/>
  <c r="AV268" i="1"/>
  <c r="AV261" i="1"/>
  <c r="AP264" i="1"/>
  <c r="AP271" i="1"/>
  <c r="R93" i="1"/>
  <c r="R97" i="1" s="1"/>
  <c r="R379" i="1"/>
  <c r="S379" i="1" s="1"/>
  <c r="AH260" i="1"/>
  <c r="AH267" i="1"/>
  <c r="AI267" i="1"/>
  <c r="AK88" i="1"/>
  <c r="AL88" i="1" s="1"/>
  <c r="AM88" i="1" s="1"/>
  <c r="AP263" i="1"/>
  <c r="AP270" i="1"/>
  <c r="P15" i="1"/>
  <c r="P13" i="1"/>
  <c r="Q17" i="1"/>
  <c r="P50" i="1"/>
  <c r="P17" i="1"/>
  <c r="P49" i="1"/>
  <c r="P51" i="1"/>
  <c r="AA26" i="27"/>
  <c r="AA25" i="27"/>
  <c r="T25" i="27"/>
  <c r="AV192" i="1"/>
  <c r="AV12" i="1"/>
  <c r="AV62" i="1" s="1"/>
  <c r="AV188" i="1"/>
  <c r="AV189" i="1" s="1"/>
  <c r="AV14" i="1" s="1"/>
  <c r="G9" i="3" s="1"/>
  <c r="AV190" i="1"/>
  <c r="AV191" i="1" s="1"/>
  <c r="AV16" i="1" s="1"/>
  <c r="AV222" i="1"/>
  <c r="AV224" i="1" s="1"/>
  <c r="AQ21" i="1"/>
  <c r="AQ182" i="1"/>
  <c r="AS26" i="27"/>
  <c r="L24" i="1"/>
  <c r="L26" i="1"/>
  <c r="W33" i="1"/>
  <c r="AW25" i="1"/>
  <c r="P77" i="1"/>
  <c r="K92" i="1"/>
  <c r="K94" i="1" s="1"/>
  <c r="K82" i="1"/>
  <c r="AA383" i="1"/>
  <c r="U62" i="1"/>
  <c r="H23" i="284"/>
  <c r="H48" i="284" s="1"/>
  <c r="AW103" i="1"/>
  <c r="H29" i="3"/>
  <c r="H62" i="3" s="1"/>
  <c r="Z164" i="1"/>
  <c r="E22" i="6"/>
  <c r="Q124" i="1"/>
  <c r="H22" i="6"/>
  <c r="T124" i="1"/>
  <c r="S218" i="1"/>
  <c r="S213" i="1"/>
  <c r="W308" i="1"/>
  <c r="AU218" i="1"/>
  <c r="W208" i="1"/>
  <c r="AU213" i="1"/>
  <c r="I267" i="1"/>
  <c r="I260" i="1"/>
  <c r="V267" i="1"/>
  <c r="V260" i="1"/>
  <c r="Q268" i="1"/>
  <c r="Q261" i="1"/>
  <c r="AH270" i="1"/>
  <c r="AI270" i="1"/>
  <c r="AH263" i="1"/>
  <c r="U262" i="1"/>
  <c r="U269" i="1"/>
  <c r="W268" i="1"/>
  <c r="W261" i="1"/>
  <c r="AQ263" i="1"/>
  <c r="AQ270" i="1"/>
  <c r="K262" i="1"/>
  <c r="K269" i="1"/>
  <c r="AB261" i="1"/>
  <c r="AB268" i="1"/>
  <c r="AC271" i="1"/>
  <c r="AC264" i="1"/>
  <c r="AV262" i="1"/>
  <c r="AV269" i="1"/>
  <c r="O268" i="1"/>
  <c r="O261" i="1"/>
  <c r="E42" i="284"/>
  <c r="E43" i="284" s="1"/>
  <c r="E56" i="3"/>
  <c r="E36" i="3" s="1"/>
  <c r="AF270" i="1"/>
  <c r="AX256" i="1"/>
  <c r="AF263" i="1"/>
  <c r="AB25" i="27"/>
  <c r="AB26" i="27"/>
  <c r="L263" i="1"/>
  <c r="L270" i="1"/>
  <c r="AR21" i="1"/>
  <c r="AR159" i="1"/>
  <c r="AR160" i="1" s="1"/>
  <c r="AR25" i="1" s="1"/>
  <c r="AR157" i="1"/>
  <c r="AS159" i="1"/>
  <c r="AS160" i="1" s="1"/>
  <c r="AS25" i="1" s="1"/>
  <c r="AS157" i="1"/>
  <c r="AS161" i="1"/>
  <c r="AR161" i="1"/>
  <c r="AR163" i="1" s="1"/>
  <c r="AR28" i="1" s="1"/>
  <c r="AR182" i="1"/>
  <c r="AW26" i="1"/>
  <c r="T17" i="1"/>
  <c r="AB33" i="1"/>
  <c r="AB32" i="1"/>
  <c r="AB71" i="1"/>
  <c r="AT28" i="1"/>
  <c r="M163" i="1"/>
  <c r="M162" i="1"/>
  <c r="M27" i="1" s="1"/>
  <c r="Q162" i="1"/>
  <c r="Q27" i="1" s="1"/>
  <c r="O62" i="1"/>
  <c r="G11" i="284"/>
  <c r="V77" i="1"/>
  <c r="P97" i="1"/>
  <c r="W93" i="1"/>
  <c r="W97" i="1" s="1"/>
  <c r="Z111" i="1"/>
  <c r="Y113" i="1"/>
  <c r="AS291" i="1"/>
  <c r="L293" i="1"/>
  <c r="AS293" i="1" s="1"/>
  <c r="L299" i="1"/>
  <c r="Z267" i="1"/>
  <c r="Z260" i="1"/>
  <c r="N267" i="1"/>
  <c r="N260" i="1"/>
  <c r="Q262" i="1"/>
  <c r="Q269" i="1"/>
  <c r="AH264" i="1"/>
  <c r="AH271" i="1"/>
  <c r="AI271" i="1"/>
  <c r="U263" i="1"/>
  <c r="U270" i="1"/>
  <c r="W269" i="1"/>
  <c r="W262" i="1"/>
  <c r="AQ264" i="1"/>
  <c r="AQ271" i="1"/>
  <c r="K263" i="1"/>
  <c r="K270" i="1"/>
  <c r="AB262" i="1"/>
  <c r="AB269" i="1"/>
  <c r="AU267" i="1"/>
  <c r="AU260" i="1"/>
  <c r="AV263" i="1"/>
  <c r="AV270" i="1"/>
  <c r="O262" i="1"/>
  <c r="O269" i="1"/>
  <c r="AI21" i="1"/>
  <c r="AI156" i="1"/>
  <c r="AX167" i="1"/>
  <c r="AJ167" i="1"/>
  <c r="AI170" i="1"/>
  <c r="AI171" i="1" s="1"/>
  <c r="AI168" i="1"/>
  <c r="AT121" i="1"/>
  <c r="AT119" i="1"/>
  <c r="AT120" i="1" s="1"/>
  <c r="AT122" i="1" s="1"/>
  <c r="AT123" i="1"/>
  <c r="AW108" i="1"/>
  <c r="AR271" i="1"/>
  <c r="AR264" i="1"/>
  <c r="AA194" i="1"/>
  <c r="AA193" i="1"/>
  <c r="AE193" i="1"/>
  <c r="K26" i="1"/>
  <c r="K24" i="1"/>
  <c r="AF194" i="1"/>
  <c r="AF193" i="1"/>
  <c r="F10" i="284"/>
  <c r="AU32" i="1"/>
  <c r="AU71" i="1"/>
  <c r="F11" i="3"/>
  <c r="L52" i="1"/>
  <c r="L40" i="1"/>
  <c r="L46" i="1"/>
  <c r="L71" i="1"/>
  <c r="P46" i="1"/>
  <c r="AU164" i="1"/>
  <c r="AU29" i="1" s="1"/>
  <c r="D10" i="284"/>
  <c r="AS32" i="1"/>
  <c r="AS33" i="1"/>
  <c r="AS71" i="1"/>
  <c r="D11" i="3"/>
  <c r="G86" i="1"/>
  <c r="G100" i="1" s="1"/>
  <c r="AC105" i="1"/>
  <c r="AC393" i="1"/>
  <c r="Q105" i="1"/>
  <c r="Z93" i="1"/>
  <c r="Z97" i="1" s="1"/>
  <c r="S219" i="1"/>
  <c r="S214" i="1"/>
  <c r="S217" i="1"/>
  <c r="AT289" i="1"/>
  <c r="P291" i="1"/>
  <c r="AD127" i="1"/>
  <c r="AD152" i="1"/>
  <c r="J213" i="1"/>
  <c r="J218" i="1"/>
  <c r="AD77" i="1"/>
  <c r="AD103" i="1"/>
  <c r="R260" i="1"/>
  <c r="R267" i="1"/>
  <c r="F267" i="1"/>
  <c r="Q270" i="1"/>
  <c r="Q263" i="1"/>
  <c r="S268" i="1"/>
  <c r="S261" i="1"/>
  <c r="U264" i="1"/>
  <c r="U271" i="1"/>
  <c r="W263" i="1"/>
  <c r="W270" i="1"/>
  <c r="J268" i="1"/>
  <c r="J261" i="1"/>
  <c r="K271" i="1"/>
  <c r="K264" i="1"/>
  <c r="AB263" i="1"/>
  <c r="AB270" i="1"/>
  <c r="AU268" i="1"/>
  <c r="AU261" i="1"/>
  <c r="AV271" i="1"/>
  <c r="AV264" i="1"/>
  <c r="O270" i="1"/>
  <c r="O263" i="1"/>
  <c r="F22" i="6"/>
  <c r="R124" i="1"/>
  <c r="J22" i="6"/>
  <c r="P22" i="6" s="1"/>
  <c r="V124" i="1"/>
  <c r="M267" i="1"/>
  <c r="M260" i="1"/>
  <c r="H42" i="284"/>
  <c r="H56" i="3"/>
  <c r="H36" i="3" s="1"/>
  <c r="AC262" i="1"/>
  <c r="AC269" i="1"/>
  <c r="AK25" i="27"/>
  <c r="AK26" i="27"/>
  <c r="R23" i="27"/>
  <c r="R26" i="27" s="1"/>
  <c r="T23" i="27"/>
  <c r="T26" i="27" s="1"/>
  <c r="W167" i="1"/>
  <c r="V21" i="1"/>
  <c r="V172" i="1"/>
  <c r="V174" i="1" s="1"/>
  <c r="V28" i="1" s="1"/>
  <c r="V170" i="1"/>
  <c r="V171" i="1" s="1"/>
  <c r="V127" i="1"/>
  <c r="V182" i="1"/>
  <c r="AT26" i="1"/>
  <c r="AT24" i="1"/>
  <c r="N46" i="1"/>
  <c r="N40" i="1"/>
  <c r="N71" i="1"/>
  <c r="N52" i="1"/>
  <c r="AE17" i="1"/>
  <c r="AE50" i="1"/>
  <c r="AE15" i="1"/>
  <c r="AE13" i="1"/>
  <c r="AE51" i="1"/>
  <c r="AE72" i="1"/>
  <c r="L162" i="1"/>
  <c r="L27" i="1" s="1"/>
  <c r="L163" i="1"/>
  <c r="P162" i="1"/>
  <c r="P27" i="1" s="1"/>
  <c r="AB52" i="1"/>
  <c r="AW38" i="1"/>
  <c r="AB40" i="1"/>
  <c r="AB46" i="1"/>
  <c r="AF46" i="1"/>
  <c r="O33" i="1"/>
  <c r="O32" i="1"/>
  <c r="O71" i="1"/>
  <c r="U75" i="1"/>
  <c r="U77" i="1"/>
  <c r="U103" i="1"/>
  <c r="S75" i="1"/>
  <c r="S72" i="1"/>
  <c r="G82" i="1"/>
  <c r="G92" i="1"/>
  <c r="G94" i="1" s="1"/>
  <c r="K22" i="6"/>
  <c r="X22" i="6" s="1"/>
  <c r="AA22" i="6" s="1"/>
  <c r="W124" i="1"/>
  <c r="AE370" i="1"/>
  <c r="AE105" i="1" s="1"/>
  <c r="AV123" i="1"/>
  <c r="AV121" i="1"/>
  <c r="AV119" i="1"/>
  <c r="AV120" i="1" s="1"/>
  <c r="AV122" i="1" s="1"/>
  <c r="Y226" i="1"/>
  <c r="Y225" i="1"/>
  <c r="AC225" i="1"/>
  <c r="R308" i="1"/>
  <c r="J267" i="1"/>
  <c r="J260" i="1"/>
  <c r="AI260" i="1"/>
  <c r="AE267" i="1"/>
  <c r="AE260" i="1"/>
  <c r="Q264" i="1"/>
  <c r="Q271" i="1"/>
  <c r="S262" i="1"/>
  <c r="S269" i="1"/>
  <c r="P267" i="1"/>
  <c r="P260" i="1"/>
  <c r="W271" i="1"/>
  <c r="W264" i="1"/>
  <c r="J262" i="1"/>
  <c r="J269" i="1"/>
  <c r="AA268" i="1"/>
  <c r="AA261" i="1"/>
  <c r="AB271" i="1"/>
  <c r="AB264" i="1"/>
  <c r="AU262" i="1"/>
  <c r="AU269" i="1"/>
  <c r="H268" i="1"/>
  <c r="H261" i="1"/>
  <c r="O264" i="1"/>
  <c r="O271" i="1"/>
  <c r="P52" i="1"/>
  <c r="X63" i="1"/>
  <c r="X58" i="1"/>
  <c r="AB55" i="1"/>
  <c r="X56" i="1"/>
  <c r="H11" i="284"/>
  <c r="X81" i="1"/>
  <c r="X85" i="1"/>
  <c r="X76" i="1"/>
  <c r="S32" i="1"/>
  <c r="AK175" i="1"/>
  <c r="AK29" i="1" s="1"/>
  <c r="AG175" i="1"/>
  <c r="AG29" i="1" s="1"/>
  <c r="AG28" i="1"/>
  <c r="AG163" i="1"/>
  <c r="V105" i="1"/>
  <c r="V393" i="1"/>
  <c r="AU123" i="1"/>
  <c r="AU121" i="1"/>
  <c r="AU119" i="1"/>
  <c r="AU120" i="1" s="1"/>
  <c r="AU122" i="1" s="1"/>
  <c r="H213" i="1"/>
  <c r="D218" i="1"/>
  <c r="AA208" i="1"/>
  <c r="AV218" i="1"/>
  <c r="AV213" i="1"/>
  <c r="AA267" i="1"/>
  <c r="AA260" i="1"/>
  <c r="W267" i="1"/>
  <c r="W260" i="1"/>
  <c r="AG268" i="1"/>
  <c r="AG261" i="1"/>
  <c r="S263" i="1"/>
  <c r="S270" i="1"/>
  <c r="F268" i="1"/>
  <c r="H267" i="1"/>
  <c r="H260" i="1"/>
  <c r="J263" i="1"/>
  <c r="J270" i="1"/>
  <c r="AA262" i="1"/>
  <c r="AA269" i="1"/>
  <c r="AT267" i="1"/>
  <c r="AT260" i="1"/>
  <c r="AU263" i="1"/>
  <c r="AU270" i="1"/>
  <c r="H262" i="1"/>
  <c r="H269" i="1"/>
  <c r="AE268" i="1"/>
  <c r="AE261" i="1"/>
  <c r="AI261" i="1"/>
  <c r="Q22" i="1"/>
  <c r="Q158" i="1"/>
  <c r="Q23" i="1" s="1"/>
  <c r="AE49" i="1"/>
  <c r="P58" i="1"/>
  <c r="AU52" i="1"/>
  <c r="AU40" i="1"/>
  <c r="AU46" i="1"/>
  <c r="F40" i="1"/>
  <c r="F71" i="1"/>
  <c r="F52" i="1"/>
  <c r="J46" i="1"/>
  <c r="AV52" i="1"/>
  <c r="AV40" i="1"/>
  <c r="AV46" i="1"/>
  <c r="AV71" i="1"/>
  <c r="Z82" i="1"/>
  <c r="Z92" i="1"/>
  <c r="S33" i="1"/>
  <c r="E86" i="1"/>
  <c r="E100" i="1" s="1"/>
  <c r="X14" i="6"/>
  <c r="AA8" i="6"/>
  <c r="L213" i="1"/>
  <c r="L218" i="1"/>
  <c r="AB152" i="1"/>
  <c r="AB127" i="1"/>
  <c r="AB293" i="1"/>
  <c r="AW291" i="1"/>
  <c r="AB299" i="1"/>
  <c r="S260" i="1"/>
  <c r="S267" i="1"/>
  <c r="O267" i="1"/>
  <c r="O260" i="1"/>
  <c r="AG267" i="1"/>
  <c r="AG260" i="1"/>
  <c r="S264" i="1"/>
  <c r="S271" i="1"/>
  <c r="I268" i="1"/>
  <c r="I261" i="1"/>
  <c r="J271" i="1"/>
  <c r="J264" i="1"/>
  <c r="AA263" i="1"/>
  <c r="AA270" i="1"/>
  <c r="AT268" i="1"/>
  <c r="AT261" i="1"/>
  <c r="AU271" i="1"/>
  <c r="AU264" i="1"/>
  <c r="H263" i="1"/>
  <c r="H270" i="1"/>
  <c r="AE262" i="1"/>
  <c r="AE269" i="1"/>
  <c r="AI262" i="1"/>
  <c r="W164" i="1"/>
  <c r="W29" i="1" s="1"/>
  <c r="AA164" i="1"/>
  <c r="AR263" i="1"/>
  <c r="AR270" i="1"/>
  <c r="AX255" i="1"/>
  <c r="AF262" i="1"/>
  <c r="AF269" i="1"/>
  <c r="O57" i="284"/>
  <c r="N15" i="1"/>
  <c r="N13" i="1"/>
  <c r="N17" i="1"/>
  <c r="N58" i="1"/>
  <c r="N50" i="1"/>
  <c r="N51" i="1"/>
  <c r="N66" i="1"/>
  <c r="N49" i="1"/>
  <c r="AI25" i="27"/>
  <c r="AI26" i="27"/>
  <c r="P194" i="1"/>
  <c r="P193" i="1"/>
  <c r="AJ178" i="1"/>
  <c r="AX178" i="1"/>
  <c r="AI198" i="1"/>
  <c r="AX198" i="1" s="1"/>
  <c r="AJ198" i="1"/>
  <c r="AF15" i="1"/>
  <c r="W17" i="1"/>
  <c r="W15" i="1"/>
  <c r="W51" i="1"/>
  <c r="W13" i="1"/>
  <c r="W72" i="1"/>
  <c r="W50" i="1"/>
  <c r="W66" i="1"/>
  <c r="AF32" i="1"/>
  <c r="N33" i="1"/>
  <c r="AV60" i="1"/>
  <c r="AW60" i="1"/>
  <c r="AV61" i="1"/>
  <c r="AW61" i="1"/>
  <c r="AD93" i="1"/>
  <c r="AD97" i="1" s="1"/>
  <c r="AD379" i="1"/>
  <c r="AE379" i="1" s="1"/>
  <c r="AF82" i="1"/>
  <c r="AF92" i="1"/>
  <c r="N62" i="1"/>
  <c r="N77" i="1"/>
  <c r="E82" i="1"/>
  <c r="E92" i="1"/>
  <c r="E94" i="1" s="1"/>
  <c r="W62" i="1"/>
  <c r="Y86" i="1"/>
  <c r="Y100" i="1" s="1"/>
  <c r="Y87" i="1"/>
  <c r="Y89" i="1" s="1"/>
  <c r="AE150" i="1"/>
  <c r="AE152" i="1"/>
  <c r="AW149" i="1"/>
  <c r="AE127" i="1"/>
  <c r="D22" i="6"/>
  <c r="P124" i="1"/>
  <c r="AJ136" i="1"/>
  <c r="AX136" i="1"/>
  <c r="AR145" i="1"/>
  <c r="AR146" i="1" s="1"/>
  <c r="AS143" i="1"/>
  <c r="AS144" i="1" s="1"/>
  <c r="AS145" i="1"/>
  <c r="AS146" i="1" s="1"/>
  <c r="AR143" i="1"/>
  <c r="AR144" i="1" s="1"/>
  <c r="U127" i="1"/>
  <c r="V152" i="1"/>
  <c r="U152" i="1"/>
  <c r="Y150" i="1"/>
  <c r="AE219" i="1"/>
  <c r="AE214" i="1"/>
  <c r="AE217" i="1"/>
  <c r="AU244" i="1"/>
  <c r="AU245" i="1" s="1"/>
  <c r="W242" i="1"/>
  <c r="AU243" i="1"/>
  <c r="I93" i="3"/>
  <c r="K267" i="1"/>
  <c r="K260" i="1"/>
  <c r="AG270" i="1"/>
  <c r="AG263" i="1"/>
  <c r="X267" i="1"/>
  <c r="X260" i="1"/>
  <c r="F270" i="1"/>
  <c r="I262" i="1"/>
  <c r="I269" i="1"/>
  <c r="Z268" i="1"/>
  <c r="Z261" i="1"/>
  <c r="AA271" i="1"/>
  <c r="AA264" i="1"/>
  <c r="AT262" i="1"/>
  <c r="AT269" i="1"/>
  <c r="N268" i="1"/>
  <c r="N261" i="1"/>
  <c r="H271" i="1"/>
  <c r="H264" i="1"/>
  <c r="AI263" i="1"/>
  <c r="AE270" i="1"/>
  <c r="AE263" i="1"/>
  <c r="Y105" i="1"/>
  <c r="Y393" i="1"/>
  <c r="AD264" i="1"/>
  <c r="AD271" i="1"/>
  <c r="S194" i="1"/>
  <c r="W193" i="1"/>
  <c r="S193" i="1"/>
  <c r="T33" i="1"/>
  <c r="T32" i="1"/>
  <c r="T71" i="1"/>
  <c r="AQ268" i="1"/>
  <c r="AQ261" i="1"/>
  <c r="S26" i="27"/>
  <c r="V15" i="1"/>
  <c r="V17" i="1"/>
  <c r="V13" i="1"/>
  <c r="V49" i="1"/>
  <c r="V50" i="1"/>
  <c r="O17" i="1"/>
  <c r="O13" i="1"/>
  <c r="O50" i="1"/>
  <c r="O51" i="1"/>
  <c r="O58" i="1"/>
  <c r="O66" i="1"/>
  <c r="O15" i="1"/>
  <c r="Q59" i="1"/>
  <c r="Q64" i="1"/>
  <c r="Q66" i="1"/>
  <c r="AD28" i="1"/>
  <c r="R40" i="1"/>
  <c r="R46" i="1"/>
  <c r="R52" i="1"/>
  <c r="R71" i="1"/>
  <c r="S62" i="1"/>
  <c r="W85" i="1"/>
  <c r="W76" i="1"/>
  <c r="W81" i="1"/>
  <c r="V51" i="1"/>
  <c r="AG152" i="1"/>
  <c r="AG127" i="1"/>
  <c r="AG150" i="1"/>
  <c r="AD164" i="1"/>
  <c r="T291" i="1"/>
  <c r="AU289" i="1"/>
  <c r="AB267" i="1"/>
  <c r="AB260" i="1"/>
  <c r="P268" i="1"/>
  <c r="P261" i="1"/>
  <c r="AG262" i="1"/>
  <c r="AG269" i="1"/>
  <c r="T268" i="1"/>
  <c r="T261" i="1"/>
  <c r="F271" i="1"/>
  <c r="I263" i="1"/>
  <c r="I270" i="1"/>
  <c r="Z262" i="1"/>
  <c r="Z269" i="1"/>
  <c r="AS267" i="1"/>
  <c r="AS260" i="1"/>
  <c r="AT263" i="1"/>
  <c r="AT270" i="1"/>
  <c r="N262" i="1"/>
  <c r="N269" i="1"/>
  <c r="X268" i="1"/>
  <c r="X261" i="1"/>
  <c r="AE264" i="1"/>
  <c r="AI264" i="1"/>
  <c r="AE271" i="1"/>
  <c r="AQ260" i="1"/>
  <c r="AQ267" i="1"/>
  <c r="Y267" i="1"/>
  <c r="Y260" i="1"/>
  <c r="Q24" i="6"/>
  <c r="R24" i="6"/>
  <c r="S24" i="6"/>
  <c r="AD46" i="1"/>
  <c r="AD52" i="1"/>
  <c r="AD40" i="1"/>
  <c r="AD71" i="1"/>
  <c r="AQ25" i="27"/>
  <c r="AD15" i="1"/>
  <c r="AD13" i="1"/>
  <c r="AD17" i="1"/>
  <c r="AD50" i="1"/>
  <c r="AD49" i="1"/>
  <c r="AD51" i="1"/>
  <c r="Q15" i="1"/>
  <c r="R157" i="1"/>
  <c r="N157" i="1"/>
  <c r="N159" i="1"/>
  <c r="N160" i="1" s="1"/>
  <c r="N25" i="1" s="1"/>
  <c r="N161" i="1"/>
  <c r="O159" i="1"/>
  <c r="O160" i="1" s="1"/>
  <c r="O25" i="1" s="1"/>
  <c r="O161" i="1"/>
  <c r="N21" i="1"/>
  <c r="N182" i="1"/>
  <c r="X24" i="6"/>
  <c r="AA24" i="6" s="1"/>
  <c r="X16" i="6"/>
  <c r="AA10" i="6"/>
  <c r="AS40" i="1"/>
  <c r="AS46" i="1"/>
  <c r="AS52" i="1"/>
  <c r="AE32" i="1"/>
  <c r="P72" i="1"/>
  <c r="O97" i="1"/>
  <c r="D86" i="1"/>
  <c r="D100" i="1" s="1"/>
  <c r="P76" i="1"/>
  <c r="AA345" i="1"/>
  <c r="AA305" i="1" s="1"/>
  <c r="AV305" i="1" s="1"/>
  <c r="AV80" i="1" s="1"/>
  <c r="H86" i="1"/>
  <c r="H100" i="1" s="1"/>
  <c r="H87" i="1"/>
  <c r="H89" i="1" s="1"/>
  <c r="AB164" i="1"/>
  <c r="AH119" i="1"/>
  <c r="AH149" i="1"/>
  <c r="AI118" i="1"/>
  <c r="AI149" i="1" s="1"/>
  <c r="AH121" i="1"/>
  <c r="V308" i="1"/>
  <c r="AD293" i="1"/>
  <c r="AD299" i="1"/>
  <c r="AD308" i="1" s="1"/>
  <c r="R218" i="1"/>
  <c r="R213" i="1"/>
  <c r="V213" i="1"/>
  <c r="X308" i="1"/>
  <c r="AV299" i="1"/>
  <c r="T260" i="1"/>
  <c r="T267" i="1"/>
  <c r="P262" i="1"/>
  <c r="P269" i="1"/>
  <c r="AG264" i="1"/>
  <c r="AG271" i="1"/>
  <c r="T262" i="1"/>
  <c r="T269" i="1"/>
  <c r="V268" i="1"/>
  <c r="V261" i="1"/>
  <c r="I271" i="1"/>
  <c r="I264" i="1"/>
  <c r="Z263" i="1"/>
  <c r="Z270" i="1"/>
  <c r="AS268" i="1"/>
  <c r="AS261" i="1"/>
  <c r="AT271" i="1"/>
  <c r="AT264" i="1"/>
  <c r="N270" i="1"/>
  <c r="N263" i="1"/>
  <c r="X262" i="1"/>
  <c r="X269" i="1"/>
  <c r="AW267" i="1"/>
  <c r="AW260" i="1"/>
  <c r="Y59" i="1"/>
  <c r="Y66" i="1"/>
  <c r="Y64" i="1"/>
  <c r="Y80" i="1"/>
  <c r="Y81" i="1" s="1"/>
  <c r="AT22" i="1"/>
  <c r="AT158" i="1"/>
  <c r="AT23" i="1" s="1"/>
  <c r="T194" i="1"/>
  <c r="T193" i="1"/>
  <c r="X193" i="1"/>
  <c r="AU190" i="1"/>
  <c r="AU191" i="1" s="1"/>
  <c r="AU16" i="1" s="1"/>
  <c r="AU188" i="1"/>
  <c r="AU189" i="1" s="1"/>
  <c r="AU14" i="1" s="1"/>
  <c r="F9" i="3" s="1"/>
  <c r="AU12" i="1"/>
  <c r="AU33" i="1" s="1"/>
  <c r="AU192" i="1"/>
  <c r="AU222" i="1"/>
  <c r="AU224" i="1" s="1"/>
  <c r="E161" i="1"/>
  <c r="E163" i="1" s="1"/>
  <c r="E21" i="1"/>
  <c r="E26" i="1" s="1"/>
  <c r="I157" i="1"/>
  <c r="E159" i="1"/>
  <c r="E160" i="1" s="1"/>
  <c r="F159" i="1"/>
  <c r="F160" i="1" s="1"/>
  <c r="E182" i="1"/>
  <c r="AJ175" i="1"/>
  <c r="AJ29" i="1" s="1"/>
  <c r="AF175" i="1"/>
  <c r="AF29" i="1" s="1"/>
  <c r="AF28" i="1"/>
  <c r="AF163" i="1"/>
  <c r="AT194" i="1"/>
  <c r="AT193" i="1"/>
  <c r="AE33" i="1"/>
  <c r="W52" i="1"/>
  <c r="AF87" i="1"/>
  <c r="AF86" i="1"/>
  <c r="N97" i="1"/>
  <c r="D82" i="1"/>
  <c r="D92" i="1"/>
  <c r="D94" i="1" s="1"/>
  <c r="P86" i="1"/>
  <c r="P100" i="1" s="1"/>
  <c r="AG82" i="1"/>
  <c r="AG92" i="1"/>
  <c r="AG94" i="1" s="1"/>
  <c r="H92" i="1"/>
  <c r="H94" i="1" s="1"/>
  <c r="H82" i="1"/>
  <c r="AC213" i="1"/>
  <c r="AC218" i="1"/>
  <c r="I22" i="6"/>
  <c r="U124" i="1"/>
  <c r="S308" i="1"/>
  <c r="AT183" i="1"/>
  <c r="AT186" i="1"/>
  <c r="N71" i="3"/>
  <c r="AE208" i="1"/>
  <c r="AW218" i="1"/>
  <c r="AW213" i="1"/>
  <c r="L267" i="1"/>
  <c r="L260" i="1"/>
  <c r="P270" i="1"/>
  <c r="P263" i="1"/>
  <c r="R268" i="1"/>
  <c r="R261" i="1"/>
  <c r="T263" i="1"/>
  <c r="T270" i="1"/>
  <c r="V269" i="1"/>
  <c r="V262" i="1"/>
  <c r="Y268" i="1"/>
  <c r="Y261" i="1"/>
  <c r="Z271" i="1"/>
  <c r="Z264" i="1"/>
  <c r="AS269" i="1"/>
  <c r="AS262" i="1"/>
  <c r="M261" i="1"/>
  <c r="M268" i="1"/>
  <c r="N264" i="1"/>
  <c r="N271" i="1"/>
  <c r="X263" i="1"/>
  <c r="X270" i="1"/>
  <c r="AW268" i="1"/>
  <c r="AW261" i="1"/>
  <c r="AQ92" i="1"/>
  <c r="AQ94" i="1" s="1"/>
  <c r="AQ82" i="1"/>
  <c r="AC261" i="1"/>
  <c r="AC268" i="1"/>
  <c r="Y308" i="1"/>
  <c r="AH268" i="1"/>
  <c r="AH261" i="1"/>
  <c r="AI268" i="1"/>
  <c r="N194" i="1"/>
  <c r="N193" i="1"/>
  <c r="R193" i="1"/>
  <c r="AW192" i="1"/>
  <c r="AX199" i="1"/>
  <c r="AW190" i="1"/>
  <c r="AW191" i="1" s="1"/>
  <c r="AW16" i="1" s="1"/>
  <c r="AW12" i="1"/>
  <c r="AW77" i="1" s="1"/>
  <c r="AW188" i="1"/>
  <c r="AW189" i="1" s="1"/>
  <c r="AW14" i="1" s="1"/>
  <c r="H9" i="3" s="1"/>
  <c r="AW222" i="1"/>
  <c r="AW224" i="1" s="1"/>
  <c r="AW186" i="1"/>
  <c r="M24" i="1"/>
  <c r="M26" i="1"/>
  <c r="J162" i="1"/>
  <c r="J27" i="1" s="1"/>
  <c r="J163" i="1"/>
  <c r="J164" i="1" s="1"/>
  <c r="X15" i="1"/>
  <c r="H22" i="1"/>
  <c r="H158" i="1"/>
  <c r="AE77" i="1"/>
  <c r="M76" i="1"/>
  <c r="M85" i="1"/>
  <c r="O77" i="1"/>
  <c r="AE85" i="1"/>
  <c r="AE76" i="1"/>
  <c r="AE81" i="1"/>
  <c r="AW123" i="1"/>
  <c r="AW119" i="1"/>
  <c r="AW120" i="1" s="1"/>
  <c r="AW122" i="1" s="1"/>
  <c r="AW121" i="1"/>
  <c r="Z370" i="1"/>
  <c r="AV293" i="1"/>
  <c r="X213" i="1"/>
  <c r="AB213" i="1"/>
  <c r="X218" i="1"/>
  <c r="E8" i="284"/>
  <c r="P264" i="1"/>
  <c r="P271" i="1"/>
  <c r="R262" i="1"/>
  <c r="R269" i="1"/>
  <c r="T264" i="1"/>
  <c r="T271" i="1"/>
  <c r="V263" i="1"/>
  <c r="V270" i="1"/>
  <c r="Y262" i="1"/>
  <c r="Y269" i="1"/>
  <c r="AR267" i="1"/>
  <c r="AR260" i="1"/>
  <c r="AS263" i="1"/>
  <c r="AS270" i="1"/>
  <c r="M262" i="1"/>
  <c r="M269" i="1"/>
  <c r="AD268" i="1"/>
  <c r="AD261" i="1"/>
  <c r="X271" i="1"/>
  <c r="X264" i="1"/>
  <c r="AW262" i="1"/>
  <c r="AW269" i="1"/>
  <c r="Z26" i="27"/>
  <c r="Z25" i="27"/>
  <c r="L262" i="1"/>
  <c r="L269" i="1"/>
  <c r="AR26" i="27"/>
  <c r="AR25" i="27"/>
  <c r="P14" i="6"/>
  <c r="Q8" i="6"/>
  <c r="R8" i="6"/>
  <c r="S8" i="6"/>
  <c r="X17" i="1"/>
  <c r="V40" i="1"/>
  <c r="V46" i="1"/>
  <c r="V71" i="1"/>
  <c r="Z46" i="1"/>
  <c r="V52" i="1"/>
  <c r="AC56" i="1"/>
  <c r="AC58" i="1"/>
  <c r="AC63" i="1"/>
  <c r="AG55" i="1"/>
  <c r="W58" i="1"/>
  <c r="X32" i="1"/>
  <c r="P33" i="1"/>
  <c r="V97" i="1"/>
  <c r="S52" i="1"/>
  <c r="D29" i="284"/>
  <c r="D23" i="284"/>
  <c r="D48" i="284" s="1"/>
  <c r="AS77" i="1"/>
  <c r="AS103" i="1"/>
  <c r="D29" i="3"/>
  <c r="D62" i="3" s="1"/>
  <c r="I86" i="1"/>
  <c r="I100" i="1" s="1"/>
  <c r="I87" i="1"/>
  <c r="I89" i="1" s="1"/>
  <c r="AG87" i="1"/>
  <c r="AG89" i="1" s="1"/>
  <c r="AG86" i="1"/>
  <c r="AG100" i="1" s="1"/>
  <c r="AC76" i="1"/>
  <c r="AC81" i="1"/>
  <c r="AC85" i="1"/>
  <c r="AF186" i="1"/>
  <c r="R105" i="1"/>
  <c r="R393" i="1"/>
  <c r="S393" i="1" s="1"/>
  <c r="U105" i="1"/>
  <c r="U393" i="1"/>
  <c r="W393" i="1" s="1"/>
  <c r="AW245" i="1"/>
  <c r="AC267" i="1"/>
  <c r="AC260" i="1"/>
  <c r="AX254" i="1"/>
  <c r="AF268" i="1"/>
  <c r="AF261" i="1"/>
  <c r="R270" i="1"/>
  <c r="R263" i="1"/>
  <c r="V271" i="1"/>
  <c r="V264" i="1"/>
  <c r="Y263" i="1"/>
  <c r="Y270" i="1"/>
  <c r="AR268" i="1"/>
  <c r="AR261" i="1"/>
  <c r="AS271" i="1"/>
  <c r="AS264" i="1"/>
  <c r="M263" i="1"/>
  <c r="M270" i="1"/>
  <c r="AD262" i="1"/>
  <c r="AD269" i="1"/>
  <c r="AP260" i="1"/>
  <c r="AP267" i="1"/>
  <c r="AW263" i="1"/>
  <c r="AW270" i="1"/>
  <c r="S15" i="1"/>
  <c r="S13" i="1"/>
  <c r="S17" i="1"/>
  <c r="T15" i="1"/>
  <c r="S50" i="1"/>
  <c r="S49" i="1"/>
  <c r="S51" i="1"/>
  <c r="S66" i="1"/>
  <c r="AD194" i="1"/>
  <c r="AD193" i="1"/>
  <c r="M22" i="1"/>
  <c r="M158" i="1"/>
  <c r="M23" i="1" s="1"/>
  <c r="J22" i="1"/>
  <c r="J158" i="1"/>
  <c r="S58" i="1"/>
  <c r="AA63" i="1"/>
  <c r="AA58" i="1"/>
  <c r="AE55" i="1"/>
  <c r="AA56" i="1"/>
  <c r="AA93" i="1"/>
  <c r="AA97" i="1" s="1"/>
  <c r="Q82" i="1"/>
  <c r="Q92" i="1"/>
  <c r="Q94" i="1" s="1"/>
  <c r="W105" i="1"/>
  <c r="AQ86" i="1"/>
  <c r="AQ100" i="1" s="1"/>
  <c r="S376" i="1"/>
  <c r="S93" i="1" s="1"/>
  <c r="S97" i="1" s="1"/>
  <c r="I82" i="1"/>
  <c r="I92" i="1"/>
  <c r="I94" i="1" s="1"/>
  <c r="R64" i="1"/>
  <c r="R59" i="1"/>
  <c r="R66" i="1"/>
  <c r="AR81" i="1"/>
  <c r="AR85" i="1"/>
  <c r="AR76" i="1"/>
  <c r="J87" i="1"/>
  <c r="J89" i="1" s="1"/>
  <c r="AG105" i="1"/>
  <c r="AG393" i="1"/>
  <c r="AD105" i="1"/>
  <c r="AD393" i="1"/>
  <c r="AC150" i="1"/>
  <c r="AC127" i="1"/>
  <c r="AC152" i="1"/>
  <c r="P218" i="1"/>
  <c r="P213" i="1"/>
  <c r="AA219" i="1"/>
  <c r="AA214" i="1"/>
  <c r="AA217" i="1"/>
  <c r="N213" i="1"/>
  <c r="Z308" i="1"/>
  <c r="U260" i="1"/>
  <c r="U267" i="1"/>
  <c r="AX253" i="1"/>
  <c r="AF267" i="1"/>
  <c r="AF260" i="1"/>
  <c r="R264" i="1"/>
  <c r="R271" i="1"/>
  <c r="Y271" i="1"/>
  <c r="Y264" i="1"/>
  <c r="AR269" i="1"/>
  <c r="AR262" i="1"/>
  <c r="L261" i="1"/>
  <c r="L268" i="1"/>
  <c r="M271" i="1"/>
  <c r="M264" i="1"/>
  <c r="AD270" i="1"/>
  <c r="AD263" i="1"/>
  <c r="AP268" i="1"/>
  <c r="AP261" i="1"/>
  <c r="AW271" i="1"/>
  <c r="AW264" i="1"/>
  <c r="AA393" i="1" l="1"/>
  <c r="AI150" i="1"/>
  <c r="AI152" i="1"/>
  <c r="AX149" i="1"/>
  <c r="AI127" i="1"/>
  <c r="G42" i="284"/>
  <c r="G56" i="3"/>
  <c r="G36" i="3" s="1"/>
  <c r="H11" i="6"/>
  <c r="T299" i="1"/>
  <c r="AU291" i="1"/>
  <c r="T293" i="1"/>
  <c r="AU293" i="1" s="1"/>
  <c r="E87" i="1"/>
  <c r="E89" i="1" s="1"/>
  <c r="H52" i="284"/>
  <c r="H66" i="3"/>
  <c r="E15" i="3"/>
  <c r="E12" i="3"/>
  <c r="E13" i="3"/>
  <c r="AX267" i="1"/>
  <c r="AX260" i="1"/>
  <c r="E183" i="1"/>
  <c r="E185" i="1" s="1"/>
  <c r="F183" i="1"/>
  <c r="F185" i="1" s="1"/>
  <c r="F186" i="1" s="1"/>
  <c r="D87" i="1"/>
  <c r="D89" i="1" s="1"/>
  <c r="N22" i="1"/>
  <c r="N158" i="1"/>
  <c r="N23" i="1" s="1"/>
  <c r="U85" i="1"/>
  <c r="U76" i="1"/>
  <c r="U81" i="1"/>
  <c r="E18" i="284"/>
  <c r="AT75" i="1"/>
  <c r="AT72" i="1"/>
  <c r="E19" i="3"/>
  <c r="P87" i="1"/>
  <c r="P89" i="1" s="1"/>
  <c r="Y82" i="1"/>
  <c r="Y92" i="1"/>
  <c r="Y94" i="1" s="1"/>
  <c r="R22" i="1"/>
  <c r="R158" i="1"/>
  <c r="R23" i="1" s="1"/>
  <c r="Q60" i="1"/>
  <c r="Q61" i="1"/>
  <c r="Q62" i="1"/>
  <c r="T75" i="1"/>
  <c r="T72" i="1"/>
  <c r="W243" i="1"/>
  <c r="AA243" i="1"/>
  <c r="W244" i="1"/>
  <c r="X244" i="1"/>
  <c r="Z94" i="1"/>
  <c r="O75" i="1"/>
  <c r="O72" i="1"/>
  <c r="AE393" i="1"/>
  <c r="F12" i="3"/>
  <c r="G12" i="3"/>
  <c r="AS163" i="1"/>
  <c r="AS162" i="1"/>
  <c r="AS27" i="1" s="1"/>
  <c r="AT162" i="1"/>
  <c r="AT27" i="1" s="1"/>
  <c r="W21" i="1"/>
  <c r="X167" i="1"/>
  <c r="AA168" i="1"/>
  <c r="AA169" i="1" s="1"/>
  <c r="AU167" i="1"/>
  <c r="W170" i="1"/>
  <c r="W171" i="1" s="1"/>
  <c r="W172" i="1"/>
  <c r="W174" i="1" s="1"/>
  <c r="W28" i="1" s="1"/>
  <c r="W127" i="1"/>
  <c r="AA128" i="1" s="1"/>
  <c r="AA129" i="1" s="1"/>
  <c r="W182" i="1"/>
  <c r="Z105" i="1"/>
  <c r="Z393" i="1"/>
  <c r="AE218" i="1"/>
  <c r="AE213" i="1"/>
  <c r="D95" i="1"/>
  <c r="D101" i="1"/>
  <c r="AG130" i="1"/>
  <c r="AG131" i="1" s="1"/>
  <c r="AG132" i="1"/>
  <c r="AG133" i="1" s="1"/>
  <c r="AG124" i="1" s="1"/>
  <c r="AG128" i="1"/>
  <c r="AG129" i="1" s="1"/>
  <c r="AW127" i="1"/>
  <c r="AE128" i="1"/>
  <c r="AE129" i="1" s="1"/>
  <c r="AE151" i="1" s="1"/>
  <c r="AE132" i="1"/>
  <c r="AE133" i="1" s="1"/>
  <c r="AE130" i="1"/>
  <c r="AE131" i="1" s="1"/>
  <c r="AE153" i="1" s="1"/>
  <c r="AK198" i="1"/>
  <c r="AY198" i="1" s="1"/>
  <c r="P57" i="284"/>
  <c r="AF55" i="1"/>
  <c r="AB58" i="1"/>
  <c r="AB56" i="1"/>
  <c r="AB63" i="1"/>
  <c r="AU75" i="1"/>
  <c r="AU72" i="1"/>
  <c r="F19" i="3"/>
  <c r="AS158" i="1"/>
  <c r="AS23" i="1" s="1"/>
  <c r="AS22" i="1"/>
  <c r="AC86" i="1"/>
  <c r="AC100" i="1" s="1"/>
  <c r="AC87" i="1"/>
  <c r="AC89" i="1" s="1"/>
  <c r="AR87" i="1"/>
  <c r="AR89" i="1" s="1"/>
  <c r="AR86" i="1"/>
  <c r="AR100" i="1" s="1"/>
  <c r="AG56" i="1"/>
  <c r="AG63" i="1"/>
  <c r="AG58" i="1"/>
  <c r="O71" i="3"/>
  <c r="I22" i="1"/>
  <c r="I158" i="1"/>
  <c r="AW150" i="1"/>
  <c r="AW152" i="1"/>
  <c r="AW299" i="1"/>
  <c r="AW308" i="1" s="1"/>
  <c r="AB308" i="1"/>
  <c r="AV75" i="1"/>
  <c r="AV72" i="1"/>
  <c r="G19" i="3"/>
  <c r="N75" i="1"/>
  <c r="N72" i="1"/>
  <c r="G87" i="1"/>
  <c r="G89" i="1" s="1"/>
  <c r="AX271" i="1"/>
  <c r="AX264" i="1"/>
  <c r="E14" i="284"/>
  <c r="E11" i="284"/>
  <c r="E12" i="284"/>
  <c r="AV127" i="1"/>
  <c r="AE56" i="1"/>
  <c r="AE58" i="1"/>
  <c r="AE63" i="1"/>
  <c r="AC82" i="1"/>
  <c r="AC92" i="1"/>
  <c r="AC94" i="1" s="1"/>
  <c r="AR92" i="1"/>
  <c r="AR94" i="1" s="1"/>
  <c r="AR82" i="1"/>
  <c r="X66" i="1"/>
  <c r="X59" i="1"/>
  <c r="X64" i="1"/>
  <c r="M28" i="1"/>
  <c r="M164" i="1"/>
  <c r="M29" i="1" s="1"/>
  <c r="Q164" i="1"/>
  <c r="Q29" i="1" s="1"/>
  <c r="AR158" i="1"/>
  <c r="AR23" i="1" s="1"/>
  <c r="AR22" i="1"/>
  <c r="V59" i="1"/>
  <c r="V64" i="1"/>
  <c r="V66" i="1"/>
  <c r="AA213" i="1"/>
  <c r="AA218" i="1"/>
  <c r="E23" i="3"/>
  <c r="E57" i="3"/>
  <c r="AA66" i="1"/>
  <c r="AA59" i="1"/>
  <c r="AA64" i="1"/>
  <c r="AC59" i="1"/>
  <c r="AC66" i="1"/>
  <c r="AC64" i="1"/>
  <c r="H23" i="3"/>
  <c r="Y60" i="1"/>
  <c r="Y61" i="1"/>
  <c r="Y62" i="1"/>
  <c r="W82" i="1"/>
  <c r="W92" i="1"/>
  <c r="W94" i="1" s="1"/>
  <c r="AW293" i="1"/>
  <c r="S105" i="1"/>
  <c r="F11" i="284"/>
  <c r="F12" i="284"/>
  <c r="AS299" i="1"/>
  <c r="AV308" i="1"/>
  <c r="P60" i="1"/>
  <c r="P62" i="1"/>
  <c r="P61" i="1"/>
  <c r="T60" i="1"/>
  <c r="T61" i="1"/>
  <c r="R60" i="1"/>
  <c r="R62" i="1"/>
  <c r="R61" i="1"/>
  <c r="AE92" i="1"/>
  <c r="AE94" i="1" s="1"/>
  <c r="AE82" i="1"/>
  <c r="AW225" i="1"/>
  <c r="AW226" i="1"/>
  <c r="AF100" i="1"/>
  <c r="S18" i="1"/>
  <c r="S195" i="1"/>
  <c r="W195" i="1"/>
  <c r="AX262" i="1"/>
  <c r="AX269" i="1"/>
  <c r="AG164" i="1"/>
  <c r="AK164" i="1"/>
  <c r="AW40" i="1"/>
  <c r="D13" i="3"/>
  <c r="AI25" i="1"/>
  <c r="AI160" i="1"/>
  <c r="AR26" i="1"/>
  <c r="AS26" i="1"/>
  <c r="AR24" i="1"/>
  <c r="AS24" i="1"/>
  <c r="Z56" i="1"/>
  <c r="Z63" i="1"/>
  <c r="AD55" i="1"/>
  <c r="Z58" i="1"/>
  <c r="R25" i="27"/>
  <c r="H95" i="1"/>
  <c r="H101" i="1"/>
  <c r="K95" i="1"/>
  <c r="K101" i="1"/>
  <c r="Q95" i="1"/>
  <c r="Q101" i="1"/>
  <c r="Q104" i="1" s="1"/>
  <c r="AQ95" i="1"/>
  <c r="AQ101" i="1"/>
  <c r="AQ104" i="1" s="1"/>
  <c r="AF89" i="1"/>
  <c r="AU226" i="1"/>
  <c r="AU225" i="1"/>
  <c r="AI121" i="1"/>
  <c r="AI119" i="1"/>
  <c r="AX118" i="1"/>
  <c r="AJ118" i="1"/>
  <c r="W86" i="1"/>
  <c r="W100" i="1" s="1"/>
  <c r="P18" i="1"/>
  <c r="P195" i="1"/>
  <c r="AB132" i="1"/>
  <c r="AB133" i="1" s="1"/>
  <c r="AB130" i="1"/>
  <c r="AB131" i="1" s="1"/>
  <c r="AB153" i="1" s="1"/>
  <c r="AW46" i="1"/>
  <c r="AW71" i="1"/>
  <c r="AW52" i="1"/>
  <c r="AS75" i="1"/>
  <c r="AS72" i="1"/>
  <c r="D19" i="3"/>
  <c r="AF18" i="1"/>
  <c r="AF195" i="1"/>
  <c r="AB75" i="1"/>
  <c r="AB72" i="1"/>
  <c r="AF130" i="1"/>
  <c r="AF131" i="1" s="1"/>
  <c r="AF128" i="1"/>
  <c r="AF129" i="1" s="1"/>
  <c r="AF132" i="1"/>
  <c r="AF133" i="1" s="1"/>
  <c r="AF124" i="1" s="1"/>
  <c r="AV245" i="1"/>
  <c r="S85" i="1"/>
  <c r="S76" i="1"/>
  <c r="S81" i="1"/>
  <c r="L75" i="1"/>
  <c r="L72" i="1"/>
  <c r="BB105" i="1"/>
  <c r="AF94" i="1"/>
  <c r="I101" i="1"/>
  <c r="I95" i="1"/>
  <c r="AX261" i="1"/>
  <c r="AX268" i="1"/>
  <c r="AE86" i="1"/>
  <c r="AE100" i="1" s="1"/>
  <c r="H7" i="284"/>
  <c r="AW17" i="1"/>
  <c r="AW13" i="1"/>
  <c r="AW15" i="1"/>
  <c r="AW66" i="1"/>
  <c r="AW58" i="1"/>
  <c r="AW51" i="1"/>
  <c r="H7" i="3"/>
  <c r="H57" i="3" s="1"/>
  <c r="AW62" i="1"/>
  <c r="AW49" i="1"/>
  <c r="AW50" i="1"/>
  <c r="AW33" i="1"/>
  <c r="AW97" i="1"/>
  <c r="AU194" i="1"/>
  <c r="AU193" i="1"/>
  <c r="AH127" i="1"/>
  <c r="AH150" i="1"/>
  <c r="AH152" i="1"/>
  <c r="W183" i="1"/>
  <c r="W185" i="1" s="1"/>
  <c r="W186" i="1" s="1"/>
  <c r="V183" i="1"/>
  <c r="V185" i="1" s="1"/>
  <c r="AJ156" i="1"/>
  <c r="AK167" i="1"/>
  <c r="AJ170" i="1"/>
  <c r="AJ171" i="1" s="1"/>
  <c r="AJ21" i="1"/>
  <c r="AJ149" i="1"/>
  <c r="AJ127" i="1" s="1"/>
  <c r="AJ168" i="1"/>
  <c r="U61" i="1"/>
  <c r="AV225" i="1"/>
  <c r="AV226" i="1"/>
  <c r="K87" i="1"/>
  <c r="K89" i="1" s="1"/>
  <c r="AA75" i="1"/>
  <c r="AA72" i="1"/>
  <c r="N162" i="1"/>
  <c r="N27" i="1" s="1"/>
  <c r="N163" i="1"/>
  <c r="R162" i="1"/>
  <c r="R27" i="1" s="1"/>
  <c r="F7" i="284"/>
  <c r="AU15" i="1"/>
  <c r="AU17" i="1"/>
  <c r="AU58" i="1"/>
  <c r="AU13" i="1"/>
  <c r="AU66" i="1"/>
  <c r="AU97" i="1"/>
  <c r="F7" i="3"/>
  <c r="F13" i="3" s="1"/>
  <c r="AU62" i="1"/>
  <c r="AU49" i="1"/>
  <c r="AU50" i="1"/>
  <c r="AU77" i="1"/>
  <c r="AU51" i="1"/>
  <c r="R75" i="1"/>
  <c r="R72" i="1"/>
  <c r="U132" i="1"/>
  <c r="U133" i="1" s="1"/>
  <c r="U130" i="1"/>
  <c r="U131" i="1" s="1"/>
  <c r="U153" i="1" s="1"/>
  <c r="E101" i="1"/>
  <c r="E95" i="1"/>
  <c r="F72" i="1"/>
  <c r="F75" i="1"/>
  <c r="V132" i="1"/>
  <c r="V133" i="1" s="1"/>
  <c r="V130" i="1"/>
  <c r="V131" i="1" s="1"/>
  <c r="Q22" i="6"/>
  <c r="R22" i="6"/>
  <c r="S22" i="6"/>
  <c r="AD132" i="1"/>
  <c r="AD133" i="1" s="1"/>
  <c r="AD130" i="1"/>
  <c r="AD131" i="1" s="1"/>
  <c r="AD153" i="1" s="1"/>
  <c r="AX172" i="1"/>
  <c r="AX168" i="1"/>
  <c r="AX170" i="1"/>
  <c r="AA111" i="1"/>
  <c r="Z113" i="1"/>
  <c r="Q87" i="1"/>
  <c r="Q89" i="1" s="1"/>
  <c r="P101" i="1"/>
  <c r="P104" i="1" s="1"/>
  <c r="P95" i="1"/>
  <c r="AA80" i="1"/>
  <c r="AA308" i="1"/>
  <c r="AG95" i="1"/>
  <c r="AG101" i="1"/>
  <c r="AG104" i="1" s="1"/>
  <c r="T18" i="1"/>
  <c r="T195" i="1"/>
  <c r="X195" i="1"/>
  <c r="AH199" i="1"/>
  <c r="AH179" i="1" s="1"/>
  <c r="O183" i="1"/>
  <c r="O185" i="1" s="1"/>
  <c r="O186" i="1" s="1"/>
  <c r="N183" i="1"/>
  <c r="N185" i="1" s="1"/>
  <c r="AD75" i="1"/>
  <c r="AD72" i="1"/>
  <c r="AA370" i="1"/>
  <c r="AA105" i="1" s="1"/>
  <c r="G95" i="1"/>
  <c r="G101" i="1"/>
  <c r="L28" i="1"/>
  <c r="L164" i="1"/>
  <c r="L29" i="1" s="1"/>
  <c r="P164" i="1"/>
  <c r="P29" i="1" s="1"/>
  <c r="V25" i="1"/>
  <c r="V153" i="1"/>
  <c r="D11" i="6"/>
  <c r="AT291" i="1"/>
  <c r="P293" i="1"/>
  <c r="AT293" i="1" s="1"/>
  <c r="P299" i="1"/>
  <c r="D12" i="284"/>
  <c r="AI182" i="1"/>
  <c r="AI161" i="1"/>
  <c r="AI162" i="1" s="1"/>
  <c r="AI142" i="1"/>
  <c r="AI157" i="1"/>
  <c r="AX156" i="1"/>
  <c r="AI159" i="1"/>
  <c r="W218" i="1"/>
  <c r="W213" i="1"/>
  <c r="U60" i="1"/>
  <c r="AY88" i="1"/>
  <c r="AR183" i="1"/>
  <c r="AR186" i="1"/>
  <c r="F42" i="284"/>
  <c r="F56" i="3"/>
  <c r="F36" i="3" s="1"/>
  <c r="X82" i="1"/>
  <c r="X92" i="1"/>
  <c r="X94" i="1" s="1"/>
  <c r="AC130" i="1"/>
  <c r="AC131" i="1" s="1"/>
  <c r="AC153" i="1" s="1"/>
  <c r="AC132" i="1"/>
  <c r="AC133" i="1" s="1"/>
  <c r="M86" i="1"/>
  <c r="M100" i="1" s="1"/>
  <c r="AT18" i="1"/>
  <c r="AT195" i="1"/>
  <c r="N26" i="1"/>
  <c r="O26" i="1"/>
  <c r="N24" i="1"/>
  <c r="O24" i="1"/>
  <c r="F26" i="1"/>
  <c r="AI22" i="1"/>
  <c r="AI24" i="1"/>
  <c r="AI26" i="1"/>
  <c r="AX21" i="1"/>
  <c r="G7" i="284"/>
  <c r="AV15" i="1"/>
  <c r="AV13" i="1"/>
  <c r="AV17" i="1"/>
  <c r="AV58" i="1"/>
  <c r="AV97" i="1"/>
  <c r="AV50" i="1"/>
  <c r="AV66" i="1"/>
  <c r="G7" i="3"/>
  <c r="AV49" i="1"/>
  <c r="AV51" i="1"/>
  <c r="AV33" i="1"/>
  <c r="AV77" i="1"/>
  <c r="I164" i="1"/>
  <c r="N18" i="1"/>
  <c r="R195" i="1"/>
  <c r="N195" i="1"/>
  <c r="AH183" i="1"/>
  <c r="AH185" i="1" s="1"/>
  <c r="V72" i="1"/>
  <c r="V75" i="1"/>
  <c r="AD18" i="1"/>
  <c r="AD195" i="1"/>
  <c r="AW194" i="1"/>
  <c r="AW193" i="1"/>
  <c r="AQ87" i="1"/>
  <c r="AQ89" i="1" s="1"/>
  <c r="AF164" i="1"/>
  <c r="AJ164" i="1"/>
  <c r="O162" i="1"/>
  <c r="O27" i="1" s="1"/>
  <c r="O163" i="1"/>
  <c r="S162" i="1"/>
  <c r="S27" i="1" s="1"/>
  <c r="X86" i="1"/>
  <c r="X100" i="1" s="1"/>
  <c r="V24" i="1"/>
  <c r="V26" i="1"/>
  <c r="AA18" i="1"/>
  <c r="AA195" i="1"/>
  <c r="AE195" i="1"/>
  <c r="AX263" i="1"/>
  <c r="AX270" i="1"/>
  <c r="AV194" i="1"/>
  <c r="AV193" i="1"/>
  <c r="AV150" i="1"/>
  <c r="AV152" i="1"/>
  <c r="I162" i="1"/>
  <c r="I27" i="1" s="1"/>
  <c r="AH145" i="1"/>
  <c r="AH143" i="1"/>
  <c r="AJ132" i="1" l="1"/>
  <c r="AJ133" i="1" s="1"/>
  <c r="AJ124" i="1" s="1"/>
  <c r="AJ128" i="1"/>
  <c r="AJ130" i="1"/>
  <c r="AJ131" i="1" s="1"/>
  <c r="AJ122" i="1" s="1"/>
  <c r="AA81" i="1"/>
  <c r="AA85" i="1"/>
  <c r="AA76" i="1"/>
  <c r="AX22" i="1"/>
  <c r="AX26" i="1"/>
  <c r="AX24" i="1"/>
  <c r="D21" i="3"/>
  <c r="AX123" i="1"/>
  <c r="AX121" i="1"/>
  <c r="AX119" i="1"/>
  <c r="AV76" i="1"/>
  <c r="AV81" i="1"/>
  <c r="AV85" i="1"/>
  <c r="AV168" i="1"/>
  <c r="AV169" i="1" s="1"/>
  <c r="AV172" i="1"/>
  <c r="AV170" i="1"/>
  <c r="E17" i="3"/>
  <c r="AD76" i="1"/>
  <c r="AD81" i="1"/>
  <c r="AD85" i="1"/>
  <c r="AB111" i="1"/>
  <c r="AA113" i="1"/>
  <c r="AD58" i="1"/>
  <c r="AD56" i="1"/>
  <c r="AD63" i="1"/>
  <c r="V60" i="1"/>
  <c r="V62" i="1"/>
  <c r="V61" i="1"/>
  <c r="AA23" i="1"/>
  <c r="AA151" i="1"/>
  <c r="O164" i="1"/>
  <c r="O29" i="1" s="1"/>
  <c r="O28" i="1"/>
  <c r="S164" i="1"/>
  <c r="S29" i="1" s="1"/>
  <c r="N186" i="1"/>
  <c r="AS185" i="1"/>
  <c r="F8" i="284"/>
  <c r="F29" i="284"/>
  <c r="AK170" i="1"/>
  <c r="AK171" i="1" s="1"/>
  <c r="AK156" i="1"/>
  <c r="AL167" i="1"/>
  <c r="AK21" i="1"/>
  <c r="AK168" i="1"/>
  <c r="AS85" i="1"/>
  <c r="AS76" i="1"/>
  <c r="Z66" i="1"/>
  <c r="Z59" i="1"/>
  <c r="Z64" i="1"/>
  <c r="AV128" i="1"/>
  <c r="AV129" i="1" s="1"/>
  <c r="AV131" i="1" s="1"/>
  <c r="AV132" i="1"/>
  <c r="AV133" i="1" s="1"/>
  <c r="AW130" i="1"/>
  <c r="AW128" i="1"/>
  <c r="AW129" i="1" s="1"/>
  <c r="AW132" i="1"/>
  <c r="AW133" i="1" s="1"/>
  <c r="X21" i="1"/>
  <c r="Y167" i="1"/>
  <c r="X168" i="1"/>
  <c r="X169" i="1" s="1"/>
  <c r="X170" i="1"/>
  <c r="X171" i="1" s="1"/>
  <c r="X172" i="1"/>
  <c r="AB168" i="1"/>
  <c r="AB169" i="1" s="1"/>
  <c r="X149" i="1"/>
  <c r="X127" i="1"/>
  <c r="X182" i="1"/>
  <c r="U82" i="1"/>
  <c r="U92" i="1"/>
  <c r="U94" i="1" s="1"/>
  <c r="G8" i="3"/>
  <c r="G43" i="3"/>
  <c r="G13" i="3"/>
  <c r="H8" i="3"/>
  <c r="H43" i="3"/>
  <c r="H13" i="3"/>
  <c r="W245" i="1"/>
  <c r="AA245" i="1"/>
  <c r="X95" i="1"/>
  <c r="X101" i="1"/>
  <c r="X104" i="1" s="1"/>
  <c r="AJ182" i="1"/>
  <c r="AJ183" i="1" s="1"/>
  <c r="AJ185" i="1" s="1"/>
  <c r="AJ159" i="1"/>
  <c r="AJ161" i="1"/>
  <c r="AJ162" i="1" s="1"/>
  <c r="AJ142" i="1"/>
  <c r="AJ157" i="1"/>
  <c r="L85" i="1"/>
  <c r="L76" i="1"/>
  <c r="F20" i="3"/>
  <c r="F21" i="3"/>
  <c r="AG120" i="1"/>
  <c r="AG151" i="1"/>
  <c r="AG144" i="1" s="1"/>
  <c r="AU21" i="1"/>
  <c r="W24" i="1"/>
  <c r="AA22" i="1"/>
  <c r="W26" i="1"/>
  <c r="F23" i="3"/>
  <c r="F24" i="3" s="1"/>
  <c r="F57" i="3"/>
  <c r="AT299" i="1"/>
  <c r="AT308" i="1" s="1"/>
  <c r="P308" i="1"/>
  <c r="AI179" i="1"/>
  <c r="AH169" i="1"/>
  <c r="AH171" i="1"/>
  <c r="AH174" i="1"/>
  <c r="AH137" i="1"/>
  <c r="AX173" i="1"/>
  <c r="AX27" i="1" s="1"/>
  <c r="N164" i="1"/>
  <c r="N29" i="1" s="1"/>
  <c r="N28" i="1"/>
  <c r="R164" i="1"/>
  <c r="R29" i="1" s="1"/>
  <c r="V186" i="1"/>
  <c r="AU185" i="1"/>
  <c r="S82" i="1"/>
  <c r="S92" i="1"/>
  <c r="S94" i="1" s="1"/>
  <c r="T85" i="1"/>
  <c r="T76" i="1"/>
  <c r="T81" i="1"/>
  <c r="U87" i="1"/>
  <c r="U89" i="1" s="1"/>
  <c r="U86" i="1"/>
  <c r="U100" i="1" s="1"/>
  <c r="AJ25" i="1"/>
  <c r="AJ160" i="1"/>
  <c r="E20" i="284"/>
  <c r="E24" i="284"/>
  <c r="AV18" i="1"/>
  <c r="AV195" i="1"/>
  <c r="F43" i="284"/>
  <c r="AI199" i="1"/>
  <c r="AJ199" i="1" s="1"/>
  <c r="R85" i="1"/>
  <c r="R76" i="1"/>
  <c r="R81" i="1"/>
  <c r="AW75" i="1"/>
  <c r="AW72" i="1"/>
  <c r="H19" i="3"/>
  <c r="AU81" i="1"/>
  <c r="AU85" i="1"/>
  <c r="AU76" i="1"/>
  <c r="AG122" i="1"/>
  <c r="AG153" i="1"/>
  <c r="AG146" i="1" s="1"/>
  <c r="S87" i="1"/>
  <c r="S89" i="1" s="1"/>
  <c r="S86" i="1"/>
  <c r="S100" i="1" s="1"/>
  <c r="AS164" i="1"/>
  <c r="AS29" i="1" s="1"/>
  <c r="AS28" i="1"/>
  <c r="AT164" i="1"/>
  <c r="AT29" i="1" s="1"/>
  <c r="T308" i="1"/>
  <c r="AU299" i="1"/>
  <c r="AU308" i="1" s="1"/>
  <c r="P71" i="3"/>
  <c r="AB66" i="1"/>
  <c r="AB59" i="1"/>
  <c r="AB64" i="1"/>
  <c r="E16" i="284"/>
  <c r="H8" i="284"/>
  <c r="I7" i="284"/>
  <c r="H29" i="284"/>
  <c r="I29" i="284" s="1"/>
  <c r="H12" i="284"/>
  <c r="I12" i="284" s="1"/>
  <c r="AE87" i="1"/>
  <c r="AE89" i="1" s="1"/>
  <c r="AF151" i="1"/>
  <c r="AF144" i="1" s="1"/>
  <c r="AF120" i="1"/>
  <c r="AA61" i="1"/>
  <c r="AA60" i="1"/>
  <c r="AA62" i="1"/>
  <c r="X60" i="1"/>
  <c r="X61" i="1"/>
  <c r="X62" i="1"/>
  <c r="E186" i="1"/>
  <c r="AQ185" i="1"/>
  <c r="G23" i="3"/>
  <c r="G57" i="3"/>
  <c r="AW18" i="1"/>
  <c r="AW195" i="1"/>
  <c r="AC61" i="1"/>
  <c r="AC60" i="1"/>
  <c r="AC62" i="1"/>
  <c r="AH128" i="1"/>
  <c r="AH129" i="1" s="1"/>
  <c r="AH120" i="1" s="1"/>
  <c r="AH130" i="1"/>
  <c r="AH131" i="1" s="1"/>
  <c r="AH122" i="1" s="1"/>
  <c r="AH132" i="1"/>
  <c r="AH133" i="1" s="1"/>
  <c r="AH124" i="1" s="1"/>
  <c r="V85" i="1"/>
  <c r="V76" i="1"/>
  <c r="V81" i="1"/>
  <c r="AU18" i="1"/>
  <c r="AU195" i="1"/>
  <c r="AF122" i="1"/>
  <c r="AF153" i="1"/>
  <c r="AF146" i="1" s="1"/>
  <c r="AE95" i="1"/>
  <c r="AE101" i="1"/>
  <c r="AE104" i="1" s="1"/>
  <c r="H43" i="284"/>
  <c r="I43" i="284" s="1"/>
  <c r="AG59" i="1"/>
  <c r="AG64" i="1"/>
  <c r="AG65" i="1"/>
  <c r="AG66" i="1"/>
  <c r="AF56" i="1"/>
  <c r="AF58" i="1"/>
  <c r="AF63" i="1"/>
  <c r="F15" i="3"/>
  <c r="Y101" i="1"/>
  <c r="Y104" i="1" s="1"/>
  <c r="Y95" i="1"/>
  <c r="G43" i="284"/>
  <c r="F43" i="3"/>
  <c r="F8" i="3"/>
  <c r="D15" i="3"/>
  <c r="D17" i="3" s="1"/>
  <c r="AI132" i="1"/>
  <c r="AI133" i="1" s="1"/>
  <c r="AI124" i="1" s="1"/>
  <c r="AX127" i="1"/>
  <c r="AI130" i="1"/>
  <c r="AI131" i="1" s="1"/>
  <c r="AI128" i="1"/>
  <c r="AI183" i="1"/>
  <c r="AI185" i="1" s="1"/>
  <c r="AI187" i="1" s="1"/>
  <c r="M87" i="1"/>
  <c r="M89" i="1" s="1"/>
  <c r="AR95" i="1"/>
  <c r="AR101" i="1"/>
  <c r="Q57" i="284"/>
  <c r="X183" i="1"/>
  <c r="X185" i="1" s="1"/>
  <c r="AX150" i="1"/>
  <c r="AX152" i="1"/>
  <c r="X87" i="1"/>
  <c r="X89" i="1" s="1"/>
  <c r="AH187" i="1"/>
  <c r="AX157" i="1"/>
  <c r="AX159" i="1"/>
  <c r="AX161" i="1"/>
  <c r="AX162" i="1" s="1"/>
  <c r="AX182" i="1"/>
  <c r="AB81" i="1"/>
  <c r="AB85" i="1"/>
  <c r="AB76" i="1"/>
  <c r="W87" i="1"/>
  <c r="W101" i="1"/>
  <c r="W104" i="1" s="1"/>
  <c r="W95" i="1"/>
  <c r="AC101" i="1"/>
  <c r="AC104" i="1" s="1"/>
  <c r="AC95" i="1"/>
  <c r="N76" i="1"/>
  <c r="N85" i="1"/>
  <c r="W132" i="1"/>
  <c r="W133" i="1" s="1"/>
  <c r="W130" i="1"/>
  <c r="W131" i="1" s="1"/>
  <c r="AU127" i="1"/>
  <c r="AV130" i="1" s="1"/>
  <c r="O85" i="1"/>
  <c r="O76" i="1"/>
  <c r="E24" i="3"/>
  <c r="E20" i="3"/>
  <c r="E21" i="3"/>
  <c r="F81" i="1"/>
  <c r="F85" i="1"/>
  <c r="F76" i="1"/>
  <c r="AJ152" i="1"/>
  <c r="AJ150" i="1"/>
  <c r="G15" i="3"/>
  <c r="G24" i="3"/>
  <c r="G20" i="3"/>
  <c r="G21" i="3"/>
  <c r="Z101" i="1"/>
  <c r="Z104" i="1" s="1"/>
  <c r="Z95" i="1"/>
  <c r="G8" i="284"/>
  <c r="G29" i="284"/>
  <c r="G12" i="284"/>
  <c r="AI143" i="1"/>
  <c r="AX142" i="1"/>
  <c r="AI145" i="1"/>
  <c r="AJ22" i="1"/>
  <c r="AJ24" i="1"/>
  <c r="AJ26" i="1"/>
  <c r="AF101" i="1"/>
  <c r="AF95" i="1"/>
  <c r="AJ121" i="1"/>
  <c r="AJ119" i="1"/>
  <c r="AK118" i="1"/>
  <c r="AE64" i="1"/>
  <c r="AE66" i="1"/>
  <c r="AE59" i="1"/>
  <c r="W25" i="1"/>
  <c r="W153" i="1"/>
  <c r="X245" i="1"/>
  <c r="AB245" i="1"/>
  <c r="AT81" i="1"/>
  <c r="AT85" i="1"/>
  <c r="AT76" i="1"/>
  <c r="AJ187" i="1" l="1"/>
  <c r="AF104" i="1"/>
  <c r="AX104" i="1" s="1"/>
  <c r="AQ186" i="1"/>
  <c r="AQ183" i="1"/>
  <c r="AU24" i="1"/>
  <c r="AV26" i="1"/>
  <c r="AV22" i="1"/>
  <c r="AV24" i="1"/>
  <c r="X186" i="1"/>
  <c r="F18" i="284"/>
  <c r="AU92" i="1"/>
  <c r="AU94" i="1" s="1"/>
  <c r="AU82" i="1"/>
  <c r="X22" i="1"/>
  <c r="X24" i="1"/>
  <c r="X26" i="1"/>
  <c r="AB22" i="1"/>
  <c r="AK22" i="1"/>
  <c r="AK26" i="1"/>
  <c r="AK24" i="1"/>
  <c r="G18" i="284"/>
  <c r="AV92" i="1"/>
  <c r="AV94" i="1" s="1"/>
  <c r="AV82" i="1"/>
  <c r="N86" i="1"/>
  <c r="N100" i="1" s="1"/>
  <c r="R57" i="284"/>
  <c r="V82" i="1"/>
  <c r="V92" i="1"/>
  <c r="V94" i="1" s="1"/>
  <c r="AB61" i="1"/>
  <c r="AB60" i="1"/>
  <c r="AB62" i="1"/>
  <c r="AJ153" i="1"/>
  <c r="AJ146" i="1" s="1"/>
  <c r="AL156" i="1"/>
  <c r="AL170" i="1"/>
  <c r="AL171" i="1" s="1"/>
  <c r="AM167" i="1"/>
  <c r="AL21" i="1"/>
  <c r="AL169" i="1"/>
  <c r="AL168" i="1"/>
  <c r="AD59" i="1"/>
  <c r="AD64" i="1"/>
  <c r="AD66" i="1"/>
  <c r="AT86" i="1"/>
  <c r="AT100" i="1" s="1"/>
  <c r="F16" i="3"/>
  <c r="F17" i="3"/>
  <c r="AW151" i="1"/>
  <c r="AW131" i="1"/>
  <c r="AW153" i="1" s="1"/>
  <c r="AK182" i="1"/>
  <c r="AK183" i="1" s="1"/>
  <c r="AK185" i="1" s="1"/>
  <c r="AK159" i="1"/>
  <c r="AK142" i="1"/>
  <c r="AK161" i="1"/>
  <c r="AK162" i="1" s="1"/>
  <c r="AK157" i="1"/>
  <c r="AT92" i="1"/>
  <c r="AT94" i="1" s="1"/>
  <c r="AT82" i="1"/>
  <c r="F87" i="1"/>
  <c r="F89" i="1" s="1"/>
  <c r="F86" i="1"/>
  <c r="F100" i="1" s="1"/>
  <c r="F82" i="1"/>
  <c r="F92" i="1"/>
  <c r="F94" i="1" s="1"/>
  <c r="AX143" i="1"/>
  <c r="AX145" i="1"/>
  <c r="K11" i="6"/>
  <c r="X11" i="6" s="1"/>
  <c r="W89" i="1"/>
  <c r="W85" i="284"/>
  <c r="W99" i="3"/>
  <c r="AR104" i="1"/>
  <c r="AF59" i="1"/>
  <c r="AF64" i="1"/>
  <c r="AF65" i="1"/>
  <c r="AF66" i="1"/>
  <c r="V86" i="1"/>
  <c r="V100" i="1" s="1"/>
  <c r="H24" i="3"/>
  <c r="H21" i="3"/>
  <c r="H20" i="3"/>
  <c r="H15" i="3"/>
  <c r="AL175" i="1"/>
  <c r="AL29" i="1" s="1"/>
  <c r="AH175" i="1"/>
  <c r="AH29" i="1" s="1"/>
  <c r="AH28" i="1"/>
  <c r="AH163" i="1"/>
  <c r="F30" i="3"/>
  <c r="F35" i="3" s="1"/>
  <c r="F37" i="3" s="1"/>
  <c r="F26" i="3"/>
  <c r="F27" i="3"/>
  <c r="F25" i="3"/>
  <c r="AK25" i="1"/>
  <c r="AK160" i="1"/>
  <c r="Q71" i="3"/>
  <c r="AH25" i="1"/>
  <c r="AH153" i="1"/>
  <c r="AH146" i="1" s="1"/>
  <c r="AH160" i="1"/>
  <c r="AE62" i="1"/>
  <c r="AE61" i="1"/>
  <c r="AE60" i="1"/>
  <c r="AC111" i="1"/>
  <c r="AB113" i="1"/>
  <c r="AD86" i="1"/>
  <c r="AD100" i="1" s="1"/>
  <c r="E30" i="3"/>
  <c r="E35" i="3" s="1"/>
  <c r="E37" i="3" s="1"/>
  <c r="E26" i="3"/>
  <c r="AB86" i="1"/>
  <c r="AB100" i="1" s="1"/>
  <c r="AH23" i="1"/>
  <c r="AH158" i="1"/>
  <c r="AH151" i="1"/>
  <c r="AH144" i="1" s="1"/>
  <c r="AS186" i="1"/>
  <c r="AS183" i="1"/>
  <c r="AD92" i="1"/>
  <c r="AD94" i="1" s="1"/>
  <c r="AD82" i="1"/>
  <c r="AI192" i="1"/>
  <c r="AI188" i="1"/>
  <c r="AI189" i="1" s="1"/>
  <c r="AI14" i="1" s="1"/>
  <c r="AI190" i="1"/>
  <c r="AI191" i="1" s="1"/>
  <c r="AI16" i="1" s="1"/>
  <c r="AI12" i="1"/>
  <c r="L86" i="1"/>
  <c r="L100" i="1" s="1"/>
  <c r="AK121" i="1"/>
  <c r="AK119" i="1"/>
  <c r="AL118" i="1"/>
  <c r="O86" i="1"/>
  <c r="O100" i="1" s="1"/>
  <c r="AI122" i="1"/>
  <c r="AI153" i="1"/>
  <c r="AI146" i="1" s="1"/>
  <c r="R86" i="1"/>
  <c r="R100" i="1" s="1"/>
  <c r="T86" i="1"/>
  <c r="T100" i="1" s="1"/>
  <c r="AJ143" i="1"/>
  <c r="AJ145" i="1"/>
  <c r="Z61" i="1"/>
  <c r="Z60" i="1"/>
  <c r="Z62" i="1"/>
  <c r="AX128" i="1"/>
  <c r="AX130" i="1"/>
  <c r="AX132" i="1"/>
  <c r="AG60" i="1"/>
  <c r="AG61" i="1"/>
  <c r="AG62" i="1"/>
  <c r="AK199" i="1"/>
  <c r="AY199" i="1"/>
  <c r="S95" i="1"/>
  <c r="S101" i="1"/>
  <c r="S104" i="1" s="1"/>
  <c r="X128" i="1"/>
  <c r="X129" i="1" s="1"/>
  <c r="X132" i="1"/>
  <c r="X133" i="1" s="1"/>
  <c r="X130" i="1"/>
  <c r="X131" i="1" s="1"/>
  <c r="X153" i="1" s="1"/>
  <c r="AB128" i="1"/>
  <c r="AB129" i="1" s="1"/>
  <c r="AB151" i="1" s="1"/>
  <c r="I42" i="284"/>
  <c r="I10" i="284"/>
  <c r="J12" i="284"/>
  <c r="X150" i="1"/>
  <c r="Y152" i="1"/>
  <c r="X152" i="1"/>
  <c r="AB150" i="1"/>
  <c r="AW76" i="1"/>
  <c r="AW81" i="1"/>
  <c r="AW85" i="1"/>
  <c r="AB92" i="1"/>
  <c r="AB94" i="1" s="1"/>
  <c r="AB82" i="1"/>
  <c r="R82" i="1"/>
  <c r="R92" i="1"/>
  <c r="R94" i="1" s="1"/>
  <c r="T82" i="1"/>
  <c r="T92" i="1"/>
  <c r="T94" i="1" s="1"/>
  <c r="AX179" i="1"/>
  <c r="AJ179" i="1"/>
  <c r="AI137" i="1"/>
  <c r="AX137" i="1" s="1"/>
  <c r="AI169" i="1"/>
  <c r="U101" i="1"/>
  <c r="U104" i="1" s="1"/>
  <c r="U95" i="1"/>
  <c r="AX185" i="1"/>
  <c r="AX183" i="1" s="1"/>
  <c r="I28" i="284"/>
  <c r="J29" i="284"/>
  <c r="J43" i="284" s="1"/>
  <c r="AU183" i="1"/>
  <c r="AU186" i="1"/>
  <c r="AB23" i="1"/>
  <c r="E16" i="3"/>
  <c r="AA86" i="1"/>
  <c r="AA100" i="1" s="1"/>
  <c r="AA87" i="1"/>
  <c r="AA89" i="1" s="1"/>
  <c r="J7" i="284"/>
  <c r="AB173" i="1"/>
  <c r="AB27" i="1" s="1"/>
  <c r="X174" i="1"/>
  <c r="X173" i="1"/>
  <c r="AS86" i="1"/>
  <c r="AS100" i="1" s="1"/>
  <c r="AA82" i="1"/>
  <c r="AA92" i="1"/>
  <c r="AA94" i="1" s="1"/>
  <c r="E26" i="284"/>
  <c r="E31" i="284"/>
  <c r="E38" i="284"/>
  <c r="E69" i="284" s="1"/>
  <c r="X25" i="1"/>
  <c r="AV174" i="1"/>
  <c r="AW173" i="1"/>
  <c r="AW27" i="1" s="1"/>
  <c r="G16" i="3"/>
  <c r="G17" i="3"/>
  <c r="X23" i="1"/>
  <c r="X151" i="1"/>
  <c r="AV171" i="1"/>
  <c r="AV23" i="1"/>
  <c r="AV151" i="1"/>
  <c r="G30" i="3"/>
  <c r="G35" i="3" s="1"/>
  <c r="G37" i="3" s="1"/>
  <c r="G25" i="3"/>
  <c r="G26" i="3"/>
  <c r="G27" i="3"/>
  <c r="AH192" i="1"/>
  <c r="AX187" i="1"/>
  <c r="AH12" i="1"/>
  <c r="AH188" i="1"/>
  <c r="AH189" i="1" s="1"/>
  <c r="AH14" i="1" s="1"/>
  <c r="AH190" i="1"/>
  <c r="AH191" i="1" s="1"/>
  <c r="AH16" i="1" s="1"/>
  <c r="AU86" i="1"/>
  <c r="AU100" i="1" s="1"/>
  <c r="AU87" i="1"/>
  <c r="AU89" i="1" s="1"/>
  <c r="Z167" i="1"/>
  <c r="AC168" i="1"/>
  <c r="AC169" i="1" s="1"/>
  <c r="Y170" i="1"/>
  <c r="Y171" i="1" s="1"/>
  <c r="Y21" i="1"/>
  <c r="Y168" i="1"/>
  <c r="Y169" i="1" s="1"/>
  <c r="Y172" i="1"/>
  <c r="Y127" i="1"/>
  <c r="Y182" i="1"/>
  <c r="AK149" i="1"/>
  <c r="AV86" i="1"/>
  <c r="AV100" i="1" s="1"/>
  <c r="F38" i="3" l="1"/>
  <c r="F39" i="3" s="1"/>
  <c r="F40" i="3"/>
  <c r="E40" i="3"/>
  <c r="G40" i="3"/>
  <c r="G38" i="3"/>
  <c r="G39" i="3" s="1"/>
  <c r="AK187" i="1"/>
  <c r="K43" i="284"/>
  <c r="J42" i="284"/>
  <c r="K7" i="284"/>
  <c r="AI23" i="1"/>
  <c r="AI158" i="1"/>
  <c r="AX133" i="1"/>
  <c r="O87" i="1"/>
  <c r="O89" i="1" s="1"/>
  <c r="F101" i="1"/>
  <c r="F95" i="1"/>
  <c r="AT87" i="1"/>
  <c r="AT89" i="1" s="1"/>
  <c r="V95" i="1"/>
  <c r="V101" i="1"/>
  <c r="V104" i="1" s="1"/>
  <c r="AH13" i="1"/>
  <c r="AH36" i="1"/>
  <c r="AH15" i="1"/>
  <c r="AH17" i="1"/>
  <c r="AH31" i="1"/>
  <c r="AH51" i="1"/>
  <c r="AX12" i="1"/>
  <c r="AH93" i="1"/>
  <c r="AX93" i="1" s="1"/>
  <c r="AH35" i="1"/>
  <c r="AH77" i="1"/>
  <c r="AL121" i="1"/>
  <c r="AL119" i="1"/>
  <c r="AM118" i="1"/>
  <c r="AM149" i="1" s="1"/>
  <c r="AU95" i="1"/>
  <c r="AU101" i="1"/>
  <c r="AU104" i="1" s="1"/>
  <c r="AV87" i="1"/>
  <c r="AV89" i="1" s="1"/>
  <c r="AX192" i="1"/>
  <c r="AX188" i="1"/>
  <c r="AX189" i="1" s="1"/>
  <c r="AX190" i="1"/>
  <c r="AX186" i="1"/>
  <c r="AK179" i="1"/>
  <c r="AJ137" i="1"/>
  <c r="AJ129" i="1" s="1"/>
  <c r="AJ120" i="1" s="1"/>
  <c r="AJ169" i="1"/>
  <c r="I11" i="284"/>
  <c r="AX129" i="1"/>
  <c r="AB87" i="1"/>
  <c r="AB89" i="1" s="1"/>
  <c r="R71" i="3"/>
  <c r="H26" i="3"/>
  <c r="H27" i="3"/>
  <c r="H30" i="3"/>
  <c r="H35" i="3" s="1"/>
  <c r="H37" i="3" s="1"/>
  <c r="H25" i="3"/>
  <c r="S57" i="284"/>
  <c r="F19" i="284"/>
  <c r="F20" i="284"/>
  <c r="F21" i="284"/>
  <c r="F24" i="284"/>
  <c r="F14" i="284"/>
  <c r="H16" i="3"/>
  <c r="H17" i="3"/>
  <c r="J10" i="284"/>
  <c r="K12" i="284"/>
  <c r="AD61" i="1"/>
  <c r="AD60" i="1"/>
  <c r="AD62" i="1"/>
  <c r="AV28" i="1"/>
  <c r="AW175" i="1"/>
  <c r="AW29" i="1" s="1"/>
  <c r="AH194" i="1"/>
  <c r="AH193" i="1"/>
  <c r="AX169" i="1"/>
  <c r="AX174" i="1"/>
  <c r="AK150" i="1"/>
  <c r="AK152" i="1"/>
  <c r="AK127" i="1"/>
  <c r="T101" i="1"/>
  <c r="T104" i="1" s="1"/>
  <c r="T95" i="1"/>
  <c r="L87" i="1"/>
  <c r="L89" i="1" s="1"/>
  <c r="V87" i="1"/>
  <c r="V89" i="1" s="1"/>
  <c r="N87" i="1"/>
  <c r="N89" i="1" s="1"/>
  <c r="Z183" i="1"/>
  <c r="Z185" i="1" s="1"/>
  <c r="Z186" i="1" s="1"/>
  <c r="AT95" i="1"/>
  <c r="AT101" i="1"/>
  <c r="AT104" i="1" s="1"/>
  <c r="E33" i="284"/>
  <c r="E45" i="284"/>
  <c r="AI15" i="1"/>
  <c r="AI13" i="1"/>
  <c r="AI35" i="1"/>
  <c r="AI36" i="1"/>
  <c r="AI44" i="1" s="1"/>
  <c r="AI17" i="1"/>
  <c r="AI31" i="1"/>
  <c r="AI51" i="1"/>
  <c r="AI77" i="1"/>
  <c r="AI93" i="1"/>
  <c r="AL149" i="1"/>
  <c r="Y132" i="1"/>
  <c r="Y133" i="1" s="1"/>
  <c r="Y130" i="1"/>
  <c r="Y131" i="1" s="1"/>
  <c r="Y153" i="1" s="1"/>
  <c r="Y128" i="1"/>
  <c r="Y129" i="1" s="1"/>
  <c r="Y151" i="1" s="1"/>
  <c r="AC128" i="1"/>
  <c r="AC129" i="1" s="1"/>
  <c r="AC151" i="1" s="1"/>
  <c r="Y183" i="1"/>
  <c r="Y185" i="1" s="1"/>
  <c r="Y173" i="1"/>
  <c r="Y27" i="1" s="1"/>
  <c r="Y174" i="1"/>
  <c r="AC173" i="1"/>
  <c r="AC27" i="1" s="1"/>
  <c r="R101" i="1"/>
  <c r="R104" i="1" s="1"/>
  <c r="R95" i="1"/>
  <c r="G52" i="3"/>
  <c r="G83" i="3" s="1"/>
  <c r="G31" i="3"/>
  <c r="G32" i="3"/>
  <c r="G45" i="3"/>
  <c r="E32" i="3"/>
  <c r="E45" i="3"/>
  <c r="E52" i="3"/>
  <c r="E83" i="3" s="1"/>
  <c r="AL23" i="1"/>
  <c r="AL158" i="1"/>
  <c r="AV101" i="1"/>
  <c r="AV104" i="1" s="1"/>
  <c r="AV95" i="1"/>
  <c r="Y23" i="1"/>
  <c r="AD87" i="1"/>
  <c r="AD89" i="1" s="1"/>
  <c r="AF62" i="1"/>
  <c r="AF61" i="1"/>
  <c r="AF60" i="1"/>
  <c r="AK143" i="1"/>
  <c r="AK145" i="1"/>
  <c r="AL22" i="1"/>
  <c r="AL26" i="1"/>
  <c r="AL24" i="1"/>
  <c r="G19" i="284"/>
  <c r="G20" i="284"/>
  <c r="G21" i="284"/>
  <c r="G24" i="284"/>
  <c r="G14" i="284"/>
  <c r="AA95" i="1"/>
  <c r="AA101" i="1"/>
  <c r="AA104" i="1" s="1"/>
  <c r="AY167" i="1"/>
  <c r="AM21" i="1"/>
  <c r="AM169" i="1"/>
  <c r="AM170" i="1"/>
  <c r="AM171" i="1" s="1"/>
  <c r="AM156" i="1"/>
  <c r="AM168" i="1"/>
  <c r="AB95" i="1"/>
  <c r="AB101" i="1"/>
  <c r="AB104" i="1" s="1"/>
  <c r="AI194" i="1"/>
  <c r="AI193" i="1"/>
  <c r="Y25" i="1"/>
  <c r="AW86" i="1"/>
  <c r="AW100" i="1" s="1"/>
  <c r="AW87" i="1"/>
  <c r="AW89" i="1" s="1"/>
  <c r="T87" i="1"/>
  <c r="T89" i="1" s="1"/>
  <c r="F31" i="3"/>
  <c r="F32" i="3"/>
  <c r="F45" i="3"/>
  <c r="F52" i="3"/>
  <c r="F83" i="3" s="1"/>
  <c r="AL25" i="1"/>
  <c r="AL160" i="1"/>
  <c r="AV25" i="1"/>
  <c r="AV153" i="1"/>
  <c r="J28" i="284"/>
  <c r="K29" i="284"/>
  <c r="H18" i="284"/>
  <c r="AW92" i="1"/>
  <c r="AW94" i="1" s="1"/>
  <c r="AW82" i="1"/>
  <c r="AD101" i="1"/>
  <c r="AD104" i="1" s="1"/>
  <c r="AD95" i="1"/>
  <c r="AD111" i="1"/>
  <c r="AC113" i="1"/>
  <c r="AH164" i="1"/>
  <c r="AL164" i="1"/>
  <c r="AL182" i="1"/>
  <c r="AL183" i="1" s="1"/>
  <c r="AL185" i="1" s="1"/>
  <c r="AL159" i="1"/>
  <c r="AL142" i="1"/>
  <c r="AL161" i="1"/>
  <c r="AL162" i="1" s="1"/>
  <c r="AL157" i="1"/>
  <c r="I49" i="284"/>
  <c r="I63" i="3"/>
  <c r="Y22" i="1"/>
  <c r="Y24" i="1"/>
  <c r="Y26" i="1"/>
  <c r="AC22" i="1"/>
  <c r="AC23" i="1"/>
  <c r="Z172" i="1"/>
  <c r="Z21" i="1"/>
  <c r="Z168" i="1"/>
  <c r="Z169" i="1" s="1"/>
  <c r="Z170" i="1"/>
  <c r="Z171" i="1" s="1"/>
  <c r="AA170" i="1"/>
  <c r="AA171" i="1" s="1"/>
  <c r="AA172" i="1"/>
  <c r="AD168" i="1"/>
  <c r="AD169" i="1" s="1"/>
  <c r="Z149" i="1"/>
  <c r="Z182" i="1"/>
  <c r="AA183" i="1" s="1"/>
  <c r="AA185" i="1" s="1"/>
  <c r="AA186" i="1" s="1"/>
  <c r="AS87" i="1"/>
  <c r="AS89" i="1" s="1"/>
  <c r="R87" i="1"/>
  <c r="R89" i="1" s="1"/>
  <c r="AA11" i="6"/>
  <c r="X19" i="6"/>
  <c r="AB175" i="1"/>
  <c r="AB29" i="1" s="1"/>
  <c r="X28" i="1"/>
  <c r="X175" i="1"/>
  <c r="AI129" i="1"/>
  <c r="AI120" i="1" s="1"/>
  <c r="AJ12" i="1"/>
  <c r="AJ192" i="1"/>
  <c r="AJ188" i="1"/>
  <c r="AJ189" i="1" s="1"/>
  <c r="AJ14" i="1" s="1"/>
  <c r="AJ190" i="1"/>
  <c r="AJ191" i="1" s="1"/>
  <c r="AJ16" i="1" s="1"/>
  <c r="H40" i="3" l="1"/>
  <c r="H38" i="3"/>
  <c r="H39" i="3" s="1"/>
  <c r="AL187" i="1"/>
  <c r="AY149" i="1"/>
  <c r="AM150" i="1"/>
  <c r="AM152" i="1"/>
  <c r="AM127" i="1"/>
  <c r="AX175" i="1"/>
  <c r="AX29" i="1" s="1"/>
  <c r="AX28" i="1"/>
  <c r="AX163" i="1"/>
  <c r="AX164" i="1" s="1"/>
  <c r="AL143" i="1"/>
  <c r="AL145" i="1"/>
  <c r="AJ194" i="1"/>
  <c r="AJ193" i="1"/>
  <c r="Z25" i="1"/>
  <c r="AJ17" i="1"/>
  <c r="AJ13" i="1"/>
  <c r="AJ51" i="1"/>
  <c r="AJ35" i="1"/>
  <c r="AJ15" i="1"/>
  <c r="AJ36" i="1"/>
  <c r="AJ31" i="1"/>
  <c r="AJ74" i="1"/>
  <c r="AJ93" i="1"/>
  <c r="Z23" i="1"/>
  <c r="E59" i="3"/>
  <c r="E47" i="3"/>
  <c r="G38" i="284"/>
  <c r="G25" i="284"/>
  <c r="G26" i="284"/>
  <c r="G31" i="284"/>
  <c r="G69" i="284"/>
  <c r="AL152" i="1"/>
  <c r="AL150" i="1"/>
  <c r="AL127" i="1"/>
  <c r="S71" i="3"/>
  <c r="AM121" i="1"/>
  <c r="AY118" i="1"/>
  <c r="AM119" i="1"/>
  <c r="AE111" i="1"/>
  <c r="AD113" i="1"/>
  <c r="F59" i="3"/>
  <c r="F46" i="3"/>
  <c r="F47" i="3"/>
  <c r="AM25" i="1"/>
  <c r="AM160" i="1"/>
  <c r="K10" i="284"/>
  <c r="L12" i="284"/>
  <c r="AA25" i="1"/>
  <c r="Z173" i="1"/>
  <c r="Z27" i="1" s="1"/>
  <c r="Z174" i="1"/>
  <c r="AD173" i="1"/>
  <c r="AD27" i="1" s="1"/>
  <c r="AM23" i="1"/>
  <c r="AM158" i="1"/>
  <c r="G47" i="3"/>
  <c r="G59" i="3"/>
  <c r="G46" i="3"/>
  <c r="J11" i="284"/>
  <c r="Z26" i="1"/>
  <c r="Z22" i="1"/>
  <c r="AD22" i="1"/>
  <c r="Z24" i="1"/>
  <c r="AA24" i="1"/>
  <c r="AA26" i="1"/>
  <c r="AM182" i="1"/>
  <c r="AM183" i="1" s="1"/>
  <c r="AM185" i="1" s="1"/>
  <c r="AM142" i="1"/>
  <c r="AY156" i="1"/>
  <c r="AM157" i="1"/>
  <c r="AM159" i="1"/>
  <c r="AM161" i="1"/>
  <c r="AM162" i="1" s="1"/>
  <c r="AY21" i="1"/>
  <c r="AM22" i="1"/>
  <c r="AM26" i="1"/>
  <c r="AM24" i="1"/>
  <c r="AX131" i="1"/>
  <c r="AX120" i="1"/>
  <c r="AX122" i="1" s="1"/>
  <c r="AH38" i="1"/>
  <c r="AH71" i="1" s="1"/>
  <c r="AH43" i="1"/>
  <c r="AX35" i="1"/>
  <c r="AI151" i="1"/>
  <c r="AI144" i="1" s="1"/>
  <c r="AI32" i="1"/>
  <c r="AW95" i="1"/>
  <c r="AW101" i="1"/>
  <c r="AW104" i="1" s="1"/>
  <c r="AX97" i="1"/>
  <c r="I42" i="3"/>
  <c r="AY172" i="1"/>
  <c r="AY169" i="1"/>
  <c r="AY168" i="1"/>
  <c r="AY170" i="1"/>
  <c r="H19" i="284"/>
  <c r="H20" i="284"/>
  <c r="H21" i="284"/>
  <c r="H24" i="284"/>
  <c r="H14" i="284"/>
  <c r="I18" i="284"/>
  <c r="AK130" i="1"/>
  <c r="AK131" i="1" s="1"/>
  <c r="AK132" i="1"/>
  <c r="AK133" i="1" s="1"/>
  <c r="AK124" i="1" s="1"/>
  <c r="AK128" i="1"/>
  <c r="AK129" i="1" s="1"/>
  <c r="AK120" i="1" s="1"/>
  <c r="F15" i="284"/>
  <c r="F16" i="284"/>
  <c r="F38" i="284"/>
  <c r="F25" i="284"/>
  <c r="F26" i="284"/>
  <c r="F31" i="284"/>
  <c r="F69" i="284"/>
  <c r="AJ23" i="1"/>
  <c r="AJ151" i="1"/>
  <c r="AJ144" i="1" s="1"/>
  <c r="AJ158" i="1"/>
  <c r="AX15" i="1"/>
  <c r="AX13" i="1"/>
  <c r="AX17" i="1"/>
  <c r="I7" i="3"/>
  <c r="AX51" i="1"/>
  <c r="AX77" i="1"/>
  <c r="K28" i="284"/>
  <c r="L29" i="284"/>
  <c r="G15" i="284"/>
  <c r="G16" i="284"/>
  <c r="AI43" i="1"/>
  <c r="AI38" i="1"/>
  <c r="L7" i="284"/>
  <c r="AH32" i="1"/>
  <c r="AX31" i="1"/>
  <c r="Z152" i="1"/>
  <c r="Z150" i="1"/>
  <c r="AD150" i="1"/>
  <c r="AA152" i="1"/>
  <c r="Z127" i="1"/>
  <c r="AC175" i="1"/>
  <c r="AC29" i="1" s="1"/>
  <c r="Y175" i="1"/>
  <c r="Y29" i="1" s="1"/>
  <c r="Y28" i="1"/>
  <c r="AX23" i="1"/>
  <c r="AX171" i="1"/>
  <c r="AX151" i="1"/>
  <c r="AX144" i="1" s="1"/>
  <c r="AX158" i="1"/>
  <c r="AD23" i="1"/>
  <c r="AI18" i="1"/>
  <c r="AI195" i="1"/>
  <c r="E70" i="284"/>
  <c r="Y85" i="284" s="1"/>
  <c r="E49" i="284"/>
  <c r="AA174" i="1"/>
  <c r="AE173" i="1"/>
  <c r="AE27" i="1" s="1"/>
  <c r="AA173" i="1"/>
  <c r="AA27" i="1" s="1"/>
  <c r="Y186" i="1"/>
  <c r="AV185" i="1"/>
  <c r="AH18" i="1"/>
  <c r="AH195" i="1"/>
  <c r="T57" i="284"/>
  <c r="AX14" i="1"/>
  <c r="I9" i="3" s="1"/>
  <c r="AX191" i="1"/>
  <c r="AX16" i="1" s="1"/>
  <c r="AH44" i="1"/>
  <c r="AX36" i="1"/>
  <c r="K42" i="284"/>
  <c r="AK137" i="1"/>
  <c r="AK169" i="1"/>
  <c r="AX194" i="1"/>
  <c r="AX193" i="1"/>
  <c r="H45" i="3"/>
  <c r="H52" i="3"/>
  <c r="H83" i="3" s="1"/>
  <c r="AB98" i="3" s="1"/>
  <c r="H31" i="3"/>
  <c r="H32" i="3"/>
  <c r="AK190" i="1"/>
  <c r="AK191" i="1" s="1"/>
  <c r="AK16" i="1" s="1"/>
  <c r="AK192" i="1"/>
  <c r="AK12" i="1"/>
  <c r="AK188" i="1"/>
  <c r="AK189" i="1" s="1"/>
  <c r="AK14" i="1" s="1"/>
  <c r="AM187" i="1" l="1"/>
  <c r="AY185" i="1"/>
  <c r="AY183" i="1" s="1"/>
  <c r="AH75" i="1"/>
  <c r="AH72" i="1"/>
  <c r="AX71" i="1"/>
  <c r="AI40" i="1"/>
  <c r="AI46" i="1"/>
  <c r="AI52" i="1"/>
  <c r="AY22" i="1"/>
  <c r="AY26" i="1"/>
  <c r="AY24" i="1"/>
  <c r="H46" i="3"/>
  <c r="H47" i="3"/>
  <c r="H59" i="3"/>
  <c r="I43" i="3"/>
  <c r="F45" i="284"/>
  <c r="F32" i="284"/>
  <c r="F33" i="284"/>
  <c r="AV183" i="1"/>
  <c r="AV186" i="1"/>
  <c r="L28" i="284"/>
  <c r="M29" i="284"/>
  <c r="F60" i="3"/>
  <c r="F63" i="3"/>
  <c r="F84" i="3"/>
  <c r="Z99" i="3" s="1"/>
  <c r="AX18" i="1"/>
  <c r="AX195" i="1"/>
  <c r="Z128" i="1"/>
  <c r="Z129" i="1" s="1"/>
  <c r="Z151" i="1" s="1"/>
  <c r="Z130" i="1"/>
  <c r="Z131" i="1" s="1"/>
  <c r="Z153" i="1" s="1"/>
  <c r="Z132" i="1"/>
  <c r="Z133" i="1" s="1"/>
  <c r="AD128" i="1"/>
  <c r="AD129" i="1" s="1"/>
  <c r="AD151" i="1" s="1"/>
  <c r="AA132" i="1"/>
  <c r="AA133" i="1" s="1"/>
  <c r="AA130" i="1"/>
  <c r="AA131" i="1" s="1"/>
  <c r="AA153" i="1" s="1"/>
  <c r="AK194" i="1"/>
  <c r="AK193" i="1"/>
  <c r="E63" i="3"/>
  <c r="E84" i="3"/>
  <c r="Y99" i="3" s="1"/>
  <c r="AJ18" i="1"/>
  <c r="AJ195" i="1"/>
  <c r="AY173" i="1"/>
  <c r="AY27" i="1" s="1"/>
  <c r="AY174" i="1"/>
  <c r="AK23" i="1"/>
  <c r="AK151" i="1"/>
  <c r="AK144" i="1" s="1"/>
  <c r="AK158" i="1"/>
  <c r="AY157" i="1"/>
  <c r="AY161" i="1"/>
  <c r="AY162" i="1" s="1"/>
  <c r="AY182" i="1"/>
  <c r="AY159" i="1"/>
  <c r="AW111" i="1"/>
  <c r="AF111" i="1"/>
  <c r="AE113" i="1"/>
  <c r="AW113" i="1" s="1"/>
  <c r="AI71" i="1"/>
  <c r="AM145" i="1"/>
  <c r="AY142" i="1"/>
  <c r="AM143" i="1"/>
  <c r="M7" i="284"/>
  <c r="G60" i="3"/>
  <c r="G63" i="3"/>
  <c r="G84" i="3"/>
  <c r="AA99" i="3" s="1"/>
  <c r="AA175" i="1"/>
  <c r="AA29" i="1" s="1"/>
  <c r="AA28" i="1"/>
  <c r="AE175" i="1"/>
  <c r="AE29" i="1" s="1"/>
  <c r="I8" i="3"/>
  <c r="V8" i="3"/>
  <c r="I57" i="3"/>
  <c r="AX25" i="1"/>
  <c r="AX153" i="1"/>
  <c r="AX146" i="1" s="1"/>
  <c r="AX160" i="1"/>
  <c r="L43" i="284"/>
  <c r="AK122" i="1"/>
  <c r="AK153" i="1"/>
  <c r="AK146" i="1" s="1"/>
  <c r="Z175" i="1"/>
  <c r="Z29" i="1" s="1"/>
  <c r="Z28" i="1"/>
  <c r="AD175" i="1"/>
  <c r="AD29" i="1" s="1"/>
  <c r="AY123" i="1"/>
  <c r="AY121" i="1"/>
  <c r="AY119" i="1"/>
  <c r="I19" i="284"/>
  <c r="I20" i="284"/>
  <c r="I23" i="284"/>
  <c r="I24" i="284" s="1"/>
  <c r="J18" i="284"/>
  <c r="I14" i="284"/>
  <c r="AX44" i="1"/>
  <c r="AX50" i="1"/>
  <c r="AX32" i="1"/>
  <c r="AX33" i="1"/>
  <c r="I11" i="3"/>
  <c r="H15" i="284"/>
  <c r="H16" i="284"/>
  <c r="AX49" i="1"/>
  <c r="AX43" i="1"/>
  <c r="AJ77" i="1"/>
  <c r="H31" i="284"/>
  <c r="H38" i="284"/>
  <c r="H69" i="284" s="1"/>
  <c r="H25" i="284"/>
  <c r="H26" i="284"/>
  <c r="T71" i="3"/>
  <c r="AJ32" i="1"/>
  <c r="AJ71" i="1"/>
  <c r="AK17" i="1"/>
  <c r="AK15" i="1"/>
  <c r="AK13" i="1"/>
  <c r="AK35" i="1"/>
  <c r="AK36" i="1"/>
  <c r="AK44" i="1" s="1"/>
  <c r="AK31" i="1"/>
  <c r="AK51" i="1"/>
  <c r="AK93" i="1"/>
  <c r="AK74" i="1"/>
  <c r="AK77" i="1" s="1"/>
  <c r="AH40" i="1"/>
  <c r="AH46" i="1"/>
  <c r="AH52" i="1"/>
  <c r="AX38" i="1"/>
  <c r="AL128" i="1"/>
  <c r="AL129" i="1" s="1"/>
  <c r="AL130" i="1"/>
  <c r="AL131" i="1" s="1"/>
  <c r="AL132" i="1"/>
  <c r="AL133" i="1" s="1"/>
  <c r="AL124" i="1" s="1"/>
  <c r="AJ44" i="1"/>
  <c r="AM130" i="1"/>
  <c r="AM131" i="1" s="1"/>
  <c r="AY127" i="1"/>
  <c r="AM132" i="1"/>
  <c r="AM133" i="1" s="1"/>
  <c r="AM124" i="1" s="1"/>
  <c r="AM128" i="1"/>
  <c r="AM129" i="1" s="1"/>
  <c r="L10" i="284"/>
  <c r="M12" i="284"/>
  <c r="K11" i="284"/>
  <c r="AJ38" i="1"/>
  <c r="AJ43" i="1"/>
  <c r="AY152" i="1"/>
  <c r="AY150" i="1"/>
  <c r="G33" i="284"/>
  <c r="G45" i="284"/>
  <c r="G32" i="284"/>
  <c r="AY171" i="1"/>
  <c r="AY23" i="1"/>
  <c r="AY158" i="1"/>
  <c r="AL190" i="1"/>
  <c r="AL191" i="1" s="1"/>
  <c r="AL16" i="1" s="1"/>
  <c r="AL188" i="1"/>
  <c r="AL189" i="1" s="1"/>
  <c r="AL14" i="1" s="1"/>
  <c r="AL12" i="1"/>
  <c r="AL192" i="1"/>
  <c r="I31" i="284" l="1"/>
  <c r="I25" i="284"/>
  <c r="I26" i="284"/>
  <c r="H54" i="284"/>
  <c r="H68" i="3"/>
  <c r="H70" i="3" s="1"/>
  <c r="AK18" i="1"/>
  <c r="AK195" i="1"/>
  <c r="AY25" i="1"/>
  <c r="AY160" i="1"/>
  <c r="AY132" i="1"/>
  <c r="AY133" i="1" s="1"/>
  <c r="AY130" i="1"/>
  <c r="AY128" i="1"/>
  <c r="AY129" i="1" s="1"/>
  <c r="AK38" i="1"/>
  <c r="AK43" i="1"/>
  <c r="AM190" i="1"/>
  <c r="AM191" i="1" s="1"/>
  <c r="AM16" i="1" s="1"/>
  <c r="AM188" i="1"/>
  <c r="AM189" i="1" s="1"/>
  <c r="AM14" i="1" s="1"/>
  <c r="AM12" i="1"/>
  <c r="AM192" i="1"/>
  <c r="AM122" i="1"/>
  <c r="AM153" i="1"/>
  <c r="AM146" i="1" s="1"/>
  <c r="F46" i="284"/>
  <c r="F70" i="284"/>
  <c r="Z85" i="284" s="1"/>
  <c r="F49" i="284"/>
  <c r="H60" i="3"/>
  <c r="H84" i="3"/>
  <c r="AB99" i="3" s="1"/>
  <c r="H63" i="3"/>
  <c r="J56" i="284"/>
  <c r="J54" i="284" s="1"/>
  <c r="J19" i="284"/>
  <c r="J20" i="284"/>
  <c r="J24" i="284"/>
  <c r="J23" i="284"/>
  <c r="J14" i="284"/>
  <c r="K18" i="284"/>
  <c r="G46" i="284"/>
  <c r="G70" i="284"/>
  <c r="AA85" i="284" s="1"/>
  <c r="G49" i="284"/>
  <c r="AJ75" i="1"/>
  <c r="AJ72" i="1"/>
  <c r="I12" i="3"/>
  <c r="I13" i="3"/>
  <c r="AL122" i="1"/>
  <c r="AL153" i="1"/>
  <c r="AL146" i="1" s="1"/>
  <c r="L11" i="284"/>
  <c r="AM120" i="1"/>
  <c r="AM151" i="1"/>
  <c r="AM144" i="1" s="1"/>
  <c r="AK32" i="1"/>
  <c r="AI75" i="1"/>
  <c r="AI72" i="1"/>
  <c r="AL120" i="1"/>
  <c r="AL151" i="1"/>
  <c r="AL144" i="1" s="1"/>
  <c r="M10" i="284"/>
  <c r="N12" i="284"/>
  <c r="AX46" i="1"/>
  <c r="AX52" i="1"/>
  <c r="N7" i="284"/>
  <c r="AY175" i="1"/>
  <c r="AY29" i="1" s="1"/>
  <c r="AY28" i="1"/>
  <c r="AY163" i="1"/>
  <c r="AY164" i="1" s="1"/>
  <c r="AY187" i="1"/>
  <c r="AJ40" i="1"/>
  <c r="AJ46" i="1"/>
  <c r="AJ52" i="1"/>
  <c r="L42" i="284"/>
  <c r="M43" i="284"/>
  <c r="AL194" i="1"/>
  <c r="AL193" i="1"/>
  <c r="AL15" i="1"/>
  <c r="AL35" i="1"/>
  <c r="AL13" i="1"/>
  <c r="AL17" i="1"/>
  <c r="AL36" i="1"/>
  <c r="AL44" i="1" s="1"/>
  <c r="AL31" i="1"/>
  <c r="AL51" i="1"/>
  <c r="AL74" i="1"/>
  <c r="AL77" i="1" s="1"/>
  <c r="AL93" i="1"/>
  <c r="AX40" i="1"/>
  <c r="I15" i="284"/>
  <c r="I16" i="284"/>
  <c r="AY145" i="1"/>
  <c r="AY143" i="1"/>
  <c r="M28" i="284"/>
  <c r="N29" i="284"/>
  <c r="AX72" i="1"/>
  <c r="I19" i="3"/>
  <c r="I15" i="3" s="1"/>
  <c r="H32" i="284"/>
  <c r="H33" i="284"/>
  <c r="H45" i="284"/>
  <c r="AG111" i="1"/>
  <c r="AF113" i="1"/>
  <c r="AH85" i="1"/>
  <c r="AH76" i="1"/>
  <c r="AH81" i="1"/>
  <c r="AX75" i="1"/>
  <c r="AX76" i="1" s="1"/>
  <c r="I17" i="3" l="1"/>
  <c r="I16" i="3"/>
  <c r="AL43" i="1"/>
  <c r="AL38" i="1"/>
  <c r="AL71" i="1" s="1"/>
  <c r="N10" i="284"/>
  <c r="O12" i="284"/>
  <c r="J31" i="284"/>
  <c r="J25" i="284"/>
  <c r="J26" i="284"/>
  <c r="AY35" i="1"/>
  <c r="H86" i="3"/>
  <c r="H87" i="3"/>
  <c r="N28" i="284"/>
  <c r="O29" i="284"/>
  <c r="AL18" i="1"/>
  <c r="AL195" i="1"/>
  <c r="M42" i="284"/>
  <c r="N43" i="284"/>
  <c r="AJ76" i="1"/>
  <c r="AJ81" i="1"/>
  <c r="AY188" i="1"/>
  <c r="AY189" i="1" s="1"/>
  <c r="AY192" i="1"/>
  <c r="AY190" i="1"/>
  <c r="AY186" i="1"/>
  <c r="AH111" i="1"/>
  <c r="AG113" i="1"/>
  <c r="D100" i="3" s="1"/>
  <c r="AL32" i="1"/>
  <c r="H56" i="284"/>
  <c r="H46" i="284"/>
  <c r="H70" i="284"/>
  <c r="AB85" i="284" s="1"/>
  <c r="H49" i="284"/>
  <c r="AK71" i="1"/>
  <c r="K19" i="284"/>
  <c r="K20" i="284"/>
  <c r="K56" i="284"/>
  <c r="K54" i="284" s="1"/>
  <c r="K24" i="284"/>
  <c r="K23" i="284"/>
  <c r="K14" i="284"/>
  <c r="L18" i="284"/>
  <c r="AM194" i="1"/>
  <c r="AM193" i="1"/>
  <c r="M11" i="284"/>
  <c r="AH92" i="1"/>
  <c r="AH82" i="1"/>
  <c r="AX81" i="1"/>
  <c r="AX82" i="1" s="1"/>
  <c r="AI76" i="1"/>
  <c r="AI81" i="1"/>
  <c r="J15" i="284"/>
  <c r="J16" i="284"/>
  <c r="AM17" i="1"/>
  <c r="AM15" i="1"/>
  <c r="AM51" i="1"/>
  <c r="AM35" i="1"/>
  <c r="AM13" i="1"/>
  <c r="AM36" i="1"/>
  <c r="AM31" i="1"/>
  <c r="AM74" i="1"/>
  <c r="AM77" i="1" s="1"/>
  <c r="AM93" i="1"/>
  <c r="AY93" i="1" s="1"/>
  <c r="AY12" i="1"/>
  <c r="AH87" i="1"/>
  <c r="AH86" i="1"/>
  <c r="O7" i="284"/>
  <c r="I24" i="3"/>
  <c r="I20" i="3"/>
  <c r="I21" i="3"/>
  <c r="AK40" i="1"/>
  <c r="AK46" i="1"/>
  <c r="AK52" i="1"/>
  <c r="K35" i="284"/>
  <c r="AY120" i="1"/>
  <c r="AY122" i="1" s="1"/>
  <c r="AY131" i="1"/>
  <c r="AY153" i="1" s="1"/>
  <c r="AY146" i="1" s="1"/>
  <c r="AY151" i="1"/>
  <c r="AY144" i="1" s="1"/>
  <c r="I32" i="284"/>
  <c r="I33" i="284"/>
  <c r="AL72" i="1" l="1"/>
  <c r="AL75" i="1"/>
  <c r="AY97" i="1"/>
  <c r="J42" i="3"/>
  <c r="AI82" i="1"/>
  <c r="AI92" i="1"/>
  <c r="AI94" i="1" s="1"/>
  <c r="AH100" i="1"/>
  <c r="AK75" i="1"/>
  <c r="AK72" i="1"/>
  <c r="O43" i="284"/>
  <c r="N42" i="284"/>
  <c r="AY49" i="1"/>
  <c r="AY43" i="1"/>
  <c r="AH89" i="1"/>
  <c r="AM32" i="1"/>
  <c r="AY31" i="1"/>
  <c r="L19" i="284"/>
  <c r="L20" i="284"/>
  <c r="L56" i="284"/>
  <c r="L54" i="284" s="1"/>
  <c r="L23" i="284"/>
  <c r="L24" i="284" s="1"/>
  <c r="L14" i="284"/>
  <c r="M18" i="284"/>
  <c r="I25" i="3"/>
  <c r="I26" i="3"/>
  <c r="I27" i="3"/>
  <c r="I30" i="3"/>
  <c r="I35" i="3" s="1"/>
  <c r="I37" i="3" s="1"/>
  <c r="AY15" i="1"/>
  <c r="AY13" i="1"/>
  <c r="AY17" i="1"/>
  <c r="AY51" i="1"/>
  <c r="J7" i="3"/>
  <c r="AH94" i="1"/>
  <c r="AX92" i="1"/>
  <c r="H72" i="284"/>
  <c r="H73" i="284"/>
  <c r="J32" i="284"/>
  <c r="J33" i="284"/>
  <c r="AM44" i="1"/>
  <c r="AY36" i="1"/>
  <c r="AY74" i="1"/>
  <c r="O28" i="284"/>
  <c r="P29" i="284"/>
  <c r="O10" i="284"/>
  <c r="P12" i="284"/>
  <c r="AM38" i="1"/>
  <c r="AM43" i="1"/>
  <c r="AM18" i="1"/>
  <c r="AM195" i="1"/>
  <c r="D86" i="284"/>
  <c r="E100" i="3"/>
  <c r="D101" i="3"/>
  <c r="N11" i="284"/>
  <c r="AL40" i="1"/>
  <c r="AL46" i="1"/>
  <c r="AL52" i="1"/>
  <c r="K15" i="284"/>
  <c r="K16" i="284"/>
  <c r="AI111" i="1"/>
  <c r="K26" i="284"/>
  <c r="K31" i="284"/>
  <c r="K38" i="284"/>
  <c r="K25" i="284"/>
  <c r="P7" i="284"/>
  <c r="AY14" i="1"/>
  <c r="J9" i="3" s="1"/>
  <c r="AY191" i="1"/>
  <c r="AY16" i="1" s="1"/>
  <c r="AY194" i="1"/>
  <c r="AY193" i="1"/>
  <c r="L35" i="284"/>
  <c r="AJ82" i="1"/>
  <c r="AJ92" i="1"/>
  <c r="I38" i="3" l="1"/>
  <c r="I39" i="3" s="1"/>
  <c r="I40" i="3"/>
  <c r="L25" i="284"/>
  <c r="L26" i="284"/>
  <c r="L31" i="284"/>
  <c r="L38" i="284"/>
  <c r="Q7" i="284"/>
  <c r="E86" i="284"/>
  <c r="D87" i="284"/>
  <c r="I45" i="3"/>
  <c r="I31" i="3"/>
  <c r="I32" i="3"/>
  <c r="K32" i="284"/>
  <c r="K33" i="284"/>
  <c r="K45" i="284"/>
  <c r="O42" i="284"/>
  <c r="P43" i="284"/>
  <c r="AM52" i="1"/>
  <c r="AM40" i="1"/>
  <c r="AY40" i="1" s="1"/>
  <c r="AM46" i="1"/>
  <c r="AY38" i="1"/>
  <c r="M19" i="284"/>
  <c r="M20" i="284"/>
  <c r="M56" i="284"/>
  <c r="M54" i="284" s="1"/>
  <c r="M35" i="284" s="1"/>
  <c r="M23" i="284"/>
  <c r="M24" i="284" s="1"/>
  <c r="M14" i="284"/>
  <c r="N18" i="284"/>
  <c r="P10" i="284"/>
  <c r="Q12" i="284"/>
  <c r="L15" i="284"/>
  <c r="L16" i="284"/>
  <c r="AX111" i="1"/>
  <c r="AJ111" i="1"/>
  <c r="O11" i="284"/>
  <c r="AK76" i="1"/>
  <c r="AK81" i="1"/>
  <c r="AJ94" i="1"/>
  <c r="Q29" i="284"/>
  <c r="P28" i="284"/>
  <c r="AY77" i="1"/>
  <c r="J29" i="3"/>
  <c r="AI95" i="1"/>
  <c r="AY44" i="1"/>
  <c r="AY50" i="1"/>
  <c r="AH101" i="1"/>
  <c r="AH95" i="1"/>
  <c r="AX94" i="1"/>
  <c r="AX95" i="1" s="1"/>
  <c r="AY33" i="1"/>
  <c r="AY32" i="1"/>
  <c r="J11" i="3"/>
  <c r="J43" i="3"/>
  <c r="AY18" i="1"/>
  <c r="AY195" i="1"/>
  <c r="J8" i="3"/>
  <c r="K7" i="3"/>
  <c r="AM71" i="1"/>
  <c r="AL76" i="1"/>
  <c r="AL81" i="1"/>
  <c r="H80" i="3"/>
  <c r="G81" i="3"/>
  <c r="F82" i="3"/>
  <c r="D86" i="3"/>
  <c r="H82" i="3"/>
  <c r="D87" i="3"/>
  <c r="H81" i="3"/>
  <c r="G82" i="3"/>
  <c r="E101" i="3"/>
  <c r="G86" i="3"/>
  <c r="E86" i="3"/>
  <c r="F86" i="3"/>
  <c r="E87" i="3"/>
  <c r="F87" i="3"/>
  <c r="G87" i="3"/>
  <c r="D79" i="3"/>
  <c r="G79" i="3"/>
  <c r="F80" i="3"/>
  <c r="E81" i="3"/>
  <c r="D80" i="3"/>
  <c r="E80" i="3"/>
  <c r="G80" i="3"/>
  <c r="F81" i="3"/>
  <c r="E82" i="3"/>
  <c r="E79" i="3"/>
  <c r="F79" i="3"/>
  <c r="H79" i="3"/>
  <c r="M25" i="284" l="1"/>
  <c r="M26" i="284"/>
  <c r="M31" i="284"/>
  <c r="M38" i="284"/>
  <c r="Q10" i="284"/>
  <c r="R12" i="284"/>
  <c r="P11" i="284"/>
  <c r="K43" i="3"/>
  <c r="J57" i="3"/>
  <c r="Q28" i="284"/>
  <c r="R29" i="284"/>
  <c r="N24" i="284"/>
  <c r="N19" i="284"/>
  <c r="N20" i="284"/>
  <c r="N56" i="284"/>
  <c r="N54" i="284" s="1"/>
  <c r="N23" i="284"/>
  <c r="O18" i="284"/>
  <c r="N14" i="284"/>
  <c r="J13" i="3"/>
  <c r="K13" i="3" s="1"/>
  <c r="J12" i="3"/>
  <c r="M15" i="284"/>
  <c r="M16" i="284"/>
  <c r="AJ95" i="1"/>
  <c r="AK92" i="1"/>
  <c r="AK82" i="1"/>
  <c r="I46" i="3"/>
  <c r="I47" i="3"/>
  <c r="F72" i="284"/>
  <c r="E73" i="284"/>
  <c r="G72" i="284"/>
  <c r="F73" i="284"/>
  <c r="G73" i="284"/>
  <c r="E87" i="284"/>
  <c r="D65" i="284"/>
  <c r="E65" i="284"/>
  <c r="D66" i="284"/>
  <c r="F65" i="284"/>
  <c r="E66" i="284"/>
  <c r="G65" i="284"/>
  <c r="F66" i="284"/>
  <c r="E67" i="284"/>
  <c r="H65" i="284"/>
  <c r="G66" i="284"/>
  <c r="F67" i="284"/>
  <c r="E68" i="284"/>
  <c r="H66" i="284"/>
  <c r="G67" i="284"/>
  <c r="F68" i="284"/>
  <c r="H67" i="284"/>
  <c r="G68" i="284"/>
  <c r="H68" i="284"/>
  <c r="D72" i="284"/>
  <c r="E72" i="284"/>
  <c r="D73" i="284"/>
  <c r="AH105" i="1"/>
  <c r="AL82" i="1"/>
  <c r="AL92" i="1"/>
  <c r="AL94" i="1" s="1"/>
  <c r="AY52" i="1"/>
  <c r="AY46" i="1"/>
  <c r="R7" i="284"/>
  <c r="AM72" i="1"/>
  <c r="AM75" i="1"/>
  <c r="AY71" i="1"/>
  <c r="AK111" i="1"/>
  <c r="L7" i="3"/>
  <c r="I54" i="284"/>
  <c r="I68" i="3"/>
  <c r="P42" i="284"/>
  <c r="Q43" i="284"/>
  <c r="L32" i="284"/>
  <c r="L33" i="284"/>
  <c r="L45" i="284"/>
  <c r="K50" i="284"/>
  <c r="K59" i="284" s="1"/>
  <c r="K79" i="284" s="1"/>
  <c r="R28" i="284" l="1"/>
  <c r="S29" i="284"/>
  <c r="J56" i="3"/>
  <c r="K57" i="3"/>
  <c r="AM76" i="1"/>
  <c r="AM81" i="1"/>
  <c r="AY75" i="1"/>
  <c r="AY76" i="1" s="1"/>
  <c r="L43" i="3"/>
  <c r="K42" i="3"/>
  <c r="N35" i="284"/>
  <c r="N38" i="284" s="1"/>
  <c r="L50" i="284"/>
  <c r="L59" i="284" s="1"/>
  <c r="L79" i="284" s="1"/>
  <c r="L46" i="284"/>
  <c r="S7" i="284"/>
  <c r="M7" i="3"/>
  <c r="AK94" i="1"/>
  <c r="Q11" i="284"/>
  <c r="AY72" i="1"/>
  <c r="J19" i="3"/>
  <c r="R10" i="284"/>
  <c r="S12" i="284"/>
  <c r="Q42" i="284"/>
  <c r="R43" i="284"/>
  <c r="K11" i="3"/>
  <c r="L13" i="3"/>
  <c r="AL95" i="1"/>
  <c r="N15" i="284"/>
  <c r="N16" i="284"/>
  <c r="M32" i="284"/>
  <c r="M33" i="284"/>
  <c r="M45" i="284"/>
  <c r="N25" i="284"/>
  <c r="N26" i="284"/>
  <c r="N31" i="284"/>
  <c r="O24" i="284"/>
  <c r="O19" i="284"/>
  <c r="O20" i="284"/>
  <c r="O56" i="284"/>
  <c r="O54" i="284" s="1"/>
  <c r="O23" i="284"/>
  <c r="P18" i="284"/>
  <c r="O14" i="284"/>
  <c r="AH112" i="1"/>
  <c r="AL111" i="1"/>
  <c r="J35" i="284"/>
  <c r="I35" i="284"/>
  <c r="J23" i="3" l="1"/>
  <c r="J36" i="3"/>
  <c r="T7" i="284"/>
  <c r="K12" i="3"/>
  <c r="I38" i="284"/>
  <c r="I69" i="284" s="1"/>
  <c r="N32" i="284"/>
  <c r="N33" i="284"/>
  <c r="N45" i="284"/>
  <c r="R11" i="284"/>
  <c r="O35" i="284"/>
  <c r="O38" i="284" s="1"/>
  <c r="S10" i="284"/>
  <c r="T12" i="284"/>
  <c r="M43" i="3"/>
  <c r="L42" i="3"/>
  <c r="AM111" i="1"/>
  <c r="M50" i="284"/>
  <c r="M59" i="284" s="1"/>
  <c r="M79" i="284" s="1"/>
  <c r="M46" i="284"/>
  <c r="AM82" i="1"/>
  <c r="AM92" i="1"/>
  <c r="AY81" i="1"/>
  <c r="AY82" i="1" s="1"/>
  <c r="O25" i="284"/>
  <c r="O26" i="284"/>
  <c r="O31" i="284"/>
  <c r="J21" i="3"/>
  <c r="J24" i="3"/>
  <c r="J20" i="3"/>
  <c r="J15" i="3"/>
  <c r="L11" i="3"/>
  <c r="M13" i="3"/>
  <c r="S43" i="284"/>
  <c r="R42" i="284"/>
  <c r="O15" i="284"/>
  <c r="O16" i="284"/>
  <c r="P19" i="284"/>
  <c r="P20" i="284"/>
  <c r="P56" i="284"/>
  <c r="P54" i="284" s="1"/>
  <c r="P23" i="284"/>
  <c r="P24" i="284" s="1"/>
  <c r="P14" i="284"/>
  <c r="Q18" i="284"/>
  <c r="J38" i="284"/>
  <c r="J45" i="284" s="1"/>
  <c r="AI84" i="1"/>
  <c r="AH113" i="1"/>
  <c r="AK95" i="1"/>
  <c r="N7" i="3"/>
  <c r="K56" i="3"/>
  <c r="L57" i="3"/>
  <c r="S28" i="284"/>
  <c r="T29" i="284"/>
  <c r="T28" i="284" s="1"/>
  <c r="K23" i="3" l="1"/>
  <c r="K36" i="3"/>
  <c r="J50" i="284"/>
  <c r="K46" i="284"/>
  <c r="P25" i="284"/>
  <c r="P26" i="284"/>
  <c r="P31" i="284"/>
  <c r="P38" i="284"/>
  <c r="O32" i="284"/>
  <c r="O33" i="284"/>
  <c r="O45" i="284"/>
  <c r="M57" i="3"/>
  <c r="L56" i="3"/>
  <c r="Q35" i="284"/>
  <c r="N50" i="284"/>
  <c r="N59" i="284" s="1"/>
  <c r="N79" i="284" s="1"/>
  <c r="N46" i="284"/>
  <c r="AM94" i="1"/>
  <c r="AY92" i="1"/>
  <c r="I45" i="284"/>
  <c r="P15" i="284"/>
  <c r="P16" i="284"/>
  <c r="O7" i="3"/>
  <c r="J25" i="3"/>
  <c r="J26" i="3"/>
  <c r="J27" i="3"/>
  <c r="J70" i="3"/>
  <c r="J68" i="3" s="1"/>
  <c r="J30" i="3"/>
  <c r="J35" i="3" s="1"/>
  <c r="J37" i="3" s="1"/>
  <c r="K24" i="3"/>
  <c r="S11" i="284"/>
  <c r="S42" i="284"/>
  <c r="T43" i="284"/>
  <c r="T42" i="284" s="1"/>
  <c r="P35" i="284"/>
  <c r="AI99" i="1"/>
  <c r="AX84" i="1"/>
  <c r="I49" i="3" s="1"/>
  <c r="AI85" i="1"/>
  <c r="L12" i="3"/>
  <c r="Q19" i="284"/>
  <c r="Q20" i="284"/>
  <c r="Q56" i="284"/>
  <c r="Q54" i="284" s="1"/>
  <c r="Q23" i="284"/>
  <c r="Q24" i="284" s="1"/>
  <c r="R18" i="284"/>
  <c r="Q14" i="284"/>
  <c r="M11" i="3"/>
  <c r="N13" i="3"/>
  <c r="AY111" i="1"/>
  <c r="J16" i="3"/>
  <c r="J17" i="3"/>
  <c r="N43" i="3"/>
  <c r="M42" i="3"/>
  <c r="T10" i="284"/>
  <c r="L23" i="3" l="1"/>
  <c r="L36" i="3"/>
  <c r="J38" i="3"/>
  <c r="J39" i="3" s="1"/>
  <c r="J40" i="3"/>
  <c r="Q25" i="284"/>
  <c r="Q26" i="284"/>
  <c r="Q31" i="284"/>
  <c r="Q38" i="284"/>
  <c r="M56" i="3"/>
  <c r="N57" i="3"/>
  <c r="M12" i="3"/>
  <c r="R20" i="284"/>
  <c r="R19" i="284"/>
  <c r="R56" i="284"/>
  <c r="R54" i="284" s="1"/>
  <c r="R23" i="284"/>
  <c r="R24" i="284" s="1"/>
  <c r="S18" i="284"/>
  <c r="R14" i="284"/>
  <c r="N11" i="3"/>
  <c r="O13" i="3"/>
  <c r="K25" i="3"/>
  <c r="K26" i="3"/>
  <c r="K19" i="3"/>
  <c r="K70" i="3"/>
  <c r="K68" i="3" s="1"/>
  <c r="K49" i="3" s="1"/>
  <c r="K29" i="3"/>
  <c r="K30" i="3" s="1"/>
  <c r="K35" i="3" s="1"/>
  <c r="K37" i="3" s="1"/>
  <c r="L24" i="3"/>
  <c r="P32" i="284"/>
  <c r="P33" i="284"/>
  <c r="P45" i="284"/>
  <c r="Q15" i="284"/>
  <c r="Q16" i="284"/>
  <c r="R35" i="284"/>
  <c r="T11" i="284"/>
  <c r="AI86" i="1"/>
  <c r="AI87" i="1"/>
  <c r="AX85" i="1"/>
  <c r="P7" i="3"/>
  <c r="I52" i="3"/>
  <c r="I83" i="3"/>
  <c r="AC98" i="3" s="1"/>
  <c r="I59" i="3"/>
  <c r="AM95" i="1"/>
  <c r="AY94" i="1"/>
  <c r="AY95" i="1" s="1"/>
  <c r="J45" i="3"/>
  <c r="J52" i="3"/>
  <c r="J31" i="3"/>
  <c r="J32" i="3"/>
  <c r="O50" i="284"/>
  <c r="O59" i="284" s="1"/>
  <c r="O79" i="284" s="1"/>
  <c r="O46" i="284"/>
  <c r="O43" i="3"/>
  <c r="N42" i="3"/>
  <c r="AX99" i="1"/>
  <c r="J49" i="3"/>
  <c r="I50" i="284"/>
  <c r="I46" i="284"/>
  <c r="I70" i="284"/>
  <c r="AC85" i="284" s="1"/>
  <c r="J46" i="284"/>
  <c r="M23" i="3" l="1"/>
  <c r="M36" i="3"/>
  <c r="K40" i="3"/>
  <c r="K38" i="3"/>
  <c r="K39" i="3" s="1"/>
  <c r="R38" i="284"/>
  <c r="R25" i="284"/>
  <c r="R26" i="284"/>
  <c r="R31" i="284"/>
  <c r="K45" i="3"/>
  <c r="K52" i="3"/>
  <c r="K31" i="3"/>
  <c r="K32" i="3"/>
  <c r="S19" i="284"/>
  <c r="S20" i="284"/>
  <c r="S56" i="284"/>
  <c r="S54" i="284" s="1"/>
  <c r="S23" i="284"/>
  <c r="S24" i="284" s="1"/>
  <c r="T18" i="284"/>
  <c r="S14" i="284"/>
  <c r="N12" i="3"/>
  <c r="O57" i="3"/>
  <c r="N56" i="3"/>
  <c r="W59" i="3"/>
  <c r="I64" i="3"/>
  <c r="I60" i="3"/>
  <c r="I84" i="3"/>
  <c r="AC99" i="3" s="1"/>
  <c r="L25" i="3"/>
  <c r="L26" i="3"/>
  <c r="L19" i="3"/>
  <c r="L70" i="3"/>
  <c r="L68" i="3" s="1"/>
  <c r="L29" i="3"/>
  <c r="L30" i="3" s="1"/>
  <c r="L35" i="3" s="1"/>
  <c r="L37" i="3" s="1"/>
  <c r="M24" i="3"/>
  <c r="K20" i="3"/>
  <c r="K21" i="3"/>
  <c r="K15" i="3"/>
  <c r="J46" i="3"/>
  <c r="J47" i="3"/>
  <c r="J59" i="3"/>
  <c r="O42" i="3"/>
  <c r="P43" i="3"/>
  <c r="Q32" i="284"/>
  <c r="Q33" i="284"/>
  <c r="Q45" i="284"/>
  <c r="R16" i="284"/>
  <c r="R15" i="284"/>
  <c r="P50" i="284"/>
  <c r="P59" i="284" s="1"/>
  <c r="P79" i="284" s="1"/>
  <c r="P46" i="284"/>
  <c r="Q7" i="3"/>
  <c r="AI89" i="1"/>
  <c r="AX87" i="1"/>
  <c r="AX89" i="1" s="1"/>
  <c r="AI100" i="1"/>
  <c r="AX86" i="1"/>
  <c r="O11" i="3"/>
  <c r="P13" i="3"/>
  <c r="L38" i="3" l="1"/>
  <c r="L39" i="3" s="1"/>
  <c r="L40" i="3"/>
  <c r="N23" i="3"/>
  <c r="N36" i="3"/>
  <c r="S25" i="284"/>
  <c r="S26" i="284"/>
  <c r="S31" i="284"/>
  <c r="L45" i="3"/>
  <c r="L31" i="3"/>
  <c r="L32" i="3"/>
  <c r="M25" i="3"/>
  <c r="M26" i="3"/>
  <c r="M19" i="3"/>
  <c r="M70" i="3"/>
  <c r="M68" i="3" s="1"/>
  <c r="M49" i="3" s="1"/>
  <c r="M29" i="3"/>
  <c r="M30" i="3" s="1"/>
  <c r="M35" i="3" s="1"/>
  <c r="M37" i="3" s="1"/>
  <c r="N24" i="3"/>
  <c r="T19" i="284"/>
  <c r="T20" i="284"/>
  <c r="T56" i="284"/>
  <c r="T54" i="284" s="1"/>
  <c r="T23" i="284"/>
  <c r="T24" i="284" s="1"/>
  <c r="T14" i="284"/>
  <c r="P42" i="3"/>
  <c r="Q43" i="3"/>
  <c r="L20" i="3"/>
  <c r="L21" i="3"/>
  <c r="L15" i="3"/>
  <c r="K46" i="3"/>
  <c r="K47" i="3"/>
  <c r="K59" i="3"/>
  <c r="S16" i="284"/>
  <c r="S15" i="284"/>
  <c r="Q50" i="284"/>
  <c r="Q59" i="284" s="1"/>
  <c r="Q79" i="284" s="1"/>
  <c r="Q46" i="284"/>
  <c r="R32" i="284"/>
  <c r="R33" i="284"/>
  <c r="R45" i="284"/>
  <c r="T35" i="284"/>
  <c r="O12" i="3"/>
  <c r="P11" i="3"/>
  <c r="Q13" i="3"/>
  <c r="S35" i="284"/>
  <c r="S38" i="284" s="1"/>
  <c r="AX100" i="1"/>
  <c r="AI101" i="1"/>
  <c r="J64" i="3"/>
  <c r="J60" i="3"/>
  <c r="L49" i="3"/>
  <c r="L52" i="3" s="1"/>
  <c r="K17" i="3"/>
  <c r="K16" i="3"/>
  <c r="O56" i="3"/>
  <c r="P57" i="3"/>
  <c r="R7" i="3"/>
  <c r="M40" i="3" l="1"/>
  <c r="M38" i="3"/>
  <c r="M39" i="3" s="1"/>
  <c r="O23" i="3"/>
  <c r="O36" i="3"/>
  <c r="T25" i="284"/>
  <c r="T26" i="284"/>
  <c r="T38" i="284"/>
  <c r="T31" i="284"/>
  <c r="M45" i="3"/>
  <c r="M32" i="3"/>
  <c r="M52" i="3"/>
  <c r="M31" i="3"/>
  <c r="N25" i="3"/>
  <c r="N26" i="3"/>
  <c r="N19" i="3"/>
  <c r="N70" i="3"/>
  <c r="N68" i="3" s="1"/>
  <c r="N29" i="3"/>
  <c r="N30" i="3" s="1"/>
  <c r="N35" i="3" s="1"/>
  <c r="N37" i="3" s="1"/>
  <c r="O24" i="3"/>
  <c r="AI105" i="1"/>
  <c r="AX101" i="1"/>
  <c r="M20" i="3"/>
  <c r="M21" i="3"/>
  <c r="M15" i="3"/>
  <c r="L46" i="3"/>
  <c r="L47" i="3"/>
  <c r="L59" i="3"/>
  <c r="P12" i="3"/>
  <c r="Q42" i="3"/>
  <c r="R43" i="3"/>
  <c r="S7" i="3"/>
  <c r="P56" i="3"/>
  <c r="Q57" i="3"/>
  <c r="R50" i="284"/>
  <c r="R59" i="284" s="1"/>
  <c r="R79" i="284" s="1"/>
  <c r="R46" i="284"/>
  <c r="S32" i="284"/>
  <c r="S33" i="284"/>
  <c r="S45" i="284"/>
  <c r="Q11" i="3"/>
  <c r="R13" i="3"/>
  <c r="T15" i="284"/>
  <c r="T16" i="284"/>
  <c r="K64" i="3"/>
  <c r="K73" i="3" s="1"/>
  <c r="K93" i="3" s="1"/>
  <c r="K60" i="3"/>
  <c r="L16" i="3"/>
  <c r="L17" i="3"/>
  <c r="P23" i="3" l="1"/>
  <c r="P36" i="3"/>
  <c r="N40" i="3"/>
  <c r="N38" i="3"/>
  <c r="N39" i="3" s="1"/>
  <c r="N45" i="3"/>
  <c r="N31" i="3"/>
  <c r="N32" i="3"/>
  <c r="T7" i="3"/>
  <c r="O19" i="3"/>
  <c r="O25" i="3"/>
  <c r="O26" i="3"/>
  <c r="O70" i="3"/>
  <c r="O68" i="3" s="1"/>
  <c r="O29" i="3"/>
  <c r="O30" i="3" s="1"/>
  <c r="O35" i="3" s="1"/>
  <c r="O37" i="3" s="1"/>
  <c r="P24" i="3"/>
  <c r="AX105" i="1"/>
  <c r="AI112" i="1"/>
  <c r="R42" i="3"/>
  <c r="S43" i="3"/>
  <c r="N20" i="3"/>
  <c r="N21" i="3"/>
  <c r="N15" i="3"/>
  <c r="R11" i="3"/>
  <c r="S13" i="3"/>
  <c r="Q12" i="3"/>
  <c r="L64" i="3"/>
  <c r="L73" i="3" s="1"/>
  <c r="L93" i="3" s="1"/>
  <c r="L60" i="3"/>
  <c r="S50" i="284"/>
  <c r="S59" i="284" s="1"/>
  <c r="S46" i="284"/>
  <c r="M16" i="3"/>
  <c r="M17" i="3"/>
  <c r="M46" i="3"/>
  <c r="M47" i="3"/>
  <c r="M59" i="3"/>
  <c r="T32" i="284"/>
  <c r="T33" i="284"/>
  <c r="T45" i="284"/>
  <c r="N49" i="3"/>
  <c r="N52" i="3" s="1"/>
  <c r="Q56" i="3"/>
  <c r="R57" i="3"/>
  <c r="Q23" i="3" l="1"/>
  <c r="Q36" i="3"/>
  <c r="O38" i="3"/>
  <c r="O39" i="3" s="1"/>
  <c r="O40" i="3"/>
  <c r="O32" i="3"/>
  <c r="O45" i="3"/>
  <c r="O31" i="3"/>
  <c r="P25" i="3"/>
  <c r="P26" i="3"/>
  <c r="P19" i="3"/>
  <c r="P70" i="3"/>
  <c r="P68" i="3" s="1"/>
  <c r="P29" i="3"/>
  <c r="P30" i="3" s="1"/>
  <c r="P35" i="3" s="1"/>
  <c r="P37" i="3" s="1"/>
  <c r="Q24" i="3"/>
  <c r="R56" i="3"/>
  <c r="S57" i="3"/>
  <c r="O20" i="3"/>
  <c r="O21" i="3"/>
  <c r="O15" i="3"/>
  <c r="R12" i="3"/>
  <c r="N16" i="3"/>
  <c r="N17" i="3"/>
  <c r="S77" i="284"/>
  <c r="S79" i="284" s="1"/>
  <c r="T50" i="284"/>
  <c r="T59" i="284" s="1"/>
  <c r="T46" i="284"/>
  <c r="AJ84" i="1"/>
  <c r="AX112" i="1"/>
  <c r="AI113" i="1"/>
  <c r="AX113" i="1" s="1"/>
  <c r="P49" i="3"/>
  <c r="S11" i="3"/>
  <c r="T13" i="3"/>
  <c r="T11" i="3" s="1"/>
  <c r="M64" i="3"/>
  <c r="M73" i="3" s="1"/>
  <c r="M93" i="3" s="1"/>
  <c r="M60" i="3"/>
  <c r="T43" i="3"/>
  <c r="T42" i="3" s="1"/>
  <c r="S42" i="3"/>
  <c r="O49" i="3"/>
  <c r="O52" i="3" s="1"/>
  <c r="N46" i="3"/>
  <c r="N47" i="3"/>
  <c r="N59" i="3"/>
  <c r="P38" i="3" l="1"/>
  <c r="P39" i="3" s="1"/>
  <c r="P40" i="3"/>
  <c r="R23" i="3"/>
  <c r="R36" i="3"/>
  <c r="P31" i="3"/>
  <c r="P32" i="3"/>
  <c r="P52" i="3"/>
  <c r="P45" i="3"/>
  <c r="O16" i="3"/>
  <c r="O17" i="3"/>
  <c r="Q19" i="3"/>
  <c r="Q25" i="3"/>
  <c r="Q26" i="3"/>
  <c r="Q70" i="3"/>
  <c r="Q68" i="3" s="1"/>
  <c r="Q49" i="3" s="1"/>
  <c r="Q29" i="3"/>
  <c r="Q30" i="3" s="1"/>
  <c r="Q35" i="3" s="1"/>
  <c r="Q37" i="3" s="1"/>
  <c r="R24" i="3"/>
  <c r="S12" i="3"/>
  <c r="I55" i="284"/>
  <c r="I56" i="284" s="1"/>
  <c r="I69" i="3"/>
  <c r="I70" i="3" s="1"/>
  <c r="N64" i="3"/>
  <c r="N73" i="3" s="1"/>
  <c r="N93" i="3" s="1"/>
  <c r="N60" i="3"/>
  <c r="T12" i="3"/>
  <c r="P20" i="3"/>
  <c r="P21" i="3"/>
  <c r="P15" i="3"/>
  <c r="T57" i="3"/>
  <c r="T56" i="3" s="1"/>
  <c r="S56" i="3"/>
  <c r="AJ99" i="1"/>
  <c r="AJ85" i="1"/>
  <c r="O46" i="3"/>
  <c r="O47" i="3"/>
  <c r="O59" i="3"/>
  <c r="Q40" i="3" l="1"/>
  <c r="Q38" i="3"/>
  <c r="Q39" i="3" s="1"/>
  <c r="T23" i="3"/>
  <c r="T36" i="3"/>
  <c r="S23" i="3"/>
  <c r="S36" i="3"/>
  <c r="Q31" i="3"/>
  <c r="Q32" i="3"/>
  <c r="Q52" i="3"/>
  <c r="Q45" i="3"/>
  <c r="I65" i="284"/>
  <c r="I67" i="284"/>
  <c r="I68" i="284"/>
  <c r="I72" i="284"/>
  <c r="I73" i="284"/>
  <c r="I66" i="284"/>
  <c r="J59" i="284"/>
  <c r="P46" i="3"/>
  <c r="P47" i="3"/>
  <c r="P59" i="3"/>
  <c r="AJ86" i="1"/>
  <c r="R19" i="3"/>
  <c r="R25" i="3"/>
  <c r="R26" i="3"/>
  <c r="R70" i="3"/>
  <c r="R68" i="3" s="1"/>
  <c r="R49" i="3" s="1"/>
  <c r="R29" i="3"/>
  <c r="R30" i="3" s="1"/>
  <c r="R35" i="3" s="1"/>
  <c r="R37" i="3" s="1"/>
  <c r="S24" i="3"/>
  <c r="P16" i="3"/>
  <c r="P17" i="3"/>
  <c r="Q20" i="3"/>
  <c r="Q21" i="3"/>
  <c r="Q15" i="3"/>
  <c r="O64" i="3"/>
  <c r="O73" i="3" s="1"/>
  <c r="O93" i="3" s="1"/>
  <c r="O60" i="3"/>
  <c r="I79" i="3"/>
  <c r="I81" i="3"/>
  <c r="I86" i="3"/>
  <c r="I80" i="3"/>
  <c r="I82" i="3"/>
  <c r="I87" i="3"/>
  <c r="J73" i="3"/>
  <c r="R40" i="3" l="1"/>
  <c r="R38" i="3"/>
  <c r="R39" i="3" s="1"/>
  <c r="R31" i="3"/>
  <c r="R32" i="3"/>
  <c r="R52" i="3"/>
  <c r="R45" i="3"/>
  <c r="P64" i="3"/>
  <c r="P73" i="3" s="1"/>
  <c r="P93" i="3" s="1"/>
  <c r="P60" i="3"/>
  <c r="Q16" i="3"/>
  <c r="Q17" i="3"/>
  <c r="S19" i="3"/>
  <c r="S25" i="3"/>
  <c r="S26" i="3"/>
  <c r="S70" i="3"/>
  <c r="S68" i="3" s="1"/>
  <c r="S49" i="3" s="1"/>
  <c r="S29" i="3"/>
  <c r="S30" i="3" s="1"/>
  <c r="S35" i="3" s="1"/>
  <c r="S37" i="3" s="1"/>
  <c r="T24" i="3"/>
  <c r="R20" i="3"/>
  <c r="R21" i="3"/>
  <c r="R15" i="3"/>
  <c r="Q46" i="3"/>
  <c r="Q47" i="3"/>
  <c r="Q59" i="3"/>
  <c r="AJ100" i="1"/>
  <c r="J79" i="284"/>
  <c r="J61" i="284"/>
  <c r="J75" i="3"/>
  <c r="J93" i="3"/>
  <c r="AJ87" i="1"/>
  <c r="S40" i="3" l="1"/>
  <c r="S38" i="3"/>
  <c r="S39" i="3" s="1"/>
  <c r="S31" i="3"/>
  <c r="S32" i="3"/>
  <c r="S52" i="3"/>
  <c r="S45" i="3"/>
  <c r="AJ89" i="1"/>
  <c r="T79" i="284"/>
  <c r="T80" i="284" s="1"/>
  <c r="E81" i="284"/>
  <c r="S20" i="3"/>
  <c r="S21" i="3"/>
  <c r="S15" i="3"/>
  <c r="T49" i="3"/>
  <c r="K75" i="3"/>
  <c r="J76" i="3"/>
  <c r="J83" i="3"/>
  <c r="AD98" i="3" s="1"/>
  <c r="J84" i="3"/>
  <c r="AD99" i="3" s="1"/>
  <c r="J79" i="3"/>
  <c r="J81" i="3"/>
  <c r="J80" i="3"/>
  <c r="J87" i="3"/>
  <c r="J82" i="3"/>
  <c r="J86" i="3"/>
  <c r="AJ101" i="1"/>
  <c r="Q64" i="3"/>
  <c r="Q73" i="3" s="1"/>
  <c r="Q93" i="3" s="1"/>
  <c r="Q60" i="3"/>
  <c r="R16" i="3"/>
  <c r="R17" i="3"/>
  <c r="T30" i="3"/>
  <c r="T35" i="3" s="1"/>
  <c r="T37" i="3" s="1"/>
  <c r="T19" i="3"/>
  <c r="T25" i="3"/>
  <c r="T26" i="3"/>
  <c r="T70" i="3"/>
  <c r="T68" i="3" s="1"/>
  <c r="T29" i="3"/>
  <c r="J62" i="284"/>
  <c r="K61" i="284"/>
  <c r="J70" i="284"/>
  <c r="J69" i="284"/>
  <c r="J66" i="284"/>
  <c r="J67" i="284"/>
  <c r="J68" i="284"/>
  <c r="J72" i="284"/>
  <c r="J65" i="284"/>
  <c r="J73" i="284"/>
  <c r="R46" i="3"/>
  <c r="R47" i="3"/>
  <c r="R59" i="3"/>
  <c r="T40" i="3" l="1"/>
  <c r="T38" i="3"/>
  <c r="T39" i="3" s="1"/>
  <c r="K62" i="284"/>
  <c r="L61" i="284"/>
  <c r="K69" i="284"/>
  <c r="K70" i="284"/>
  <c r="K67" i="284"/>
  <c r="K72" i="284"/>
  <c r="K73" i="284"/>
  <c r="K68" i="284"/>
  <c r="K65" i="284"/>
  <c r="K66" i="284"/>
  <c r="T20" i="3"/>
  <c r="T21" i="3"/>
  <c r="T15" i="3"/>
  <c r="T31" i="3"/>
  <c r="T32" i="3"/>
  <c r="T52" i="3"/>
  <c r="T45" i="3"/>
  <c r="S16" i="3"/>
  <c r="S17" i="3"/>
  <c r="AJ105" i="1"/>
  <c r="L75" i="3"/>
  <c r="K76" i="3"/>
  <c r="K84" i="3"/>
  <c r="AE99" i="3" s="1"/>
  <c r="K83" i="3"/>
  <c r="K86" i="3"/>
  <c r="K79" i="3"/>
  <c r="K81" i="3"/>
  <c r="K87" i="3"/>
  <c r="K80" i="3"/>
  <c r="K82" i="3"/>
  <c r="S46" i="3"/>
  <c r="S59" i="3"/>
  <c r="S47" i="3"/>
  <c r="R64" i="3"/>
  <c r="R73" i="3" s="1"/>
  <c r="R93" i="3" s="1"/>
  <c r="R60" i="3"/>
  <c r="L76" i="3" l="1"/>
  <c r="M75" i="3"/>
  <c r="L83" i="3"/>
  <c r="L84" i="3"/>
  <c r="AF99" i="3" s="1"/>
  <c r="L81" i="3"/>
  <c r="L80" i="3"/>
  <c r="L79" i="3"/>
  <c r="L82" i="3"/>
  <c r="L87" i="3"/>
  <c r="L86" i="3"/>
  <c r="T16" i="3"/>
  <c r="T17" i="3"/>
  <c r="AJ112" i="1"/>
  <c r="M61" i="284"/>
  <c r="L62" i="284"/>
  <c r="L70" i="284"/>
  <c r="L69" i="284"/>
  <c r="L73" i="284"/>
  <c r="L67" i="284"/>
  <c r="L72" i="284"/>
  <c r="L65" i="284"/>
  <c r="L66" i="284"/>
  <c r="L68" i="284"/>
  <c r="T59" i="3"/>
  <c r="T47" i="3"/>
  <c r="T46" i="3"/>
  <c r="S60" i="3"/>
  <c r="S64" i="3"/>
  <c r="S73" i="3" s="1"/>
  <c r="AK84" i="1" l="1"/>
  <c r="AJ113" i="1"/>
  <c r="S91" i="3"/>
  <c r="S93" i="3" s="1"/>
  <c r="T60" i="3"/>
  <c r="T64" i="3"/>
  <c r="T73" i="3" s="1"/>
  <c r="N61" i="284"/>
  <c r="M62" i="284"/>
  <c r="M69" i="284"/>
  <c r="M70" i="284"/>
  <c r="M66" i="284"/>
  <c r="M68" i="284"/>
  <c r="M65" i="284"/>
  <c r="M67" i="284"/>
  <c r="M72" i="284"/>
  <c r="M73" i="284"/>
  <c r="M76" i="3"/>
  <c r="N75" i="3"/>
  <c r="M84" i="3"/>
  <c r="M83" i="3"/>
  <c r="M87" i="3"/>
  <c r="M80" i="3"/>
  <c r="M86" i="3"/>
  <c r="M82" i="3"/>
  <c r="M79" i="3"/>
  <c r="M81" i="3"/>
  <c r="O61" i="284" l="1"/>
  <c r="N62" i="284"/>
  <c r="N70" i="284"/>
  <c r="N69" i="284"/>
  <c r="N66" i="284"/>
  <c r="N67" i="284"/>
  <c r="N72" i="284"/>
  <c r="N65" i="284"/>
  <c r="N73" i="284"/>
  <c r="N68" i="284"/>
  <c r="T93" i="3"/>
  <c r="T94" i="3" s="1"/>
  <c r="E95" i="3"/>
  <c r="N76" i="3"/>
  <c r="O75" i="3"/>
  <c r="N83" i="3"/>
  <c r="N84" i="3"/>
  <c r="N82" i="3"/>
  <c r="N79" i="3"/>
  <c r="N87" i="3"/>
  <c r="N81" i="3"/>
  <c r="N86" i="3"/>
  <c r="N80" i="3"/>
  <c r="AK99" i="1"/>
  <c r="AK85" i="1"/>
  <c r="O76" i="3" l="1"/>
  <c r="P75" i="3"/>
  <c r="O84" i="3"/>
  <c r="O83" i="3"/>
  <c r="O82" i="3"/>
  <c r="O81" i="3"/>
  <c r="O87" i="3"/>
  <c r="O86" i="3"/>
  <c r="O79" i="3"/>
  <c r="O80" i="3"/>
  <c r="AK86" i="1"/>
  <c r="O62" i="284"/>
  <c r="P61" i="284"/>
  <c r="O69" i="284"/>
  <c r="O70" i="284"/>
  <c r="O68" i="284"/>
  <c r="O67" i="284"/>
  <c r="O73" i="284"/>
  <c r="O72" i="284"/>
  <c r="O66" i="284"/>
  <c r="O65" i="284"/>
  <c r="AK100" i="1" l="1"/>
  <c r="P76" i="3"/>
  <c r="Q75" i="3"/>
  <c r="P84" i="3"/>
  <c r="P83" i="3"/>
  <c r="P82" i="3"/>
  <c r="P79" i="3"/>
  <c r="P80" i="3"/>
  <c r="P87" i="3"/>
  <c r="P81" i="3"/>
  <c r="P86" i="3"/>
  <c r="AK87" i="1"/>
  <c r="P62" i="284"/>
  <c r="Q61" i="284"/>
  <c r="P70" i="284"/>
  <c r="P69" i="284"/>
  <c r="P65" i="284"/>
  <c r="P66" i="284"/>
  <c r="P67" i="284"/>
  <c r="P68" i="284"/>
  <c r="P73" i="284"/>
  <c r="P72" i="284"/>
  <c r="Q62" i="284" l="1"/>
  <c r="R61" i="284"/>
  <c r="Q69" i="284"/>
  <c r="Q70" i="284"/>
  <c r="Q67" i="284"/>
  <c r="Q72" i="284"/>
  <c r="Q68" i="284"/>
  <c r="Q66" i="284"/>
  <c r="Q65" i="284"/>
  <c r="Q73" i="284"/>
  <c r="Q76" i="3"/>
  <c r="R75" i="3"/>
  <c r="Q84" i="3"/>
  <c r="Q83" i="3"/>
  <c r="Q86" i="3"/>
  <c r="Q79" i="3"/>
  <c r="Q82" i="3"/>
  <c r="Q87" i="3"/>
  <c r="Q81" i="3"/>
  <c r="Q80" i="3"/>
  <c r="AK89" i="1"/>
  <c r="AK101" i="1"/>
  <c r="AK105" i="1" l="1"/>
  <c r="R76" i="3"/>
  <c r="S75" i="3"/>
  <c r="R84" i="3"/>
  <c r="R83" i="3"/>
  <c r="R81" i="3"/>
  <c r="R82" i="3"/>
  <c r="R80" i="3"/>
  <c r="R86" i="3"/>
  <c r="R87" i="3"/>
  <c r="R79" i="3"/>
  <c r="R62" i="284"/>
  <c r="S61" i="284"/>
  <c r="R70" i="284"/>
  <c r="R69" i="284"/>
  <c r="R68" i="284"/>
  <c r="R65" i="284"/>
  <c r="R67" i="284"/>
  <c r="R66" i="284"/>
  <c r="R72" i="284"/>
  <c r="R73" i="284"/>
  <c r="S62" i="284" l="1"/>
  <c r="T61" i="284"/>
  <c r="S69" i="284"/>
  <c r="S70" i="284"/>
  <c r="S65" i="284"/>
  <c r="S66" i="284"/>
  <c r="S67" i="284"/>
  <c r="S73" i="284"/>
  <c r="S72" i="284"/>
  <c r="S68" i="284"/>
  <c r="S76" i="3"/>
  <c r="T75" i="3"/>
  <c r="S83" i="3"/>
  <c r="S84" i="3"/>
  <c r="S86" i="3"/>
  <c r="S81" i="3"/>
  <c r="S79" i="3"/>
  <c r="S80" i="3"/>
  <c r="S87" i="3"/>
  <c r="S82" i="3"/>
  <c r="AK112" i="1"/>
  <c r="T76" i="3" l="1"/>
  <c r="T84" i="3"/>
  <c r="T83" i="3"/>
  <c r="T81" i="3"/>
  <c r="T86" i="3"/>
  <c r="T79" i="3"/>
  <c r="T87" i="3"/>
  <c r="T80" i="3"/>
  <c r="T82" i="3"/>
  <c r="AL84" i="1"/>
  <c r="AK113" i="1"/>
  <c r="T62" i="284"/>
  <c r="T69" i="284"/>
  <c r="T70" i="284"/>
  <c r="T66" i="284"/>
  <c r="T67" i="284"/>
  <c r="T73" i="284"/>
  <c r="T68" i="284"/>
  <c r="T65" i="284"/>
  <c r="T72" i="284"/>
  <c r="AL99" i="1" l="1"/>
  <c r="AL85" i="1"/>
  <c r="AL86" i="1" l="1"/>
  <c r="AL87" i="1"/>
  <c r="AL89" i="1" l="1"/>
  <c r="AL100" i="1"/>
  <c r="AL101" i="1" l="1"/>
  <c r="AL105" i="1" l="1"/>
  <c r="AL112" i="1" l="1"/>
  <c r="AM84" i="1" l="1"/>
  <c r="AL113" i="1"/>
  <c r="AM99" i="1" l="1"/>
  <c r="AM85" i="1"/>
  <c r="AY84" i="1"/>
  <c r="AM86" i="1" l="1"/>
  <c r="AY85" i="1"/>
  <c r="AY99" i="1"/>
  <c r="AM100" i="1" l="1"/>
  <c r="AY86" i="1"/>
  <c r="AM87" i="1"/>
  <c r="AM89" i="1" l="1"/>
  <c r="AY87" i="1"/>
  <c r="AY89" i="1" s="1"/>
  <c r="AY100" i="1"/>
  <c r="AM101" i="1"/>
  <c r="AM105" i="1" l="1"/>
  <c r="AY101" i="1"/>
  <c r="AY105" i="1" l="1"/>
  <c r="AM112" i="1"/>
  <c r="AY112" i="1" l="1"/>
  <c r="AM113" i="1"/>
  <c r="AY113" i="1" s="1"/>
  <c r="L80" i="1"/>
  <c r="M80" i="1"/>
  <c r="N80" i="1"/>
  <c r="O80" i="1"/>
  <c r="AS80" i="1"/>
  <c r="L81" i="1"/>
  <c r="M81" i="1"/>
  <c r="N81" i="1"/>
  <c r="O81" i="1"/>
  <c r="AS81" i="1"/>
  <c r="L82" i="1"/>
  <c r="M82" i="1"/>
  <c r="N82" i="1"/>
  <c r="O82" i="1"/>
  <c r="AS82" i="1"/>
  <c r="L92" i="1"/>
  <c r="M92" i="1"/>
  <c r="N92" i="1"/>
  <c r="O92" i="1"/>
  <c r="AS92" i="1"/>
  <c r="L94" i="1"/>
  <c r="M94" i="1"/>
  <c r="N94" i="1"/>
  <c r="O94" i="1"/>
  <c r="AS94" i="1"/>
  <c r="L95" i="1"/>
  <c r="M95" i="1"/>
  <c r="N95" i="1"/>
  <c r="O95" i="1"/>
  <c r="AS95" i="1"/>
  <c r="L101" i="1"/>
  <c r="M101" i="1"/>
  <c r="N101" i="1"/>
  <c r="O101" i="1"/>
  <c r="AS101" i="1"/>
  <c r="AS104" i="1"/>
  <c r="L305" i="1"/>
  <c r="M305" i="1"/>
  <c r="N305" i="1"/>
  <c r="O305" i="1"/>
  <c r="AS305" i="1"/>
  <c r="L308" i="1"/>
  <c r="M308" i="1"/>
  <c r="N308" i="1"/>
  <c r="O308" i="1"/>
  <c r="AS308" i="1"/>
  <c r="D23" i="3"/>
  <c r="D24" i="3"/>
  <c r="E25" i="3"/>
  <c r="D26" i="3"/>
  <c r="E27" i="3"/>
  <c r="D30" i="3"/>
  <c r="E31" i="3"/>
  <c r="D32" i="3"/>
  <c r="D35" i="3"/>
  <c r="D36" i="3"/>
  <c r="D37" i="3"/>
  <c r="E38" i="3"/>
  <c r="E39" i="3"/>
  <c r="D40" i="3"/>
  <c r="D45" i="3"/>
  <c r="E46" i="3"/>
  <c r="D47" i="3"/>
  <c r="D52" i="3"/>
  <c r="D56" i="3"/>
  <c r="D57" i="3"/>
  <c r="D59" i="3"/>
  <c r="E60" i="3"/>
  <c r="D63" i="3"/>
  <c r="D81" i="3"/>
  <c r="D82" i="3"/>
  <c r="D83" i="3"/>
  <c r="D84" i="3"/>
  <c r="X99" i="3"/>
  <c r="D14" i="284"/>
  <c r="E15" i="284"/>
  <c r="D16" i="284"/>
  <c r="D18" i="284"/>
  <c r="E19" i="284"/>
  <c r="D20" i="284"/>
  <c r="E21" i="284"/>
  <c r="D24" i="284"/>
  <c r="E25" i="284"/>
  <c r="D26" i="284"/>
  <c r="D31" i="284"/>
  <c r="E32" i="284"/>
  <c r="D33" i="284"/>
  <c r="D38" i="284"/>
  <c r="D42" i="284"/>
  <c r="D43" i="284"/>
  <c r="D45" i="284"/>
  <c r="E46" i="284"/>
  <c r="D49" i="284"/>
  <c r="D67" i="284"/>
  <c r="D68" i="284"/>
  <c r="D69" i="284"/>
  <c r="D70" i="284"/>
  <c r="X85" i="2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Q142" authorId="0" shapeId="0" xr:uid="{CD78951A-BC12-45B3-9752-09A812BFEA57}">
      <text>
        <r>
          <rPr>
            <b/>
            <sz val="9"/>
            <color indexed="81"/>
            <rFont val="Tahoma"/>
            <family val="2"/>
          </rPr>
          <t>Alex Nicolau:</t>
        </r>
        <r>
          <rPr>
            <sz val="9"/>
            <color indexed="81"/>
            <rFont val="Tahoma"/>
            <family val="2"/>
          </rPr>
          <t xml:space="preserve">
per IR, 2Q21 10-Q says 1,969</t>
        </r>
      </text>
    </comment>
    <comment ref="R142" authorId="0" shapeId="0" xr:uid="{643D3E22-C75D-4AE1-B31E-5E80EC2F9BB8}">
      <text>
        <r>
          <rPr>
            <b/>
            <sz val="9"/>
            <color indexed="81"/>
            <rFont val="Tahoma"/>
            <family val="2"/>
          </rPr>
          <t>Alex Nicolau:</t>
        </r>
        <r>
          <rPr>
            <sz val="9"/>
            <color indexed="81"/>
            <rFont val="Tahoma"/>
            <family val="2"/>
          </rPr>
          <t xml:space="preserve">
restated in filing of S-1 in Nov '21, originally 2,117 per 3Q21 10-Q</t>
        </r>
      </text>
    </comment>
    <comment ref="V142" authorId="0" shapeId="0" xr:uid="{67AFE4ED-C1A4-4C16-9801-4BC27C370AF7}">
      <text>
        <r>
          <rPr>
            <b/>
            <sz val="9"/>
            <color indexed="81"/>
            <rFont val="Tahoma"/>
            <family val="2"/>
          </rPr>
          <t>Alex Nicolau:</t>
        </r>
        <r>
          <rPr>
            <sz val="9"/>
            <color indexed="81"/>
            <rFont val="Tahoma"/>
            <family val="2"/>
          </rPr>
          <t xml:space="preserve">
Restated in Nov '21 S-1 (2,480), originally 2,518 per 3Q21 10-Q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<sst xmlns="http://schemas.openxmlformats.org/spreadsheetml/2006/main" count="1398" uniqueCount="449">
  <si>
    <t>SEMR</t>
  </si>
  <si>
    <t>Financial Summary</t>
  </si>
  <si>
    <t>($ in mm)</t>
  </si>
  <si>
    <t>1Q19</t>
  </si>
  <si>
    <t>2Q19</t>
  </si>
  <si>
    <t>3Q19</t>
  </si>
  <si>
    <t>4Q19</t>
  </si>
  <si>
    <t>1Q20</t>
  </si>
  <si>
    <t>2Q20</t>
  </si>
  <si>
    <t>3Q20</t>
  </si>
  <si>
    <t>4Q20</t>
  </si>
  <si>
    <t>FY15</t>
  </si>
  <si>
    <t>FY16</t>
  </si>
  <si>
    <t>FY17</t>
  </si>
  <si>
    <t>FY18</t>
  </si>
  <si>
    <t>FY19</t>
  </si>
  <si>
    <t>FY20</t>
  </si>
  <si>
    <t>Revenue</t>
  </si>
  <si>
    <t>Y/Y % Change</t>
  </si>
  <si>
    <t>Net Revenue Added</t>
  </si>
  <si>
    <t>Margin</t>
  </si>
  <si>
    <t>S&amp;M</t>
  </si>
  <si>
    <t>R&amp;D</t>
  </si>
  <si>
    <t>G&amp;A</t>
  </si>
  <si>
    <t>SBC</t>
  </si>
  <si>
    <t>Total</t>
  </si>
  <si>
    <t>% of Revenue</t>
  </si>
  <si>
    <t>Interest</t>
  </si>
  <si>
    <t>Taxes</t>
  </si>
  <si>
    <t>Taxes @ 21%</t>
  </si>
  <si>
    <t>Interest and Other</t>
  </si>
  <si>
    <t>CRC EBIT</t>
  </si>
  <si>
    <t>CRC EBT</t>
  </si>
  <si>
    <t>CRC NI</t>
  </si>
  <si>
    <t>FCF</t>
  </si>
  <si>
    <t>Memo:</t>
  </si>
  <si>
    <t>D&amp;A</t>
  </si>
  <si>
    <t>CRC EBITDA</t>
  </si>
  <si>
    <t>Capex</t>
  </si>
  <si>
    <t>CRC EBITDA - Capex</t>
  </si>
  <si>
    <t>Recurring FCF</t>
  </si>
  <si>
    <t>Other</t>
  </si>
  <si>
    <t>Realized FCF</t>
  </si>
  <si>
    <t>Other (incl. NWC)</t>
  </si>
  <si>
    <t>Quarterly,</t>
  </si>
  <si>
    <t>FYE December 31,</t>
  </si>
  <si>
    <t>ARR</t>
  </si>
  <si>
    <t>ARR per Paying Customer ($)</t>
  </si>
  <si>
    <t>FY24e</t>
  </si>
  <si>
    <t>FY25e</t>
  </si>
  <si>
    <t>FY26e</t>
  </si>
  <si>
    <t>FY27e</t>
  </si>
  <si>
    <t>FY28e</t>
  </si>
  <si>
    <t>FY29e</t>
  </si>
  <si>
    <t>FY30e</t>
  </si>
  <si>
    <t>FY31e</t>
  </si>
  <si>
    <t>FY32e</t>
  </si>
  <si>
    <t>Incremental Margin</t>
  </si>
  <si>
    <t>Rate %</t>
  </si>
  <si>
    <t>n/m</t>
  </si>
  <si>
    <t>Net Debt</t>
  </si>
  <si>
    <t>/ LTM Adjusted EBITDA</t>
  </si>
  <si>
    <t>FCFE</t>
  </si>
  <si>
    <t>Cumulative FCFE</t>
  </si>
  <si>
    <t>% of Market Cap</t>
  </si>
  <si>
    <t>Basis Multiples</t>
  </si>
  <si>
    <t>P / Recurring FCF</t>
  </si>
  <si>
    <t>Ten-Year IRR</t>
  </si>
  <si>
    <t>Forward Multiple</t>
  </si>
  <si>
    <t>Terminal Value</t>
  </si>
  <si>
    <t>Cash Flows</t>
  </si>
  <si>
    <t>MOIC ==&gt;</t>
  </si>
  <si>
    <t>IRR</t>
  </si>
  <si>
    <t>Capitalization</t>
  </si>
  <si>
    <t>Value</t>
  </si>
  <si>
    <t>TEV</t>
  </si>
  <si>
    <t>(US$ in mm)</t>
  </si>
  <si>
    <t>Adjusted EBITDA</t>
  </si>
  <si>
    <t>EBITDA - Capex</t>
  </si>
  <si>
    <t>Total Debt</t>
  </si>
  <si>
    <t>Cash</t>
  </si>
  <si>
    <t>TEV / Revenue</t>
  </si>
  <si>
    <t>TEV / CRC EBITDA</t>
  </si>
  <si>
    <t>TEV / CRC EBITDA - Capex</t>
  </si>
  <si>
    <t>P / E</t>
  </si>
  <si>
    <t>TEV / Normalized FCF @ 45% Margin</t>
  </si>
  <si>
    <t>Equity (USD)</t>
  </si>
  <si>
    <t>Shares</t>
  </si>
  <si>
    <t>3Q21e</t>
  </si>
  <si>
    <t>4Q21e</t>
  </si>
  <si>
    <r>
      <rPr>
        <i/>
        <u/>
        <sz val="8"/>
        <color theme="1"/>
        <rFont val="Arial"/>
        <family val="2"/>
      </rPr>
      <t>Memo:</t>
    </r>
    <r>
      <rPr>
        <i/>
        <sz val="8"/>
        <color theme="1"/>
        <rFont val="Arial"/>
        <family val="2"/>
      </rPr>
      <t xml:space="preserve"> Capex / Sales</t>
    </r>
  </si>
  <si>
    <t>n/a</t>
  </si>
  <si>
    <t>1Q17</t>
  </si>
  <si>
    <t>2Q17</t>
  </si>
  <si>
    <t>3Q17</t>
  </si>
  <si>
    <t>4Q17</t>
  </si>
  <si>
    <t>1Q18</t>
  </si>
  <si>
    <t>2Q18</t>
  </si>
  <si>
    <t>3Q18</t>
  </si>
  <si>
    <t>4Q18</t>
  </si>
  <si>
    <t>Cost of revenue</t>
  </si>
  <si>
    <t>Gross profit</t>
  </si>
  <si>
    <t>Total operating expenses</t>
  </si>
  <si>
    <t>Sales and marketing</t>
  </si>
  <si>
    <t>Research and development</t>
  </si>
  <si>
    <t>General and administrative</t>
  </si>
  <si>
    <t>Income (loss) from operations</t>
  </si>
  <si>
    <t>Other expense, net</t>
  </si>
  <si>
    <t>Income (loss) before income taxes</t>
  </si>
  <si>
    <t>Provision for income taxes</t>
  </si>
  <si>
    <t>Net income (loss)</t>
  </si>
  <si>
    <t>Total stock-based compensation</t>
  </si>
  <si>
    <t>Revenue Detail</t>
  </si>
  <si>
    <t>MRR per Paying Customer ($)</t>
  </si>
  <si>
    <t>ARR, Ending</t>
  </si>
  <si>
    <t>Dollar-Based Net Retention Rate (LTM)</t>
  </si>
  <si>
    <t>Paying Customers, Ending</t>
  </si>
  <si>
    <t>Net Adds</t>
  </si>
  <si>
    <t>ARR per Paying Customer, Ending</t>
  </si>
  <si>
    <t>Net ARR Added</t>
  </si>
  <si>
    <t>ARR, Average</t>
  </si>
  <si>
    <t>Revenue Proxy</t>
  </si>
  <si>
    <t>x Adjustment Factor</t>
  </si>
  <si>
    <t>x Years in Period</t>
  </si>
  <si>
    <t>Net loss</t>
  </si>
  <si>
    <t>Depreciation and amortization expense</t>
  </si>
  <si>
    <t>Amortization of deferred contract costs</t>
  </si>
  <si>
    <t>Stock-based compensation expense</t>
  </si>
  <si>
    <t>Deferred taxes</t>
  </si>
  <si>
    <t>Changes in operating assets and liabilities</t>
  </si>
  <si>
    <t>Accounts receivable</t>
  </si>
  <si>
    <t>Deferred contract costs</t>
  </si>
  <si>
    <t>Prepaid expenses and other current assets</t>
  </si>
  <si>
    <t>Accounts payable</t>
  </si>
  <si>
    <t>Accrued expenses</t>
  </si>
  <si>
    <t>Deferred revenue</t>
  </si>
  <si>
    <t>Net cash provided by operating activities</t>
  </si>
  <si>
    <t>Purchases of property and equipment</t>
  </si>
  <si>
    <t>Capitalization of internal-use software development costs</t>
  </si>
  <si>
    <t>Cash paid for acquisition of business, net of cash acquired</t>
  </si>
  <si>
    <t>Net cash used in investing activities</t>
  </si>
  <si>
    <t>Proceeds from exercise of stock options</t>
  </si>
  <si>
    <t>Proceeds from issuance of Series A-1 Preferred Stock upon exercise of share purchase option</t>
  </si>
  <si>
    <t>Payment of credit facility costs</t>
  </si>
  <si>
    <t>Payment of deferred offering costs</t>
  </si>
  <si>
    <t>Net cash provided by (used in) financing activities</t>
  </si>
  <si>
    <t>Increase in cash, cash equivalents and restricted cash</t>
  </si>
  <si>
    <t>Balance Sheet</t>
  </si>
  <si>
    <t>Assets</t>
  </si>
  <si>
    <t>Current assets</t>
  </si>
  <si>
    <t>Cash and cash equivalents</t>
  </si>
  <si>
    <t>Deferred contract costs, current portion</t>
  </si>
  <si>
    <t>Total current assets</t>
  </si>
  <si>
    <t>Property and equipment, net</t>
  </si>
  <si>
    <t>Intangible assets, net</t>
  </si>
  <si>
    <t>Goodwill</t>
  </si>
  <si>
    <t>Deferred contract costs, net of current portion</t>
  </si>
  <si>
    <t>Other long-term assets</t>
  </si>
  <si>
    <t>Total assets</t>
  </si>
  <si>
    <t>Liabilities, redeemable convertible preferred stock and stockholders’ deficit</t>
  </si>
  <si>
    <t>Current liabilities</t>
  </si>
  <si>
    <t>Total current liabilities</t>
  </si>
  <si>
    <t>Deferred revenue, net of current portion</t>
  </si>
  <si>
    <t>Deferred tax liability</t>
  </si>
  <si>
    <t>Other long-term liabilities</t>
  </si>
  <si>
    <t>Total liabilities</t>
  </si>
  <si>
    <t>Total liabilities, redeemable convertible preferred stock, and stockholders' deficit</t>
  </si>
  <si>
    <t>Redeemable convertible preferred stock</t>
  </si>
  <si>
    <t>US</t>
  </si>
  <si>
    <t>International</t>
  </si>
  <si>
    <t>Total Revenue</t>
  </si>
  <si>
    <t>% of Total</t>
  </si>
  <si>
    <t>Accounts payable (incl. accrued expenses prior to FY19)</t>
  </si>
  <si>
    <t>Proceeds from issuance of Series A, Series A-1, and Series B Preferred Stock</t>
  </si>
  <si>
    <t xml:space="preserve">Effect of foreign exchange </t>
  </si>
  <si>
    <t>Foreign exchange loss</t>
  </si>
  <si>
    <r>
      <t>Cash Flow Statement</t>
    </r>
    <r>
      <rPr>
        <b/>
        <vertAlign val="superscript"/>
        <sz val="8"/>
        <color theme="1"/>
        <rFont val="Arial"/>
        <family val="2"/>
      </rPr>
      <t>1</t>
    </r>
  </si>
  <si>
    <t>Notes</t>
  </si>
  <si>
    <t>(1) Cash flow figures for FY17 and FY18 sourced from GS model.</t>
  </si>
  <si>
    <t>(1) Balance sheet figures for FY17 and FY18 sourced from GS model.</t>
  </si>
  <si>
    <t>Historical Financials</t>
  </si>
  <si>
    <t>Income Statement</t>
  </si>
  <si>
    <r>
      <t>Revenue</t>
    </r>
    <r>
      <rPr>
        <b/>
        <vertAlign val="superscript"/>
        <sz val="8"/>
        <color theme="1"/>
        <rFont val="Arial"/>
        <family val="2"/>
      </rPr>
      <t>1</t>
    </r>
  </si>
  <si>
    <t>(1) FY18 quarterly revenue figures sourced from GS model.</t>
  </si>
  <si>
    <t>Purchases of convertible debt securities</t>
  </si>
  <si>
    <t>Net proceeds from completing initial public offering</t>
  </si>
  <si>
    <r>
      <rPr>
        <i/>
        <u/>
        <sz val="8"/>
        <color theme="1"/>
        <rFont val="Arial"/>
        <family val="2"/>
      </rPr>
      <t>Memo:</t>
    </r>
    <r>
      <rPr>
        <i/>
        <sz val="8"/>
        <color theme="1"/>
        <rFont val="Arial"/>
        <family val="2"/>
      </rPr>
      <t xml:space="preserve"> Equity Issuance</t>
    </r>
  </si>
  <si>
    <t>1Q21</t>
  </si>
  <si>
    <t>Non-cash interest expense</t>
  </si>
  <si>
    <t>Payment of capital leases</t>
  </si>
  <si>
    <t>Other current liabilities</t>
  </si>
  <si>
    <t>2Q21</t>
  </si>
  <si>
    <t>Deposit on letter of credit</t>
  </si>
  <si>
    <t>3Q21</t>
  </si>
  <si>
    <t>Performance Analysis</t>
  </si>
  <si>
    <t>CRC</t>
  </si>
  <si>
    <t>Guid.</t>
  </si>
  <si>
    <t>Cons.</t>
  </si>
  <si>
    <t>Actual</t>
  </si>
  <si>
    <t>Actual vs.</t>
  </si>
  <si>
    <t>Non-GAAP Net Income</t>
  </si>
  <si>
    <t>4Q21</t>
  </si>
  <si>
    <t>CRC
Post-3Q</t>
  </si>
  <si>
    <t>CRC
Pre-3Q</t>
  </si>
  <si>
    <t>Guidance vs.</t>
  </si>
  <si>
    <t>Net Customer Adds***</t>
  </si>
  <si>
    <t>Customers***</t>
  </si>
  <si>
    <t>***The company historically excluded Prowly customers from customer growth metrics (unclear if they excluded Prowly customers from absolute customer figures), but it seems as though this is no longer the case. I'm not yet sure how this impacts customer growth and net adds in 3Q21. Company calculated customer growth was 23% in 3Q21, but our calculation suggests it was 24%. It's possible that the difference is due to rounding, or perhaps the company is including Prowly customers in the 3Q21 customer count figure while the figure we have for 3Q20 excludes Prowly customers.</t>
  </si>
  <si>
    <t>Revenue by Geography</t>
  </si>
  <si>
    <t>(2) FY17 and FY18 stock-based compensation expense sourced from GS model.</t>
  </si>
  <si>
    <r>
      <t>Stock-Based Compensation</t>
    </r>
    <r>
      <rPr>
        <b/>
        <u/>
        <vertAlign val="superscript"/>
        <sz val="8"/>
        <color theme="1"/>
        <rFont val="Arial"/>
        <family val="2"/>
      </rPr>
      <t>2</t>
    </r>
  </si>
  <si>
    <t>Depreciation and amortization</t>
  </si>
  <si>
    <r>
      <t>Stock-based compensation</t>
    </r>
    <r>
      <rPr>
        <vertAlign val="superscript"/>
        <sz val="8"/>
        <color theme="1"/>
        <rFont val="Arial"/>
        <family val="2"/>
      </rPr>
      <t>2</t>
    </r>
  </si>
  <si>
    <t>(1) FY17, FY18, 1Q19-3Q19 figures sourced from GS model.</t>
  </si>
  <si>
    <t>Sequential % Change</t>
  </si>
  <si>
    <t>&gt;72k</t>
  </si>
  <si>
    <t>&gt;76k</t>
  </si>
  <si>
    <t>USDRUB</t>
  </si>
  <si>
    <t>FY21</t>
  </si>
  <si>
    <t>Guidance Analysis</t>
  </si>
  <si>
    <t>Revenue Guidance</t>
  </si>
  <si>
    <t>Variance vs. Guidance</t>
  </si>
  <si>
    <t>Period</t>
  </si>
  <si>
    <t>End Date</t>
  </si>
  <si>
    <t>Low</t>
  </si>
  <si>
    <t>Mid</t>
  </si>
  <si>
    <t>High</t>
  </si>
  <si>
    <t>Average</t>
  </si>
  <si>
    <t>Median</t>
  </si>
  <si>
    <t>Non-GAAP NI Guidance</t>
  </si>
  <si>
    <t>NG NI</t>
  </si>
  <si>
    <t>Non-GAAP NI Margin Guidance</t>
  </si>
  <si>
    <t>NG NI Mar</t>
  </si>
  <si>
    <t>Non-GAAP Net Income Margin</t>
  </si>
  <si>
    <t>Implied Flow-Through</t>
  </si>
  <si>
    <t>Number of Paying Customers</t>
  </si>
  <si>
    <t>[A]</t>
  </si>
  <si>
    <t>[B]</t>
  </si>
  <si>
    <t>[C = A / B]</t>
  </si>
  <si>
    <r>
      <t>ARR</t>
    </r>
    <r>
      <rPr>
        <vertAlign val="superscript"/>
        <sz val="8"/>
        <color theme="1"/>
        <rFont val="Arial"/>
        <family val="2"/>
      </rPr>
      <t>(1)</t>
    </r>
  </si>
  <si>
    <r>
      <t>(/) ARR per Paying Customer</t>
    </r>
    <r>
      <rPr>
        <vertAlign val="superscript"/>
        <sz val="8"/>
        <color theme="1"/>
        <rFont val="Arial"/>
        <family val="2"/>
      </rPr>
      <t>(1)(2)</t>
    </r>
  </si>
  <si>
    <t>(1) According to Company filings.</t>
  </si>
  <si>
    <t>(2) 3Q21 ARR per Paying Customer figure provided by IR. Does not match figure cited in 10-Q ($2,351).</t>
  </si>
  <si>
    <r>
      <rPr>
        <i/>
        <u/>
        <sz val="8"/>
        <color theme="1"/>
        <rFont val="Arial"/>
        <family val="2"/>
      </rPr>
      <t>Memo:</t>
    </r>
    <r>
      <rPr>
        <i/>
        <sz val="8"/>
        <color theme="1"/>
        <rFont val="Arial"/>
        <family val="2"/>
      </rPr>
      <t xml:space="preserve"> M&amp;A</t>
    </r>
  </si>
  <si>
    <t>FY33e</t>
  </si>
  <si>
    <t>1Q22</t>
  </si>
  <si>
    <t>Exit costs</t>
  </si>
  <si>
    <t>Change in fair value of convertible debt securities</t>
  </si>
  <si>
    <t>Russia Exit Costs</t>
  </si>
  <si>
    <t>Non-GAAP Opex</t>
  </si>
  <si>
    <t>Non-GAAP Gross Profit</t>
  </si>
  <si>
    <t>2Q22</t>
  </si>
  <si>
    <t>FX</t>
  </si>
  <si>
    <t>Key Currencies</t>
  </si>
  <si>
    <t>CADUSD</t>
  </si>
  <si>
    <t>EURUSD</t>
  </si>
  <si>
    <t>GBPUSD</t>
  </si>
  <si>
    <t>USDCAD</t>
  </si>
  <si>
    <t>USDEUR</t>
  </si>
  <si>
    <t>USDGBP</t>
  </si>
  <si>
    <t>USDAUD</t>
  </si>
  <si>
    <t>AUDUSD</t>
  </si>
  <si>
    <t>USDJPY</t>
  </si>
  <si>
    <t>JPYUSD</t>
  </si>
  <si>
    <t>Start Date</t>
  </si>
  <si>
    <t>Amortization of deferred financing and debt issuance costs</t>
  </si>
  <si>
    <t>Loss on disposal of subsidiary</t>
  </si>
  <si>
    <t>Other non-current liabilities</t>
  </si>
  <si>
    <t>Proceeds from issuance of shares in connection with Employee Stock Purchase Plan</t>
  </si>
  <si>
    <t>3Q22</t>
  </si>
  <si>
    <t>&gt;79k</t>
  </si>
  <si>
    <t>&gt;82k</t>
  </si>
  <si>
    <t>&gt;87k</t>
  </si>
  <si>
    <t>&gt;91k</t>
  </si>
  <si>
    <t>&gt;94k</t>
  </si>
  <si>
    <t>&gt;17%</t>
  </si>
  <si>
    <t>~19%</t>
  </si>
  <si>
    <t>~18%</t>
  </si>
  <si>
    <t>~22%</t>
  </si>
  <si>
    <t>~23%</t>
  </si>
  <si>
    <t>Paying Customers, Ending (Press Release)</t>
  </si>
  <si>
    <t>Paying Customers excl. Prowly, Ending (Press Release)</t>
  </si>
  <si>
    <t>Paying Customers, Ending (#)</t>
  </si>
  <si>
    <r>
      <t>KPIs</t>
    </r>
    <r>
      <rPr>
        <b/>
        <u/>
        <vertAlign val="superscript"/>
        <sz val="8"/>
        <color theme="1"/>
        <rFont val="Arial"/>
        <family val="2"/>
      </rPr>
      <t>1</t>
    </r>
  </si>
  <si>
    <t>ARR - New</t>
  </si>
  <si>
    <t>ARR per Paying Customer - New</t>
  </si>
  <si>
    <t>S&amp;M Headcount - Y/Y % Change</t>
  </si>
  <si>
    <t>R&amp;D Headcount - Y/Y % Change</t>
  </si>
  <si>
    <t>G&amp;A Headcount - Y/Y % Change</t>
  </si>
  <si>
    <t>Y/Y $ Change</t>
  </si>
  <si>
    <t>S&amp;M - Advertising</t>
  </si>
  <si>
    <t>S&amp;M - Non-Advertising</t>
  </si>
  <si>
    <t>S&amp;M - Non-Advertising (GAAP)</t>
  </si>
  <si>
    <t>Billings</t>
  </si>
  <si>
    <t>Change in Deferred Revenue</t>
  </si>
  <si>
    <t>&gt;95k</t>
  </si>
  <si>
    <t>~16%</t>
  </si>
  <si>
    <t>4Q22</t>
  </si>
  <si>
    <t>Intangible asset impairment expense</t>
  </si>
  <si>
    <t>Non-cash lease expense</t>
  </si>
  <si>
    <t>Change in operating lease liability</t>
  </si>
  <si>
    <t>Purchases of short-term investments</t>
  </si>
  <si>
    <t>Short-term investments</t>
  </si>
  <si>
    <t>Current portion of operating lease liabilities</t>
  </si>
  <si>
    <t>Operating lease liabilities, net of current portion</t>
  </si>
  <si>
    <t>FY22</t>
  </si>
  <si>
    <t>Intangible asset impairment</t>
  </si>
  <si>
    <t>Paying Customers, Ending - New</t>
  </si>
  <si>
    <t>Quarterly Guidance</t>
  </si>
  <si>
    <t>Annual Guidance</t>
  </si>
  <si>
    <t>Date</t>
  </si>
  <si>
    <t>1Q23</t>
  </si>
  <si>
    <t>Operating lease right-of-use assets</t>
  </si>
  <si>
    <t>&gt;100k</t>
  </si>
  <si>
    <t>Non-cash income on investments</t>
  </si>
  <si>
    <t>Other non-cash items</t>
  </si>
  <si>
    <t>Proceeds from sales and maturities of short-term investments</t>
  </si>
  <si>
    <t>FY34e</t>
  </si>
  <si>
    <t>$/Share</t>
  </si>
  <si>
    <t>Simple Model [Case 1]</t>
  </si>
  <si>
    <t>Simple Model [Case 2]</t>
  </si>
  <si>
    <t>TEV / Normalized FCF @ 35% Margin</t>
  </si>
  <si>
    <t>TEV / Non-GAAP Gross Profit</t>
  </si>
  <si>
    <t>允䅁䍁䅑䅁允䅁䅁䅊噂䙁䅍䅒䉂䙁䅕䅒䅁䅁䄸䅁允䅁䅁䅊噂䙁䅍䅒䑂䕁䅅䅒䅁䉁䅍䅁允䅁䅁䅊噂䙁䅍䅒䙂䙁䅕杕䅁䅁䅁䅁允䅁䅁䅊噂䙁䅍䅒䡂䕁䅉䅕䅁䅁䅫䅁允䅁䅁䅊噂䙁䅍䅒䭂䙁䅁兗䅁䅁䅍䅁十䅁䅁免癁䑁䅅睌祁䑁䅁免ㅁ䅁䅁睈䅁䉁䅉䅁硁䍁䄸免癁䑁䅉䅍硁䑁䅣䅁䭁䅁䅁杆䅁䑁䅅杍癁䑁䅍免癁䑁䅉䅍硁䑁䅕䅁杁䅁䅁杆䅁䑁䅅杍癁䑁䅍免癁䑁䅉䅍硁䑁䅙䅁楁䅁䅁杆䅁䑁䅅杍癁䑁䅍免癁䑁䅉䅍硁䑁䅣䅁䕁䅁䅁杆䅁䑁䅅杍癁䑁䅍免癁䑁䅉䅍硁䑁䅧䅁佁䅁䅁杆䅁䑁䅅杍癁䑁䅍免癁䑁䅉䅍硁䑁䅫䅁坁䅁䅁杆䅁䑁䅅杍癁䑁䅍免癁䑁䅉䅍祁䑁䅁䅁允䅁䅁杆䅁䑁䅅杍癁䑁䅍免癁䑁䅉䅍祁䑁䅅䅁啁䅁䅁杆䅁䑁䅅杍癁䑁䅍免癁䑁䅉䅍祁䑁䅉䅁桁䅁䅁䅆䅁䑁䅍睌穁䑁䅅睌祁䑁䅁免㍁䅁䅁睃䅁䉁䅑䅁穁䍁䄸睍硁䍁䄸杍睁䑁䅅䅏䅁䉁䅅䅁啁䅁䅁睍癁䑁䅍免癁䑁䅉䅍硁䑁䅫䅁奁䅁䅁䅆䅁䑁䅍睌穁䑁䅅睌祁䑁䅁杍睁䅁䅁兂䅁䉁䅑䅁穁䍁䄸睍硁䍁䄸杍睁䑁䅉免䅁䉁䄰䅁啁䅁䅁睍癁䑁䅍免癁䑁䅉䅍祁䑁䅉䅁噁䅁䅁䅆䅁䑁䅍睌穁䑁䅅睌祁䑁䅁杍穁䅁䅁䅃䅁䉁䅑䅁㉁䍁䄸睍睁䍁䄸杍睁䑁䅅睎䅁䅁䄰䅁啁䅁䅁李癁䑁䅍䅍癁䑁䅉䅍硁䑁䅧䅁䡁䅁䅁䅆䅁䑁䅙睌穁䑁䅁睌祁䑁䅁免㕁䅁䅁兇䅁䉁䅑䅁㉁䍁䄸睍睁䍁䄸杍睁䑁䅉䅍䅁䉁䅳䅁啁䅁䅁李癁䑁䅍䅍癁䑁䅉䅍祁䑁䅅䅁十䅁䅁䅆䅁䑁䅙睌穁䑁䅁睌祁䑁䅁杍祁䅁䅁杂䅁䉁䅑䅁㉁䍁䄸睍睁䍁䄸杍睁䑁䅉睍䅁䍁䅍䅁啁䅁䅁兏癁䑁䅍䅍癁䑁䅉䅍硁䑁䅣䅁䍁䅁䅁䅆䅁䑁䅫睌穁䑁䅁睌祁䑁䅁免㑁䅁䅁䅄䅁䉁䅑䅁㕁䍁䄸睍睁䍁䄸杍睁䑁䅅兏䅁䉁䅯䅁啁䅁䅁兏癁䑁䅍䅍癁䑁䅉䅍祁䑁䅁䅁捁䅁䅁䅆䅁䑁䅫睌穁䑁䅁睌祁䑁䅁杍硁䅁䅁杈䅁䉁䅑䅁㕁䍁䄸睍睁䍁䄸杍睁䑁䅉杍䅁䉁䅣䅁楁䅁䅁兓剂䙁䄸䅔䉂䙁䅍䅖呂䕁䅅䅔䙂䙁䅁杕䩂䕁䅍兒䅁䅁䅅䅁䭁䅁䅁䍄䉁䅁䅁睁䅁䅁䅍䅚䅁䅁䅯元䅁䅁䅯允䅁䅁䅅䅁䉁䅁䅁兂湁湋体䑮じ睐杷允䅁䅁䅍䅁䑁䝁䅑䅁䭁䉁䅍䅁䭁䅁䅅䅁䉁䅁䅁允䅁䅁䅕捱牰ㄴㅦ稵䴸䅉䅅䅁䑁䅁䅁睁歂䅁䅁权偁䅁䅁权䉁䅁䅁允䅁䅁䅅䅁䙁䝁ㅉ湅卩畵⽕䍄䉁䅁䅁睁䅁䅁䅍䅚䅁䅁䅯䅁䅁䅁䅯允䅁䅁䅅䅁䉁䅁䅁兂㙄䥣坬䭁硈睐杷允䅁䅁䅍䅁䑁䝁䅑䅁䭁䅁䅍䅁䭁䅁䅅䅁䉁䅁䅁允䅁䅁䅕奸䡢歲根橦䴸䅉䅅䅁䙁䅁䅁睁湂䅁䅁权䩁䅁䅁权䉁䅁䅁兂䅁䅁䅁偉汶䅑䅯睉䅁䅁䅅䅁䉁䅁䅁兂捄瑭㥗癧穘睐杷允䅁䅁䅕䅁䑁䝁䅣䅁䭁䅁䄸䅁䭁䅁䅅䅁䙁䅁䅁䅁杁⬫䅖权橁䅁䅁允䅁䅁䅅䅁䙁䥁䅤畤瑎敡⽕䍄䉁䅁䅁兂䅁䅁䅍睚䅁䅁䅯䅁䅁䅁䅯允䅁䅁䅕䅁䅁䍁㝄唵䭁䍁䅍䅁䉁䅁䅁允䅁䅁䅕す呆漲住吸䴸䅉䅅䅁䙁䅁䅁睁湂䅁䅁权䑁䅁䅁权䉁䅁䅁兂䅁䅁䅁偉汶䅑䅯睉䅁䅁䅅䅁䉁䅁䅁兂噄湷搶䩤⭒睐杷允䅁䅁䅕䅁䑁䝁䅣䅁䭁䉁䅍䅁䭁䅁䅅䅁䙁䅁䅁䅁杁⬫䅖权橁䅁䅁允䅁䅁䅅䅁䙁䥁兺吷㕦併⽣</t>
  </si>
  <si>
    <t>&gt;104k</t>
  </si>
  <si>
    <t>2Q23</t>
  </si>
  <si>
    <t>3Q23</t>
  </si>
  <si>
    <t>FY23</t>
  </si>
  <si>
    <t>3Q24e</t>
  </si>
  <si>
    <t>4Q24e</t>
  </si>
  <si>
    <t>~106.8k</t>
  </si>
  <si>
    <t>Purchases of other investments</t>
  </si>
  <si>
    <t>4Q23</t>
  </si>
  <si>
    <t>Weighted average basic shares outstanding</t>
  </si>
  <si>
    <t>Weighted average diluted shares outstanding</t>
  </si>
  <si>
    <t>/ Shares</t>
  </si>
  <si>
    <t>CRC EPS</t>
  </si>
  <si>
    <t>Total stockholders’ equity</t>
  </si>
  <si>
    <t>Amortization (accretion) of premiums and discounts on investments</t>
  </si>
  <si>
    <t>~108k</t>
  </si>
  <si>
    <t>Restructuring and Other Costs</t>
  </si>
  <si>
    <t>Acquisition-Related Costs, Net</t>
  </si>
  <si>
    <t>FY35e</t>
  </si>
  <si>
    <t>FCF Build</t>
  </si>
  <si>
    <t>Non-GAAP Operating Income</t>
  </si>
  <si>
    <t>$</t>
  </si>
  <si>
    <t>FY24 Guidance</t>
  </si>
  <si>
    <t>D&amp;A (excl. Amort. of Acquired Intan.)</t>
  </si>
  <si>
    <t>Interest and Other Income</t>
  </si>
  <si>
    <t>Variance</t>
  </si>
  <si>
    <t>CRC FCF Estimate</t>
  </si>
  <si>
    <t>SEMR FCF Estimate</t>
  </si>
  <si>
    <r>
      <t>% of
Revenue</t>
    </r>
    <r>
      <rPr>
        <b/>
        <vertAlign val="superscript"/>
        <sz val="8"/>
        <color theme="1"/>
        <rFont val="Arial"/>
        <family val="2"/>
      </rPr>
      <t>1</t>
    </r>
  </si>
  <si>
    <t>(1) Revenue assumed to be $366m.</t>
  </si>
  <si>
    <t>~112k</t>
  </si>
  <si>
    <t>1Q24</t>
  </si>
  <si>
    <t>2Q24</t>
  </si>
  <si>
    <t>FY24</t>
  </si>
  <si>
    <t>Non-GAAP Operating Income Margin</t>
  </si>
  <si>
    <t>NG OI Mar</t>
  </si>
  <si>
    <t>Non-GAAP OI Margin Guidance</t>
  </si>
  <si>
    <t>NG OI</t>
  </si>
  <si>
    <t>Non-GAAP OI Guidance</t>
  </si>
  <si>
    <t>Registered Free Active Customers</t>
  </si>
  <si>
    <t>Customers Paying &gt;$10k Growth</t>
  </si>
  <si>
    <t>Amortization of Acquired Intangible Assets</t>
  </si>
  <si>
    <t>Total amortization of acquired intangible assets</t>
  </si>
  <si>
    <t>Total restructuring and other costs</t>
  </si>
  <si>
    <t>Total acquisition-related costs, net</t>
  </si>
  <si>
    <t>Non-GAAP EBIT</t>
  </si>
  <si>
    <t>D&amp;A (excl. Amortization of Acquired Intangible Assets)</t>
  </si>
  <si>
    <t>Restructuring and other costs</t>
  </si>
  <si>
    <t>Acquisition-related costs, net</t>
  </si>
  <si>
    <t>D&amp;A (excl. Amortization of Acquired Intangibles)</t>
  </si>
  <si>
    <r>
      <rPr>
        <i/>
        <u/>
        <sz val="8"/>
        <color theme="1"/>
        <rFont val="Arial"/>
        <family val="2"/>
      </rPr>
      <t>Memo:</t>
    </r>
    <r>
      <rPr>
        <i/>
        <sz val="8"/>
        <color theme="1"/>
        <rFont val="Arial"/>
        <family val="2"/>
      </rPr>
      <t xml:space="preserve"> SBC / Revenue</t>
    </r>
  </si>
  <si>
    <t>Net loss attributable to noncontrolling interest in consolidated subsidiaries</t>
  </si>
  <si>
    <t>Net income (loss) attributable to Semrush Holdings, Inc.</t>
  </si>
  <si>
    <t>Redeemable noncontrolling interest</t>
  </si>
  <si>
    <t>Total stockholders' equity attributable to Semrush Holdings, Inc.</t>
  </si>
  <si>
    <t>Noncontrolling interest in consolidated subsidiaries</t>
  </si>
  <si>
    <t>&gt;116k</t>
  </si>
  <si>
    <t>3Q24</t>
  </si>
  <si>
    <t>Brand24 ARR</t>
  </si>
  <si>
    <t>Y/Y % Change, Organic</t>
  </si>
  <si>
    <t>Sequential % Change, Organic</t>
  </si>
  <si>
    <t>Net Adds, Organic</t>
  </si>
  <si>
    <t>Ryte ARR</t>
  </si>
  <si>
    <t>Brand24 Revenue</t>
  </si>
  <si>
    <t>Ryte Revenue</t>
  </si>
  <si>
    <t>Brand24 Paying Customers</t>
  </si>
  <si>
    <t>Ryte Paying Customers</t>
  </si>
  <si>
    <t>ARR per Payign Customer</t>
  </si>
  <si>
    <t>Paying Customers</t>
  </si>
  <si>
    <t>Revneue Detail (cont.)</t>
  </si>
  <si>
    <t>Net Revenue Added, Organic</t>
  </si>
  <si>
    <t>Net ARR Added, Organic</t>
  </si>
  <si>
    <t>3Q25e</t>
  </si>
  <si>
    <t>4Q25e</t>
  </si>
  <si>
    <t>1Q25e</t>
  </si>
  <si>
    <t>2Q25e</t>
  </si>
  <si>
    <t>Y/Y % Change, Organic, cFX</t>
  </si>
  <si>
    <t>Ui5JUV9MQVNUU0FMRVBSSUNFLjQvMS8yMDE4LjYvMzAvMjAxOAEAAAAC7VoAAgAAABAxLjE5MTcwNzIxODUzODQ2AGABmSz5lt0IHrv2LPmW3QgyQ0lRQVZHLiRVU0RFVVIuSVFfTEFTVFNBTEVQUklDRS43LzEvMjAxOC45LzMwLzIwMTgBAAAAAu1aAAIAAAAQMS4xNjI3NzQwMTI1OTc4MwBgAZks+ZbdCB679iz5lt0INENJUUFWRy4kVVNERVVSLklRX0xBU1RTQUxFUFJJQ0UuMTAvMS8yMDE4LjEyLzMxLzIwMTgBAAAAAu1aAAIAAAAQMS4xNDA5ODMzMDE1MTA4NwBgAZks+ZbdCBXi9iz5lt0IMkNJUUFWRy4kVVNERVVSLklRX0xBU1RTQUxFUFJJQ0UuMS8xLzIwMTkuMy8zMS8yMDE5AQAAAALtWgACAAAAEDEuMTM1NTI1NTY2MDMzMzMAYAGZLPmW3QgV4vYs+ZbdCDJDSVFBVkcuJFVTREVVUi5JUV9MQVNUU0FMRVBSSUNFLjQvMS8yMDE5LjYvMzAvMjAxOQEAAAAC7VoAAgAAABAxLjEyMzgzNDIzMDc2OTIzAGABmSz5lt0ICQn3LPmW3QgyQ0lRQVZHLiRVU0RFVVIuSVFfTEFTVFNBTEVQUklDRS43LzEvMjAxOS45LzMwLzIwMTkBAAAAAu1aAAIAAAAQMS4xMTE3NzE5MTQ1OTc4MwBgAZks+ZbdCAkJ9yz5lt0INENJUUFWRy4kVVNERVVSLklRX0xBU1RTQUxFUFJJQ0UuMTAvMS8yMDE5LjEyLzMxLzIwMTkBAAAAAu1aAAIAAAAPMS4xMDczMDQxNTU4NTg3AGABmSz5lt0ICQn3LPmW3QgyQ0lRQVZHLiRVU0RF</t>
  </si>
  <si>
    <t>VVIuSVFfTEFTVFNBTEVQUklDRS4xLzEvMjAyMC4zLzMxLzIwMjABAAAAAu1aAAIAAAAQMS4xMDIzMjYxNTI0OTQ1MQBgAZks+ZbdCM7y9yz5lt0IMkNJUUFWRy4kVVNERVVSLklRX0xBU1RTQUxFUFJJQ0UuNC8xLzIwMjAuNi8zMC8yMDIwAQAAAALtWgACAAAAEDEuMTAxMjQ5NDQxMTIwODgAYAGZLPmW3Qgeu/Ys+ZbdCDJDSVFBVkcuJFVTREVVUi5JUV9MQVNUU0FMRVBSSUNFLjcvMS8yMDIwLjkvMzAvMjAyMAEAAAAC7VoAAgAAABAxLjE2ODkzMDk0MzUyMTc0AGABmSz5lt0IHrv2LPmW3Qg0Q0lRQVZHLiRVU0RFVVIuSVFfTEFTVFNBTEVQUklDRS4xMC8xLzIwMjAuMTIvMzEvMjAyMAEAAAAC7VoAAgAAABAxLjE5MjYyNzQ0NDgwNDM1AGABmSz5lt0IFeL2LPmW3QgyQ0lRQVZHLiRVU0RFVVIuSVFfTEFTVFNBTEVQUklDRS4xLzEvMjAyMS4zLzMxLzIwMjEBAAAAAu1aAAIAAAAMMS4yMDUyNTgzNjA4AGABmSz5lt0IFeL2LPmW3QgyQ0lRQVZHLiRVU0RFVVIuSVFfTEFTVFNBTEVQUklDRS40LzEvMjAyMS42LzMwLzIwMjEBAAAAAu1aAAIAAAAQMS4yMDQ3MTU2NTk1MDU0OQBgAZks+ZbdCBXi9iz5lt0IMkNJUUFWRy4kVVNERVVSLklRX0xBU1RTQUxFUFJJQ0UuNy8xLzIwMjEuOS8zMC8yMDIxAQAAAALtWgACAAAAEDEuMTc4OTMwOTU2Njk1NjUAYAGZLPmW3QgJCfcs+ZbdCDRDSVFBVkcuJFVTREVVUi5J</t>
  </si>
  <si>
    <t>UV9MQVNUU0FMRVBSSUNFLjEwLzEvMjAyMS4xMi8zMS8yMDIxAQAAAALtWgACAAAAEDEuMTQzNjMwNjk2MzA0MzUAYAGZLPmW3QgJCfcs+ZbdCDJDSVFBVkcuJFVTREVVUi5JUV9MQVNUU0FMRVBSSUNFLjEvMS8yMDIyLjMvMzEvMjAyMgEAAAAC7VoAAgAAABAxLjEyMjM2ODIyODYxMTExAGABmSz5lt0I1sv3LPmW3QgyQ0lRQVZHLiRVU0RFVVIuSVFfTEFTVFNBTEVQUklDRS40LzEvMjAyMi42LzMwLzIwMjIBAAAAAu1aAAIAAAAQMS4wNjUwODM3NDczODQ2MgBgAZks+ZbdCB679iz5lt0IMkNJUUFWRy4kVVNERVVSLklRX0xBU1RTQUxFUFJJQ0UuNy8xLzIwMjIuOS8zMC8yMDIyAQAAAALtWgACAAAADTEuMDA3OTc0NTE5MjUAYAGZLPmW3Qgeu/Ys+ZbdCDRDSVFBVkcuJFVTREVVUi5JUV9MQVNUU0FMRVBSSUNFLjEwLzEvMjAyMi4xMi8zMS8yMDIyAQAAAALtWgACAAAAEDEuMDIxMzA3MTA2NjMwNDMAYAGZLPmW3QgV4vYs+ZbdCDJDSVFBVkcuJFVTREVVUi5JUV9MQVNUU0FMRVBSSUNFLjEvMS8yMDIzLjMvMzEvMjAyMwEAAAAC7VoAAgAAABAxLjA3MjQ1MDAxNjQzMzMzAGABmSz5lt0IFeL2LPmW3QgyQ0lRQVZHLiRVU0RFVVIuSVFfTEFTVFNBTEVQUklDRS40LzEvMjAyMy42LzMwLzIwMjMBAAAAAu1aAAIAAAAQMS4wODg0OTUzNjYzMjk2NwBgAZks+ZbdCBXi9iz5lt0IMkNJUUFWRy4kVVNERVVSLklR</t>
  </si>
  <si>
    <t>X0xBU1RTQUxFUFJJQ0UuNy8xLzIwMjMuOS8zMC8yMDIzAQAAAALtWgACAAAAEDEuMDg4NDU3MjUwNjE5NTcAYAGZLPmW3QgJCfcs+ZbdCDRDSVFBVkcuJFVTREVVUi5JUV9MQVNUU0FMRVBSSUNFLjEwLzEvMjAyMy4xMi8zMS8yMDIzAQAAAALtWgACAAAAEDEuMDc2MzgxNDQwMDg2OTYAYAGZLPmW3QgJCfcs+ZbdCDJDSVFBVkcuJFVTREVVUi5JUV9MQVNUU0FMRVBSSUNFLjEvMS8yMDI0LjMvMzEvMjAyNAEAAAAC7VoAAgAAABAxLjA4NTU4NDAxNjg1NzE0AGABmSz5lt0IJiGRLfmW3QgyQ0lRQVZHLiRVU0RFVVIuSVFfTEFTVFNBTEVQUklDRS40LzEvMjAyNC42LzMwLzIwMjQBAAAAAu1aAAIAAAAQMS4wNzYzMzU2MjkxMjA4OABgAZks+ZbdCBX7kC35lt0IM0NJUUFWRy4kVVNERVVSLklRX0xBU1RTQUxFUFJJQ0UuMS8xLzIwMTUuMTIvMzEvMjAxNQEAAAAC7VoAAgAAABAxLjExMDI1Njc5NjgxNjQ0AGABmSz5lt0ITUb2LPmW3QgzQ0lRQVZHLiRVU0RFVVIuSVFfTEFTVFNBTEVQUklDRS4xLzEvMjAxNi4xMi8zMS8yMDE2AQAAAALtWgACAAAAEDEuMTA2NTk4NjYzMjc4NjkAYAGZLPmW3QjmOJAt+ZbdCDNDSVFBVkcuJFVTREVVUi5JUV9MQVNUU0FMRVBSSUNFLjEvMS8yMDE3LjEyLzMxLzIwMTcBAAAAAu1aAAIAAAAQMS4xMzAxMDI4MjA5MjMyOQBgAZks+ZbdCHBfkC35lt0IM0NJUUFWRy4kVVNERVVS</t>
  </si>
  <si>
    <t>LklRX0xBU1RTQUxFUFJJQ0UuMS8xLzIwMTguMTIvMzEvMjAxOAEAAAAC7VoAAgAAABAxLjE4MDgwNTIwMzIwNTQ4AGABmSz5lt0IEW+RLfmW3QgzQ0lRQVZHLiRVU0RFVVIuSVFfTEFTVFNBTEVQUklDRS4xLzEvMjAxOS4xMi8zMS8yMDE5AQAAAALtWgACAAAAEDEuMTE5NTEwMTc2NTA2ODUAYAGZLPmW3QgV+5At+ZbdCDNDSVFBVkcuJFVTREVVUi5JUV9MQVNUU0FMRVBSSUNFLjEvMS8yMDIwLjEyLzMxLzIwMjABAAAAAu1aAAIAAAAQMS4xNDE0OTkzMTg5NzU0MQBgAZks+ZbdCCnUkC35lt0IM0NJUUFWRy4kVVNERVVSLklRX0xBU1RTQUxFUFJJQ0UuMS8xLzIwMjEuMTIvMzEvMjAyMQEAAAAC7VoAAgAAABAxLjE4Mjk1MzU2MDQ0NjU4AGABmSz5lt0IKdSQLfmW3QgzQ0lRQVZHLiRVU0RFVVIuSVFfTEFTVFNBTEVQUklDRS4xLzEvMjAyMi4xMi8zMS8yMDIyAQAAAALtWgACAAAAEDEuMDUzNzc5OTIxMDA4MjIAYAGZLPmW3QjMrJAt+ZbdCDNDSVFBVkcuJFVTREVVUi5JUV9MQVNUU0FMRVBSSUNFLjEvMS8yMDIzLjEyLzMxLzIwMjMBAAAAAu1aAAIAAAAQMS4wODE0NzU5OTgyNDY1OABgAZks+ZbdCG69kS35lt0IMkNJUUFWRy4kVVNER0JQLklRX0xBU1RTQUxFUFJJQ0UuMS8xLzIwMTcuMy8zMS8yMDE3AQAAAALtWgACAAAAEDEuMjM4NjU0MTg5MDQ0NDQAYAGZLPmW3QhMH/Ys+ZbdCDJDSVFBVkcuJFVT</t>
  </si>
  <si>
    <t>REdCUC5JUV9MQVNUU0FMRVBSSUNFLjQvMS8yMDE3LjYvMzAvMjAxNwEAAAAC7VoAAgAAABAxLjI3OTAwNTIzNzkyMzA4AGABmSz5lt0IKdSQLfmW3QgyQ0lRQVZHLiRVU0RHQlAuSVFfTEFTVFNBTEVQUklDRS43LzEvMjAxNy45LzMwLzIwMTcBAAAAAu1aAAIAAAAQMS4zMDg2NjcxMTM3NzE3NABgAZks+ZbdCBFvkS35lt0INENJUUFWRy4kVVNER0JQLklRX0xBU1RTQUxFUFJJQ0UuMTAvMS8yMDE3LjEyLzMxLzIwMTcBAAAAAu1aAAIAAAAQMS4zMjczOTQwNzMwMTA4NwBgAZks+ZbdCB5IkS35lt0IMkNJUUFWRy4kVVNER0JQLklRX0xBU1RTQUxFUFJJQ0UuMS8xLzIwMTguMy8zMS8yMDE4AQAAAALtWgACAAAAEDEuMzkxMzQ4MjQ2OTg4ODkAYAGZLPmW3QgV+5At+ZbdCDJDSVFBVkcuJFVTREdCUC5JUV9MQVNUU0FMRVBSSUNFLjQvMS8yMDE4LjYvMzAvMjAxOAEAAAAC7VoAAgAAABAxLjM2MDc1NzIxNTM1MTY1AGABmSz5lt0IzKyQLfmW3QgyQ0lRQVZHLiRVU0RHQlAuSVFfTEFTVFNBTEVQUklDRS43LzEvMjAxOC45LzMwLzIwMTgBAAAAAu1aAAIAAAAQMS4zMDI5MjY3MDA2NjMwNABgAZks+ZbdCBaWkS35lt0INENJUUFWRy4kVVNER0JQLklRX0xBU1RTQUxFUFJJQ0UuMTAvMS8yMDE4LjEyLzMxLzIwMTgBAAAAAu1aAAIAAAAQMS4yODYzMDIzMDM3NzE3NABgAZks+ZbdCBaWkS35lt0IMkNJUUFWRy4k</t>
  </si>
  <si>
    <t>VVNER0JQLklRX0xBU1RTQUxFUFJJQ0UuMS8xLzIwMTkuMy8zMS8yMDE5AQAAAALtWgACAAAACzEuMzAyMDE4Mzk2AGABmSz5lt0IzKyQLfmW3QgyQ0lRQVZHLiRVU0RHQlAuSVFfTEFTVFNBTEVQUklDRS40LzEvMjAxOS42LzMwLzIwMTkBAAAAAu1aAAIAAAAQMS4yODUyNDkxMjg4NzkxMgBgAZks+ZbdCBFvkS35lt0IMkNJUUFWRy4kVVNER0JQLklRX0xBU1RTQUxFUFJJQ0UuNy8xLzIwMTkuOS8zMC8yMDE5AQAAAALtWgACAAAAEDEuMjMyODkyNjg0ODY5NTcAYAGZLPmW3QgeSJEt+ZbdCDRDSVFBVkcuJFVTREdCUC5JUV9MQVNUU0FMRVBSSUNFLjEwLzEvMjAxOS4xMi8zMS8yMDE5AQAAAALtWgACAAAAEDEuMjg4MDUzNTQ2MTYzMDQAYAGZLPmW3QgeSJEt+ZbdCDJDSVFBVkcuJFVTREdCUC5JUV9MQVNUU0FMRVBSSUNFLjEvMS8yMDIwLjMvMzEvMjAyMAEAAAAC7VoAAgAAAA8xLjI4MDYyNjkzMDgwMjIAYAGZLPmW3QgmIZEt+ZbdCDJDSVFBVkcuJFVTREdCUC5JUV9MQVNUU0FMRVBSSUNFLjQvMS8yMDIwLjYvMzAvMjAyMAEAAAAC7VoAAgAAABAxLjI0MDk2NTgwMTA3NjkyAGABmSz5lt0IJiGRLfmW3QgyQ0lRQVZHLiRVU0RHQlAuSVFfTEFTVFNBTEVQUklDRS43LzEvMjAyMC45LzMwLzIwMjABAAAAAu1aAAIAAAAQMS4yOTE3MTM2NDY0MTMwNABgAZks+ZbdCFWFkC35lt0INENJUUFWRy4kVVNER0JQ</t>
  </si>
  <si>
    <t>LklRX0xBU1RTQUxFUFJJQ0UuMTAvMS8yMDIwLjEyLzMxLzIwMjABAAAAAu1aAAIAAAAQMS4zMjEwNjU1OTQxMzA0MwBgAZks+ZbdCBaWkS35lt0IMkNJUUFWRy4kVVNER0JQLklRX0xBU1RTQUxFUFJJQ0UuMS8xLzIwMjEuMy8zMS8yMDIxAQAAAALtWgACAAAAEDEuMzc4NTYwMzY1NzQ0NDQAYAGZLPmW3QhwX5At+ZbdCDJDSVFBVkcuJFVTREdCUC5JUV9MQVNUU0FMRVBSSUNFLjQvMS8yMDIxLjYvMzAvMjAyMQEAAAAC7VoAAgAAABAxLjM5NzU5Nzc5MjA3NjkyAGABmSz5lt0I5jiQLfmW3QgyQ0lRQVZHLiRVU0RHQlAuSVFfTEFTVFNBTEVQUklDRS43LzEvMjAyMS45LzMwLzIwMjEBAAAAAu1aAAIAAAAQMS4zNzgzMjA2ODYyMDY1MgBgAZks+ZbdCB5IkS35lt0INENJUUFWRy4kVVNER0JQLklRX0xBU1RTQUxFUFJJQ0UuMTAvMS8yMDIxLjEyLzMxLzIwMjEBAAAAAu1aAAIAAAAQMS4zNDgwNTM5NTY1MzI2MQBgAZks+ZbdCCYhkS35lt0IMkNJUUFWRy4kVVNER0JQLklRX0xBU1RTQUxFUFJJQ0UuMS8xLzIwMjIuMy8zMS8yMDIyAQAAAALtWgACAAAAEDEuMzQxODMyNTA1OTU1NTYAYAGZLPmW3QhVhZAt+ZbdCDJDSVFBVkcuJFVTREdCUC5JUV9MQVNUU0FMRVBSSUNFLjQvMS8yMDIyLjYvMzAvMjAyMgEAAAAC7VoAAgAAABAxLjI1NjYzNjc5ODMwNzY5AGABmSz5lt0IVYWQLfmW3QgyQ0lRQVZHLiRVU0RH</t>
  </si>
  <si>
    <t>QlAuSVFfTEFTVFNBTEVQUklDRS43LzEvMjAyMi45LzMwLzIwMjIBAAAAAu1aAAIAAAAQMS4xNzc2MTQ2NjAxMzA0MwBgAZks+ZbdCFWFkC35lt0INENJUUFWRy4kVVNER0JQLklRX0xBU1RTQUxFUFJJQ0UuMTAvMS8yMDIyLjEyLzMxLzIwMjIBAAAAAu1aAAIAAAAQMS4xNzM4NDc3NTE4ODA0MwBgAZks+ZbdCPDjkS35lt0IMkNJUUFWRy4kVVNER0JQLklRX0xBU1RTQUxFUFJJQ0UuMS8xLzIwMjMuMy8zMS8yMDIzAQAAAALtWgACAAAAEDEuMjE0Mzc1OTIxNjg4ODkAYAGZLPmW3QhuvZEt+ZbdCDJDSVFBVkcuJFVTREdCUC5JUV9MQVNUU0FMRVBSSUNFLjQvMS8yMDIzLjYvMzAvMjAyMwEAAAAC7VoAAgAAABAxLjI1MTczMTU1NzE0Mjg2AGABmSz5lt0IEW+RLfmW3QgyQ0lRQVZHLiRVU0RHQlAuSVFfTEFTVFNBTEVQUklDRS43LzEvMjAyMy45LzMwLzIwMjMBAAAAAu1aAAIAAAAMMS4yNjYxNzU2ODA1AGABmSz5lt0IFpaRLfmW3Qg0Q0lRQVZHLiRVU0RHQlAuSVFfTEFTVFNBTEVQUklDRS4xMC8xLzIwMjMuMTIvMzEvMjAyMwEAAAAC7VoAAgAAABAxLjI0MTkzNTUzMzUzMjYxAGABmSz5lt0IFfuQLfmW3QgyQ0lRQVZHLiRVU0RHQlAuSVFfTEFTVFNBTEVQUklDRS4xLzEvMjAyNC4zLzMxLzIwMjQBAAAAAu1aAAIAAAAQMS4yNjgwNDkyNjk2MjYzNwBgAZks+ZbdCCnUkC35lt0IMkNJUUFWRy4kVVNER0JQ</t>
  </si>
  <si>
    <t>LklRX0xBU1RTQUxFUFJJQ0UuNC8xLzIwMjQuNi8zMC8yMDI0AQAAAALtWgACAAAAEDEuMjYxNTAxMDQ5ODEzMTkAYAGZLPmW3QjMrJAt+ZbdCDNDSVFBVkcuJFVTREdCUC5JUV9MQVNUU0FMRVBSSUNFLjEvMS8yMDE1LjEyLzMxLzIwMTUBAAAAAu1aAAIAAAAPMS41Mjg0MTk3MTE2MTM3AGABmSz5lt0IeoP1LPmW3QgzQ0lRQVZHLiRVU0RHQlAuSVFfTEFTVFNBTEVQUklDRS4xLzEvMjAxNi4xMi8zMS8yMDE2AQAAAALtWgACAAAAEDEuMzU1MDI3ODUzMDcxMDQAYAGZLPmW3Qi1ppIt+ZbdCDNDSVFBVkcuJFVTREdCUC5JUV9MQVNUU0FMRVBSSUNFLjEvMS8yMDE3LjEyLzMxLzIwMTcBAAAAAu1aAAIAAAAQMS4yODg3Mjg3MjAxMzQyNQBgAZks+ZbdCAALki35lt0IM0NJUUFWRy4kVVNER0JQLklRX0xBU1RTQUxFUFJJQ0UuMS8xLzIwMTguMTIvMzEvMjAxOAEAAAAC7VoAAgAAABAxLjMzNDk1NzAzMzUxNzgxAGABmSz5lt0IkhuTLfmW3QgzQ0lRQVZHLiRVU0RHQlAuSVFfTEFTVFNBTEVQUklDRS4xLzEvMjAxOS4xMi8zMS8yMDE5AQAAAALtWgACAAAAEDEuMjc2ODk0MTkwNzQ3OTUAYAGZLPmW3QjLWJIt+ZbdCDNDSVFBVkcuJFVTREdCUC5JUV9MQVNUU0FMRVBSSUNFLjEvMS8yMDIwLjEyLzMxLzIwMjABAAAAAu1aAAIAAAAPMS4yODM3MTc1NjQ4Mzg4AGABmSz5lt0ItaaSLfmW3QgzQ0lRQVZHLiRVU0RH</t>
  </si>
  <si>
    <t>QlAuSVFfTEFTVFNBTEVQUklDRS4xLzEvMjAyMS4xMi8zMS8yMDIxAQAAAALtWgACAAAAEDEuMzc1NTU2OTgzOTEyMzMAYAGZLPmW3QjZMZIt+ZbdCDNDSVFBVkcuJFVTREdCUC5JUV9MQVNUU0FMRVBSSUNFLjEvMS8yMDIyLjEyLzMxLzIwMjIBAAAAAu1aAAIAAAAQMS4yMzY4NTg2NzQyMTA5NgBgAZks+ZbdCKnNki35lt0IM0NJUUFWRy4kVVNER0JQLklRX0xBU1RTQUxFUFJJQ0UuMS8xLzIwMjMuMTIvMzEvMjAyMwEAAAAC7VoAAgAAABAxLjI0MzY5MjE1NDM2NDM4AGABmSz5lt0Ix3+SLfmW3QgyQ0lRQVZHLiRVU0RKUFkuSVFfTEFTVFNBTEVQUklDRS4xLzEvMjAxNy4zLzMxLzIwMTcBAAAAAu1aAAIAAAATMC4wMDg3OTU2NzQyODg4ODg4OQBgAZks+ZbdCKI29Sz5lt0IMkNJUUFWRy4kVVNESlBZLklRX0xBU1RTQUxFUFJJQ0UuNC8xLzIwMTcuNi8zMC8yMDE3AQAAAALtWgACAAAAEzAuMDA5MDAzODAyNzM2MjYzNzQAYAGZLPmW3QjHf5It+ZbdCDJDSVFBVkcuJFVTREpQWS5JUV9MQVNUU0FMRVBSSUNFLjcvMS8yMDE3LjkvMzAvMjAxNwEAAAAC7VoAAgAAABMwLjAwOTAxNjU4MzM5MTMwNDM1AGABmSz5lt0I8OORLfmW3Qg0Q0lRQVZHLiRVU0RKUFkuSVFfTEFTVFNBTEVQUklDRS4xMC8xLzIwMTcuMTIvMzEvMjAxNwEAAAAC7VoAAgAAABMwLjAwODg2MDE3NTkwMjE3MzkxAGABmSz5lt0Iqc2SLfmW</t>
  </si>
  <si>
    <t>3QgyQ0lRQVZHLiRVU0RKUFkuSVFfTEFTVFNBTEVQUklDRS4xLzEvMjAxOC4zLzMxLzIwMTgBAAAAAu1aAAIAAAATMC4wMDkyMzg5Mjk0ODg4ODg4OQBgAZks+ZbdCKz0ki35lt0IMkNJUUFWRy4kVVNESlBZLklRX0xBU1RTQUxFUFJJQ0UuNC8xLzIwMTguNi8zMC8yMDE4AQAAAALtWgACAAAAEjAuMDA5MTY0MTgzMjk2NzAzMwBgAZks+ZbdCMtYki35lt0IMkNJUUFWRy4kVVNESlBZLklRX0xBU1RTQUxFUFJJQ0UuNy8xLzIwMTguOS8zMC8yMDE4AQAAAALtWgACAAAAEzAuMDA4OTcwNzUwNjA4Njk1NjUAYAGZLPmW3QjZMZIt+ZbdCDRDSVFBVkcuJFVTREpQWS5JUV9MQVNUU0FMRVBSSUNFLjEwLzEvMjAxOC4xMi8zMS8yMDE4AQAAAALtWgACAAAAEjAuMDA4ODc1MTU4MDMyNjA4NwBgAZks+ZbdCM9Cky35lt0IMkNJUUFWRy4kVVNESlBZLklRX0xBU1RTQUxFUFJJQ0UuMS8xLzIwMTkuMy8zMS8yMDE5AQAAAALtWgACAAAAEzAuMDA5MDgwNDU4NDQ0NDQ0NDQAYAGZLPmW3Qi1ppIt+ZbdCDJDSVFBVkcuJFVTREpQWS5JUV9MQVNUU0FMRVBSSUNFLjQvMS8yMDE5LjYvMzAvMjAxOQEAAAAC7VoAAgAAABMwLjAwOTA5OTUxMjk1NjA0Mzk2AGABmSz5lt0Ix3+SLfmW3QgyQ0lRQVZHLiRVU0RKUFkuSVFfTEFTVFNBTEVQUklDRS43LzEvMjAxOS45LzMwLzIwMTkBAAAAAu1aAAIAAAATMC4wMDkzMjAyNzE5MjM5</t>
  </si>
  <si>
    <t>MTMwNABgAZks+ZbdCKz0ki35lt0INENJUUFWRy4kVVNESlBZLklRX0xBU1RTQUxFUFJJQ0UuMTAvMS8yMDE5LjEyLzMxLzIwMTkBAAAAAu1aAAIAAAATMC4wMDkxOTgwMDk1NzYwODY5NgBgAZks+ZbdCKz0ki35lt0IMkNJUUFWRy4kVVNESlBZLklRX0xBU1RTQUxFUFJJQ0UuMS8xLzIwMjAuMy8zMS8yMDIwAQAAAALtWgACAAAAEzAuMDA5MTc4MTg5NTA1NDk0NTEAYAGZLPmW3Qis9JIt+ZbdCDJDSVFBVkcuJFVTREpQWS5JUV9MQVNUU0FMRVBSSUNFLjQvMS8yMDIwLjYvMzAvMjAyMAEAAAAC7VoAAgAAABMwLjAwOTI5ODMwNjc5MTIwODc5AGABmSz5lt0Iy1iSLfmW3QgyQ0lRQVZHLiRVU0RKUFkuSVFfTEFTVFNBTEVQUklDRS43LzEvMjAyMC45LzMwLzIwMjABAAAAAu1aAAIAAAATMC4wMDk0MjM5MTcyNzE3MzkxMwBgAZks+ZbdCKnNki35lt0INENJUUFWRy4kVVNESlBZLklRX0xBU1RTQUxFUFJJQ0UuMTAvMS8yMDIwLjEyLzMxLzIwMjABAAAAAu1aAAIAAAATMC4wMDk1NzU0ODcyMTczOTEzMQBgAZks+ZbdCMtYki35lt0IMkNJUUFWRy4kVVNESlBZLklRX0xBU1RTQUxFUFJJQ0UuMS8xLzIwMjEuMy8zMS8yMDIxAQAAAALtWgACAAAAEzAuMDA5NDM1ODA2MjY2NjY2NjcAYAGZLPmW3QgAC5It+ZbdCDJDSVFBVkcuJFVTREpQWS5JUV9MQVNUU0FMRVBSSUNFLjQvMS8yMDIxLjYvMzAvMjAyMQEAAAAC</t>
  </si>
  <si>
    <t>7VoAAgAAABMwLjAwOTEzNjYzOTk0NTA1NDk0AGABmSz5lt0IAAuSLfmW3QgyQ0lRQVZHLiRVU0RKUFkuSVFfTEFTVFNBTEVQUklDRS43LzEvMjAyMS45LzMwLzIwMjEBAAAAAu1aAAIAAAATMC4wMDkwODI2MzgyMjgyNjA4NwBgAZks+ZbdCNkxki35lt0INENJUUFWRy4kVVNESlBZLklRX0xBU1RTQUxFUFJJQ0UuMTAvMS8yMDIxLjEyLzMxLzIwMjEBAAAAAu1aAAIAAAATMC4wMDg4MDE4MjY2MTk1NjUyMgBgAZks+ZbdCMd/ki35lt0IMkNJUUFWRy4kVVNESlBZLklRX0xBU1RTQUxFUFJJQ0UuMS8xLzIwMjIuMy8zMS8yMDIyAQAAAALtWgACAAAAEzAuMDA4NjA2ODc3MTg4ODg4ODkAYAGZLPmW3QipzZIt+ZbdCDJDSVFBVkcuJFVTREpQWS5JUV9MQVNUU0FMRVBSSUNFLjQvMS8yMDIyLjYvMzAvMjAyMgEAAAAC7VoAAgAAABIwLjAwNzcxOTE0OTYwNDM5NTYAYAGZLPmW3QjLWJIt+ZbdCDJDSVFBVkcuJFVTREpQWS5JUV9MQVNUU0FMRVBSSUNFLjcvMS8yMDIyLjkvMzAvMjAyMgEAAAAC7VoAAgAAABMwLjAwNzI0MTkxNjMxNTIxNzM5AGABmSz5lt0I2TGSLfmW3Qg0Q0lRQVZHLiRVU0RKUFkuSVFfTEFTVFNBTEVQUklDRS4xMC8xLzIwMjIuMTIvMzEvMjAyMgEAAAAC7VoAAgAAABMwLjAwNzA5MDg4NDMwNDM0NzgzAGABmSz5lt0Iqc2SLfmW3QgyQ0lRQVZHLiRVU0RKUFkuSVFfTEFTVFNBTEVQUklDRS4x</t>
  </si>
  <si>
    <t>LzEvMjAyMy4zLzMxLzIwMjMBAAAAAu1aAAIAAAATMC4wMDc1NTkwNzMwODg4ODg4OQBgAZks+ZbdCLWmki35lt0IMkNJUUFWRy4kVVNESlBZLklRX0xBU1RTQUxFUFJJQ0UuNC8xLzIwMjMuNi8zMC8yMDIzAQAAAALtWgACAAAAEjAuMDA3Mjg2MjQyODAyMTk3OABgAZks+ZbdCJIbky35lt0IMkNJUUFWRy4kVVNESlBZLklRX0xBU1RTQUxFUFJJQ0UuNy8xLzIwMjMuOS8zMC8yMDIzAQAAAALtWgACAAAAEjAuMDA2OTIyMjM3NzgyNjA4NwBgAZks+ZbdCMd/ki35lt0INENJUUFWRy4kVVNESlBZLklRX0xBU1RTQUxFUFJJQ0UuMTAvMS8yMDIzLjEyLzMxLzIwMjMBAAAAAu1aAAIAAAATMC4wMDY3NzQwNTI5MzQ3ODI2MQBgAZks+ZbdCPDjkS35lt0IMkNJUUFWRy4kVVNESlBZLklRX0xBU1RTQUxFUFJJQ0UuMS8xLzIwMjQuMy8zMS8yMDI0AQAAAALtWgACAAAAEzAuMDA2NzM2NjIxMjMwNzY5MjMAYAGZLPmW3Qhe3pMt+ZbdCDJDSVFBVkcuJFVTREpQWS5JUV9MQVNUU0FMRVBSSUNFLjQvMS8yMDI0LjYvMzAvMjAyNAEAAAAC7VoAAgAAABMwLjAwNjQxNTY1NDg0NjE1Mzg1AGABmSz5lt0IfWmTLfmW3QgzQ0lRQVZHLiRVU0RKUFkuSVFfTEFTVFNBTEVQUklDRS4xLzEvMjAxNS4xMi8zMS8yMDE1AQAAAALtWgACAAAAEjAuMDA4MjY0Mzg3NDczOTcyNgBgAZks+ZbdCEBk8Cz5lt0IM0NJUUFWRy4kVVNESlBZ</t>
  </si>
  <si>
    <t>LklRX0xBU1RTQUxFUFJJQ0UuMS8xLzIwMTYuMTIvMzEvMjAxNgEAAAAC7VoAAgAAABMwLjAwOTIxODk0OTYwNjU1NzM4AGABmSz5lt0Ic5CTLfmW3QgzQ0lRQVZHLiRVU0RKUFkuSVFfTEFTVFNBTEVQUklDRS4xLzEvMjAxNy4xMi8zMS8yMDE3AQAAAALtWgACAAAAEzAuMDA4OTE5NTAyOTg2MzAxMzcAYAGZLPmW3QhJLJQt+ZbdCDNDSVFBVkcuJFVTREpQWS5JUV9MQVNUU0FMRVBSSUNFLjEvMS8yMDE4LjEyLzMxLzIwMTgBAAAAAu1aAAIAAAATMC4wMDkwNjEwMDgwMjQ2NTc1MwBgAZks+ZbdCF7eky35lt0IM0NJUUFWRy4kVVNESlBZLklRX0xBU1RTQUxFUFJJQ0UuMS8xLzIwMTkuMTIvMzEvMjAxOQEAAAAC7VoAAgAAABMwLjAwOTE3NTI4NDQ4NDkzMTUxAGABmSz5lt0IfWmTLfmW3QgzQ0lRQVZHLiRVU0RKUFkuSVFfTEFTVFNBTEVQUklDRS4xLzEvMjAyMC4xMi8zMS8yMDIwAQAAAALtWgACAAAAEzAuMDA5MzY5Njg5NTUxOTEyNTcAYAGZLPmW3QhzkJMt+ZbdCDNDSVFBVkcuJFVTREpQWS5JUV9MQVNUU0FMRVBSSUNFLjEvMS8yMDIxLjEyLzMxLzIwMjEBAAAAAu1aAAIAAAATMC4wMDkxMTI0MDQyODc2NzEyMwBgAZks+ZbdCM9Cky35lt0IM0NJUUFWRy4kVVNESlBZLklRX0xBU1RTQUxFUFJJQ0UuMS8xLzIwMjIuMTIvMzEvMjAyMgEAAAAC7VoAAgAAABMwLjAwNzY1OTM5NTExNzgwODIyAGABmSz5</t>
  </si>
  <si>
    <t>lt0IkhuTLfmW3QgzQ0lRQVZHLiRVU0RKUFkuSVFfTEFTVFNBTEVQUklDRS4xLzEvMjAyMy4xMi8zMS8yMDIzAQAAAALtWgACAAAAEzAuMDA3MTMyNjY2OTAxMzY5ODYAYAGZLPmW3QhJLJQt+ZbdCDJDSVFBVkcuJFVTRENBRC5JUV9MQVNUU0FMRVBSSUNFLjEvMS8yMDE3LjMvMzEvMjAxNwEAAAAC7VoAAgAAABEwLjc1NTQ5OTA1Mjg3Nzc3OABgAZks+ZbdCEBk8Cz5lt0IMkNJUUFWRy4kVVNEQ0FELklRX0xBU1RTQUxFUFJJQ0UuNC8xLzIwMTcuNi8zMC8yMDE3AQAAAALtWgACAAAAETAuNzQzNDk2OTcxNzE0Mjg2AGABmSz5lt0IUwWULfmW3QgyQ0lRQVZHLiRVU0RDQUQuSVFfTEFTVFNBTEVQUklDRS43LzEvMjAxNy45LzMwLzIwMTcBAAAAAu1aAAIAAAARMC43OTgxMjkwOTY0NzgyNjEAYAGZLPmW3Qhe3pMt+ZbdCDRDSVFBVkcuJFVTRENBRC5JUV9MQVNUU0FMRVBSSUNFLjEwLzEvMjAxNy4xMi8zMS8yMDE3AQAAAALtWgACAAAAETAuNzg2OTYxMzY0MjE3MzkxAGABmSz5lt0IZLeTLfmW3QgyQ0lRQVZHLiRVU0RDQUQuSVFfTEFTVFNBTEVQUklDRS4xLzEvMjAxOC4zLzMxLzIwMTgBAAAAAu1aAAIAAAARMC43OTA4ODY1NDgyNDQ0NDQAYAGZLPmW3Qhkt5Mt+ZbdCDJDSVFBVkcuJFVTRENBRC5JUV9MQVNUU0FMRVBSSUNFLjQvMS8yMDE4LjYvMzAvMjAxOAEAAAAC7VoAAgAAABEwLjc3NDU2Nzg3MTA3</t>
  </si>
  <si>
    <t>NjkyMwBgAZks+ZbdCGS3ky35lt0IMkNJUUFWRy4kVVNEQ0FELklRX0xBU1RTQUxFUFJJQ0UuNy8xLzIwMTguOS8zMC8yMDE4AQAAAALtWgACAAAAETAuNzY1MTY0MTM0ODM2OTU3AGABmSz5lt0Ic5CTLfmW3Qg0Q0lRQVZHLiRVU0RDQUQuSVFfTEFTVFNBTEVQUklDRS4xMC8xLzIwMTguMTIvMzEvMjAxOAEAAAAC7VoAAgAAABEwLjc1NjYwNTcyMzc3MTczOQBgAZks+ZbdCEkslC35lt0IMkNJUUFWRy4kVVNEQ0FELklRX0xBU1RTQUxFUFJJQ0UuMS8xLzIwMTkuMy8zMS8yMDE5AQAAAALtWgACAAAAETAuNzUxOTc1NTY5Mzg4ODg5AGABmSz5lt0IPVOULfmW3QgyQ0lRQVZHLiRVU0RDQUQuSVFfTEFTVFNBTEVQUklDRS40LzEvMjAxOS42LzMwLzIwMTkBAAAAAu1aAAIAAAARMC43NDc1ODkxMjg3MzYyNjQAYAGZLPmW3QiSG5Mt+ZbdCDJDSVFBVkcuJFVTRENBRC5JUV9MQVNUU0FMRVBSSUNFLjcvMS8yMDE5LjkvMzAvMjAxOQEAAAAC7VoAAgAAABEwLjc1NzI4Mzc5ODgzNjk1NwBgAZks+ZbdCFMFlC35lt0INENJUUFWRy4kVVNEQ0FELklRX0xBU1RTQUxFUFJJQ0UuMTAvMS8yMDE5LjEyLzMxLzIwMTkBAAAAAu1aAAIAAAARMC43NTc2NTcwNzY4NDc4MjYAYAGZLPmW3QhzkJMt+ZbdCDJDSVFBVkcuJFVTRENBRC5JUV9MQVNUU0FMRVBSSUNFLjEvMS8yMDIwLjMvMzEvMjAyMAEAAAAC7VoAAgAAABEwLjc0</t>
  </si>
  <si>
    <t>NDkxMjM0Mjc5MTIwOQBgAZks+ZbdCM9Cky35lt0IMkNJUUFWRy4kVVNEQ0FELklRX0xBU1RTQUxFUFJJQ0UuNC8xLzIwMjAuNi8zMC8yMDIwAQAAAALtWgACAAAAETAuNzIxNDUyMDY2ODQ2MTU0AGABmSz5lt0IZLeTLfmW3QgyQ0lRQVZHLiRVU0RDQUQuSVFfTEFTVFNBTEVQUklDRS43LzEvMjAyMC45LzMwLzIwMjABAAAAAu1aAAIAAAARMC43NTA0NzAxNDk4OTEzMDQAYAGZLPmW3QjPQpMt+ZbdCDRDSVFBVkcuJFVTRENBRC5JUV9MQVNUU0FMRVBSSUNFLjEwLzEvMjAyMC4xMi8zMS8yMDIwAQAAAALtWgACAAAAETAuNzY3NTcwMDU2ODI2MDg3AGABmSz5lt0ISSyULfmW3QgyQ0lRQVZHLiRVU0RDQUQuSVFfTEFTVFNBTEVQUklDRS4xLzEvMjAyMS4zLzMxLzIwMjEBAAAAAu1aAAIAAAARMC43ODk2MTIyNTE0ODg4ODkAYAGZLPmW3QhJLJQt+ZbdCDJDSVFBVkcuJFVTRENBRC5JUV9MQVNUU0FMRVBSSUNFLjQvMS8yMDIxLjYvMzAvMjAyMQEAAAAC7VoAAgAAABEwLjgxNDA2MDUzOTEzMTg2OABgAZks+ZbdCF7eky35lt0IMkNJUUFWRy4kVVNEQ0FELklRX0xBU1RTQUxFUFJJQ0UuNy8xLzIwMjEuOS8zMC8yMDIxAQAAAALtWgACAAAAETAuNzk0MDQwNjAwNjk1NjUyAGABmSz5lt0IUwWULfmW3Qg0Q0lRQVZHLiRVU0RDQUQuSVFfTEFTVFNBTEVQUklDRS4xMC8xLzIwMjEuMTIvMzEvMjAyMQEAAAAC7VoA</t>
  </si>
  <si>
    <t>AgAAABEwLjc5MzQ1NTc1NTUzMjYwOQBgAZks+ZbdCGS3ky35lt0IMkNJUUFWRy4kVVNEQ0FELklRX0xBU1RTQUxFUFJJQ0UuMS8xLzIwMjIuMy8zMS8yMDIyAQAAAALtWgACAAAAETAuNzg5NTg1NTc5OTQ0NDQ0AGABmSz5lt0IfWmTLfmW3QgyQ0lRQVZHLiRVU0RDQUQuSVFfTEFTVFNBTEVQUklDRS40LzEvMjAyMi42LzMwLzIwMjIBAAAAAu1aAAIAAAARMC43ODMzOTExNjM1MTY0ODQAYAGZLPmW3QhzkJMt+ZbdCDJDSVFBVkcuJFVTRENBRC5JUV9MQVNUU0FMRVBSSUNFLjcvMS8yMDIyLjkvMzAvMjAyMgEAAAAC7VoAAgAAABEwLjc2NjUyODU4ODE1MjE3NABgAZks+ZbdCF7eky35lt0INENJUUFWRy4kVVNEQ0FELklRX0xBU1RTQUxFUFJJQ0UuMTAvMS8yMDIyLjEyLzMxLzIwMjIBAAAAAu1aAAIAAAARMC43MzY2MzM5NTU2OTU2NTIAYAGZLPmW3Qg9U5Qt+ZbdCDJDSVFBVkcuJFVTRENBRC5JUV9MQVNUU0FMRVBSSUNFLjEvMS8yMDIzLjMvMzEvMjAyMwEAAAAC7VoAAgAAABEwLjczOTM0MTExODg0NDQ0NABgAZks+ZbdCEkslC35lt0IMkNJUUFWRy4kVVNEQ0FELklRX0xBU1RTQUxFUFJJQ0UuNC8xLzIwMjMuNi8zMC8yMDIzAQAAAALtWgACAAAAETAuNzQ0Mzk1ODY2MzA3NjkyAGABmSz5lt0IUwWULfmW3QgyQ0lRQVZHLiRVU0RDQUQuSVFfTEFTVFNBTEVQUklDRS43LzEvMjAyMy45LzMwLzIwMjMB</t>
  </si>
  <si>
    <t>AAAAAu1aAAIAAAARMC43NDU2NTI4NjEzODA0MzUAYAGZLPmW3QhTBZQt+ZbdCDRDSVFBVkcuJFVTRENBRC5JUV9MQVNUU0FMRVBSSUNFLjEwLzEvMjAyMy4xMi8zMS8yMDIzAQAAAALtWgACAAAAETAuNzM1MDc0NjMwNTQzNDc4AGABmSz5lt0Ic5CTLfmW3QgyQ0lRQVZHLiRVU0RDQUQuSVFfTEFTVFNBTEVQUklDRS4xLzEvMjAyNC4zLzMxLzIwMjQBAAAAAu1aAAIAAAARMC43NDE3MTk4ODc4MTMxODcAYAGZLPmW3QhTBZQt+ZbdCDJDSVFBVkcuJFVTRENBRC5JUV9MQVNUU0FMRVBSSUNFLjQvMS8yMDI0LjYvMzAvMjAyNAEAAAAC7VoAAgAAABEwLjczMDgwMDk5MDYxNTM4NQBgAZks+ZbdCH1pky35lt0IM0NJUUFWRy4kVVNEQ0FELklRX0xBU1RTQUxFUFJJQ0UuMS8xLzIwMTUuMTIvMzEvMjAxNQEAAAAC7VoAAgAAABEwLjc4MzMyMzU4NDMzOTcyNgBgAZks+ZbdCDSM8Cz5lt0IM0NJUUFWRy4kVVNEQ0FELklRX0xBU1RTQUxFUFJJQ0UuMS8xLzIwMTYuMTIvMzEvMjAxNgEAAAAC7VoAAgAAABEwLjc1NTIyNzk1NzE2MzkzNABgAZks+ZbdCBvxlC35lt0IM0NJUUFWRy4kVVNEQ0FELklRX0xBU1RTQUxFUFJJQ0UuMS8xLzIwMTcuMTIvMzEvMjAxNwEAAAAC7VoAAgAAABEwLjc3MTE4MjA4NjQ5MDQxMQBgAZks+ZbdCCLKlC35lt0IM0NJUUFWRy4kVVNEQ0FELklRX0xBU1RTQUxFUFJJQ0UuMS8xLzIwMTgu</t>
  </si>
  <si>
    <t>MTIvMzEvMjAxOAEAAAAC7VoAAgAAABEwLjc3MTY5Mzk1MjMzNDI0NwBgAZks+ZbdCBvxlC35lt0IM0NJUUFWRy4kVVNEQ0FELklRX0xBU1RTQUxFUFJJQ0UuMS8xLzIwMTkuMTIvMzEvMjAxOQEAAAAC7VoAAgAAABEwLjc1MzY1MTk3OTUxNTA2OABgAZks+ZbdCBvxlC35lt0IM0NJUUFWRy4kVVNEQ0FELklRX0xBU1RTQUxFUFJJQ0UuMS8xLzIwMjAuMTIvMzEvMjAyMAEAAAAC7VoAAgAAABEwLjc0NjE3MTc0OTQzOTg5MQBgAZks+ZbdCDJ6lC35lt0IM0NJUUFWRy4kVVNEQ0FELklRX0xBU1RTQUxFUFJJQ0UuMS8xLzIwMjEuMTIvMzEvMjAyMQEAAAAC7VoAAgAAABEwLjc5Nzc5MjUzODI2ODQ5MwBgAZks+ZbdCDJ6lC35lt0IM0NJUUFWRy4kVVNEQ0FELklRX0xBU1RTQUxFUFJJQ0UuMS8xLzIwMjIuMTIvMzEvMjAyMgEAAAAC7VoAAgAAABEwLjc2ODg4Mjg4MjQ5MDQxMQBgAZks+ZbdCCLKlC35lt0IM0NJUUFWRy4kVVNEQ0FELklRX0xBU1RTQUxFUFJJQ0UuMS8xLzIwMjMuMTIvMzEvMjAyMwEAAAAC7VoAAgAAABEwLjc0MTExNjg1OTY5MDQxMQBgAZks+ZbdCCLKlC35lt0IMkNJUUFWRy4kVVNEQVVELklRX0xBU1RTQUxFUFJJQ0UuMS8xLzIwMTcuMy8zMS8yMDE3AQAAAALtWgACAAAAETAuNzU3NjIxODEyMDIyMjIyAGABmSz5lt0ImaLvLPmW3QgyQ0lRQVZHLiRVU0RBVUQuSVFfTEFTVFNBTEVQUklD</t>
  </si>
  <si>
    <t>RS40LzEvMjAxNy42LzMwLzIwMTcBAAAAAu1aAAIAAAARMC43NTA4OTA4NTUzODQ2MTUAYAGZLPmW3QgPGJUt+ZbdCDJDSVFBVkcuJFVTREFVRC5JUV9MQVNUU0FMRVBSSUNFLjcvMS8yMDE3LjkvMzAvMjAxNwEAAAAC7VoAAgAAABEwLjc4OTQwMjQ2NzA2NTIxNwBgAZks+ZbdCBvxlC35lt0INENJUUFWRy4kVVNEQVVELklRX0xBU1RTQUxFUFJJQ0UuMTAvMS8yMDE3LjEyLzMxLzIwMTcBAAAAAu1aAAIAAAARMC43Njg4Mzk3NDc5MzQ3ODMAYAGZLPmW3QgpoZQt+ZbdCDJDSVFBVkcuJFVTREFVRC5JUV9MQVNUU0FMRVBSSUNFLjEvMS8yMDE4LjMvMzEvMjAxOAEAAAAC7VoAAgAAABEwLjc4NTk1ODUyNDAzMzMzMwBgAZks+ZbdCCLKlC35lt0IMkNJUUFWRy4kVVNEQVVELklRX0xBU1RTQUxFUFJJQ0UuNC8xLzIwMTguNi8zMC8yMDE4AQAAAALtWgACAAAAETAuNzU2NzMzMDgyOTg5MDExAGABmSz5lt0IMnqULfmW3QgyQ0lRQVZHLiRVU0RBVUQuSVFfTEFTVFNBTEVQUklDRS43LzEvMjAxOC45LzMwLzIwMTgBAAAAAu1aAAIAAAARMC43MzE0NTM3NjIzNDc4MjYAYAGZLPmW3QgpoZQt+ZbdCDRDSVFBVkcuJFVTREFVRC5JUV9MQVNUU0FMRVBSSUNFLjEwLzEvMjAxOC4xMi8zMS8yMDE4AQAAAALtWgACAAAAETAuNzE3MDU0NjIwNzE3MzkxAGABmSz5lt0IPVOULfmW3QgyQ0lRQVZHLiRVU0RBVUQuSVFfTEFT</t>
  </si>
  <si>
    <t>VFNBTEVQUklDRS4xLzEvMjAxOS4zLzMxLzIwMTkBAAAAAu1aAAIAAAARMC43MTIzOTU3MzQ1MTExMTEAYAGZLPmW3QgPGJUt+ZbdCDJDSVFBVkcuJFVTREFVRC5JUV9MQVNUU0FMRVBSSUNFLjQvMS8yMDE5LjYvMzAvMjAxOQEAAAAC7VoAAgAAABEwLjcwMDE1Nzk2NTM3MzYyNgBgAZks+ZbdCLvIlC35lt0IMkNJUUFWRy4kVVNEQVVELklRX0xBU1RTQUxFUFJJQ0UuNy8xLzIwMTkuOS8zMC8yMDE5AQAAAALtWgACAAAAETAuNjg1NjM0ODM5OTM0NzgzAGABmSz5lt0IIsqULfmW3Qg0Q0lRQVZHLiRVU0RBVUQuSVFfTEFTVFNBTEVQUklDRS4xMC8xLzIwMTkuMTIvMzEvMjAxOQEAAAAC7VoAAgAAABEwLjY4Mzc5Nzc2NDU1NDM0OABgAZks+ZbdCBvxlC35lt0IMkNJUUFWRy4kVVNEQVVELklRX0xBU1RTQUxFUFJJQ0UuMS8xLzIwMjAuMy8zMS8yMDIwAQAAAALtWgACAAAAETAuNjU4Mjc1MTc5NDE3NTgyAGABmSz5lt0IKaGULfmW3QgyQ0lRQVZHLiRVU0RBVUQuSVFfTEFTVFNBTEVQUklDRS40LzEvMjAyMC42LzMwLzIwMjABAAAAAu1aAAIAAAARMC42NTY5NDYzODIxMjA4NzkAYAGZLPmW3QgiypQt+ZbdCDJDSVFBVkcuJFVTREFVRC5JUV9MQVNUU0FMRVBSSUNFLjcvMS8yMDIwLjkvMzAvMjAyMAEAAAAC7VoAAgAAABEwLjcxNDg2Nzg2MzkxMzA0MwBgAZks+ZbdCDJ6lC35lt0INENJUUFWRy4kVVNEQVVE</t>
  </si>
  <si>
    <t>LklRX0xBU1RTQUxFUFJJQ0UuMTAvMS8yMDIwLjEyLzMxLzIwMjABAAAAAu1aAAIAAAARMC43MzE2MTk2MjAyOTM0NzgAYAGZLPmW3Qg9U5Qt+ZbdCDJDSVFBVkcuJFVTREFVRC5JUV9MQVNUU0FMRVBSSUNFLjEvMS8yMDIxLjMvMzEvMjAyMQEAAAAC7VoAAgAAABEwLjc3MjQ2ODQ1NzY4ODg4OQBgAZks+ZbdCA8YlS35lt0IMkNJUUFWRy4kVVNEQVVELklRX0xBU1RTQUxFUFJJQ0UuNC8xLzIwMjEuNi8zMC8yMDIxAQAAAALtWgACAAAAETAuNzY5Nzc0NDAwNDcyNTI3AGABmSz5lt0IG/GULfmW3QgyQ0lRQVZHLiRVU0RBVUQuSVFfTEFTVFNBTEVQUklDRS43LzEvMjAyMS45LzMwLzIwMjEBAAAAAu1aAAIAAAARMC43MzQ4NDYwMzgxNDEzMDQAYAGZLPmW3QgPGJUt+ZbdCDRDSVFBVkcuJFVTREFVRC5JUV9MQVNUU0FMRVBSSUNFLjEwLzEvMjAyMS4xMi8zMS8yMDIxAQAAAALtWgACAAAAETAuNzI4NTQxODcxOTM0NzgzAGABmSz5lt0IMnqULfmW3QgyQ0lRQVZHLiRVU0RBVUQuSVFfTEFTVFNBTEVQUklDRS4xLzEvMjAyMi4zLzMxLzIwMjIBAAAAAu1aAAIAAAARMC43MjQzNTcxMjIwNTU1NTYAYAGZLPmW3Qg9U5Qt+ZbdCDJDSVFBVkcuJFVTREFVRC5JUV9MQVNUU0FMRVBSSUNFLjQvMS8yMDIyLjYvMzAvMjAyMgEAAAAC7VoAAgAAABEwLjcxNDY5MDAxODU4MjQxOABgAZks+ZbdCCmhlC35lt0IMkNJUUFW</t>
  </si>
  <si>
    <t>Ry4kVVNEQVVELklRX0xBU1RTQUxFUFJJQ0UuNy8xLzIwMjIuOS8zMC8yMDIyAQAAAALtWgACAAAAETAuNjgzODEyMTczMzI2MDg3AGABmSz5lt0IBT+VLfmW3Qg0Q0lRQVZHLiRVU0RBVUQuSVFfTEFTVFNBTEVQUklDRS4xMC8xLzIwMjIuMTIvMzEvMjAyMgEAAAAC7VoAAgAAABEwLjY1NzUyNTIzODYzMDQzNQBgAZks+ZbdCA8YlS35lt0IMkNJUUFWRy4kVVNEQVVELklRX0xBU1RTQUxFUFJJQ0UuMS8xLzIwMjMuMy8zMS8yMDIzAQAAAALtWgACAAAAETAuNjgzNTM1NjcxNjQ0NDQ0AGABmSz5lt0IDxiVLfmW3QgyQ0lRQVZHLiRVU0RBVUQuSVFfTEFTVFNBTEVQUklDRS40LzEvMjAyMy42LzMwLzIwMjMBAAAAAu1aAAIAAAARMC42Njc5OTU5NzYxODY4MTMAYAGZLPmW3QgpoZQt+ZbdCDJDSVFBVkcuJFVTREFVRC5JUV9MQVNUU0FMRVBSSUNFLjcvMS8yMDIzLjkvMzAvMjAyMwEAAAAC7VoAAgAAABEwLjY1NDkzMzU0ODA1NDM0OABgAZks+ZbdCDJ6lC35lt0INENJUUFWRy4kVVNEQVVELklRX0xBU1RTQUxFUFJJQ0UuMTAvMS8yMDIzLjEyLzMxLzIwMjMBAAAAAu1aAAIAAAAQMC42NTE2MzkyNTU5ODkxMwBgAZks+ZbdCCmhlC35lt0IMkNJUUFWRy4kVVNEQVVELklRX0xBU1RTQUxFUFJJQ0UuMS8xLzIwMjQuMy8zMS8yMDI0AQAAAALtWgACAAAAETAuNjU3NjMwMzc5MTc1ODI0AGABmSz5lt0I+mWVLfmW</t>
  </si>
  <si>
    <t>3QgyQ0lRQVZHLiRVU0RBVUQuSVFfTEFTVFNBTEVQUklDRS40LzEvMjAyNC42LzMwLzIwMjQBAAAAAu1aAAIAAAARMC42NTg5ODI2NzY2MTUzODUAYAGZLPmW3Qj6ZZUt+ZbdCDNDSVFBVkcuJFVTREFVRC5JUV9MQVNUU0FMRVBSSUNFLjEvMS8yMDE1LjEyLzMxLzIwMTUBAAAAAu1aAAIAAAARMC43NTIyODczNjUxMTIzMjkAYAGZLPmW3QihLO8s+ZbdCDNDSVFBVkcuJFVTREFVRC5JUV9MQVNUU0FMRVBSSUNFLjEvMS8yMDE2LjEyLzMxLzIwMTYBAAAAAu1aAAIAAAARMC43NDM3MDIxOTE2MjU2ODMAYAGZLPmW3QgFP5Ut+ZbdCDNDSVFBVkcuJFVTREFVRC5JUV9MQVNUU0FMRVBSSUNFLjEvMS8yMDE3LjEyLzMxLzIwMTcBAAAAAu1aAAIAAAARMC43NjY3ODE2ODQxMTUwNjkAYAGZLPmW3Qj6ZZUt+ZbdCDNDSVFBVkcuJFVTREFVRC5JUV9MQVNUU0FMRVBSSUNFLjEvMS8yMDE4LjEyLzMxLzIwMTgBAAAAAu1aAAIAAAAQMC43NDc1NjY0MzU0OTg2MwBgAZks+ZbdCPpllS35lt0IM0NJUUFWRy4kVVNEQVVELklRX0xBU1RTQUxFUFJJQ0UuMS8xLzIwMTkuMTIvMzEvMjAxOQEAAAAC7VoAAgAAABEwLjY5NTM5MTIwNzAzNTYxNgBgAZks+ZbdCPpllS35lt0IM0NJUUFWRy4kVVNEQVVELklRX0xBU1RTQUxFUFJJQ0UuMS8xLzIwMjAuMTIvMzEvMjAyMAEAAAAC7VoAAgAAABEwLjY5MDYwNjU4NjQ2NzIxMwBgAZks</t>
  </si>
  <si>
    <t>+ZbdCAU/lS35lt0IM0NJUUFWRy4kVVNEQVVELklRX0xBU1RTQUxFUFJJQ0UuMS8xLzIwMjEuMTIvMzEvMjAyMQEAAAAC7VoAAgAAABEwLjc1MTI0MTk3MDg1NDc5NABgAZks+ZbdCAU/lS35lt0IM0NJUUFWRy4kVVNEQVVELklRX0xBU1RTQUxFUFJJQ0UuMS8xLzIwMjIuMTIvMzEvMjAyMgEAAAAC7VoAAgAAABEwLjY5NDg4MjEyMjEyNjAyNwBgAZks+ZbdCPpllS35lt0IM0NJUUFWRy4kVVNEQVVELklRX0xBU1RTQUxFUFJJQ0UuMS8xLzIwMjMuMTIvMzEvMjAyMwEAAAAC7VoAAgAAABEwLjY2NDQxMjQ0NDUyODc2NwBgAZks+ZbdCAU/lS35lt0IM0NJUUFWRy4kUlVCVVNELklRX0xBU1RTQUxFUFJJQ0UuMS8xLzIwMjEuMTIvMzEvMjAyMQEAAACr7FoAAgAAABA3My42OTU0MTIwNTQ3OTQ1AGABmSz5lt0IjlPvLPmW3QgrQ0lRQVZHLiRVU0RBVUQuSVFfTEFTVFNBTEVQUklDRS4uMTIvMzEvMjAyMgUAAAABAAAACAAAABIoSW52YWxpZCBFbmQgRGF0ZSkELD8t+ZbdCAQsPy35lt0IK0NJUUFWRy4kVVNEQVVELklRX0xBU1RTQUxFUFJJQ0UuLjEyLzMxLzIwMTcFAAAAAQAAAAgAAAASKEludmFsaWQgRW5kIERhdGUpBCw/LfmW3QgELD8t+ZbdCCtDSVFBVkcuJFVTREFVRC5JUV9MQVNUU0FMRVBSSUNFLi4xMi8zMS8yMDE4BQAAAAEAAAAIAAAAEihJbnZhbGlkIEVuZCBEYXRlKQQsPy35lt0IBCw/LfmW3Qgq</t>
  </si>
  <si>
    <t>Q0lRQVZHLiRVU0RBVUQuSVFfTEFTVFNBTEVQUklDRS4uMy8zMS8yMDI0BQAAAAEAAAAIAAAAEihJbnZhbGlkIEVuZCBEYXRlKQQsPy35lt0IBCw/LfmW3QgrQ0lRQVZHLiRVU0RBVUQuSVFfTEFTVFNBTEVQUklDRS4uMTIvMzEvMjAyMQUAAAABAAAACAAAABIoSW52YWxpZCBFbmQgRGF0ZSkELD8t+ZbdCAQsPy35lt0IK0NJUUFWRy4kVVNEQVVELklRX0xBU1RTQUxFUFJJQ0UuLjEyLzMxLzIwMjMFAAAAAQAAAAgAAAASKEludmFsaWQgRW5kIERhdGUpBCw/LfmW3QgELD8t+ZbdCCpDSVFBVkcuJFVTREFVRC5JUV9MQVNUU0FMRVBSSUNFLi42LzMwLzIwMjQFAAAAAQAAAAgAAAASKEludmFsaWQgRW5kIERhdGUpBCw/LfmW3QgELD8t+ZbdCCtDSVFBVkcuJFVTREFVRC5JUV9MQVNUU0FMRVBSSUNFLi4xMi8zMS8yMDE5BQAAAAEAAAAIAAAAEihJbnZhbGlkIEVuZCBEYXRlKQQsPy35lt0IBCw/LfmW3QgrQ0lRQVZHLiRVU0RBVUQuSVFfTEFTVFNBTEVQUklDRS4uMTIvMzEvMjAxNgUAAAABAAAACAAAABIoSW52YWxpZCBFbmQgRGF0ZSkELD8t+ZbdCAQsPy35lt0IK0NJUUFWRy4kVVNEQVVELklRX0xBU1RTQUxFUFJJQ0UuLjEyLzMxLzIwMjAFAAAAAQAAAAgAAAASKEludmFsaWQgRW5kIERhdGUpBCw/LfmW3QgELD8t+ZbdCCpDSVFBVkcuJFVTREFVRC5JUV9MQVNUU0FMRVBSSUNFLi45LzMwLzIwMjQFAAAA</t>
  </si>
  <si>
    <t>AQAAAAgAAAASKEludmFsaWQgRW5kIERhdGUpBCw/LfmW3QgELD8t+ZbdCCpDSVFBVkcuJFVTREFVRC5JUV9MQVNUU0FMRVBSSUNFLi45LzMwLzIwMjIFAAAAAQAAAAgAAAASKEludmFsaWQgRW5kIERhdGUpBCw/LfmW3QgELD8t+ZbdCCpDSVFBVkcuJFVTREFVRC5JUV9MQVNUU0FMRVBSSUNFLi4zLzMxLzIwMjMFAAAAAQAAAAgAAAASKEludmFsaWQgRW5kIERhdGUpBCw/LfmW3QgELD8t+ZbdCCpDSVFBVkcuJFVTREFVRC5JUV9MQVNUU0FMRVBSSUNFLi4zLzMxLzIwMjEFAAAAAQAAAAgAAAASKEludmFsaWQgRW5kIERhdGUpBCw/LfmW3QgELD8t+ZbdCCpDSVFBVkcuJFVTREFVRC5JUV9MQVNUU0FMRVBSSUNFLi4zLzMxLzIwMTkFAAAAAQAAAAgAAAASKEludmFsaWQgRW5kIERhdGUpBCw/LfmW3QgELD8t+ZbdCCtDSVFBVkcuJFVTRENBRC5JUV9MQVNUU0FMRVBSSUNFLi4xMi8zMS8yMDE2BQAAAAEAAAAIAAAAEihJbnZhbGlkIEVuZCBEYXRlKQQsPy35lt0IBCw/LfmW3QgqQ0lRQVZHLiRVU0RBVUQuSVFfTEFTVFNBTEVQUklDRS4uNi8zMC8yMDIxBQAAAAEAAAAIAAAAEihJbnZhbGlkIEVuZCBEYXRlKQQsPy35lt0IBCw/LfmW3QgqQ0lRQVZHLiRVU0RBVUQuSVFfTEFTVFNBTEVQUklDRS4uNi8zMC8yMDE3BQAAAAEAAAAIAAAAEihJbnZhbGlkIEVuZCBEYXRlKQQsPy35lt0IBCw/LfmW3QgqQ0lRQVZH</t>
  </si>
  <si>
    <t>LiRVU0RBVUQuSVFfTEFTVFNBTEVQUklDRS4uOS8zMC8yMDIxBQAAAAEAAAAIAAAAEihJbnZhbGlkIEVuZCBEYXRlKQQsPy35lt0IBCw/LfmW3QgqQ0lRQVZHLiRVU0RBVUQuSVFfTEFTVFNBTEVQUklDRS4uOS8zMC8yMDE3BQAAAAEAAAAIAAAAEihJbnZhbGlkIEVuZCBEYXRlKQQsPy35lt0IBCw/LfmW3QgrQ0lRQVZHLiRVU0RDQUQuSVFfTEFTVFNBTEVQUklDRS4uMTIvMzEvMjAxOAUAAAABAAAACAAAABIoSW52YWxpZCBFbmQgRGF0ZSkELD8t+ZbdCAQsPy35lt0IK0NJUUFWRy4kVVNEQ0FELklRX0xBU1RTQUxFUFJJQ0UuLjEyLzMxLzIwMTkFAAAAAQAAAAgAAAASKEludmFsaWQgRW5kIERhdGUpBCw/LfmW3QgELD8t+ZbdCCpDSVFBVkcuJFVTREFVRC5JUV9MQVNUU0FMRVBSSUNFLi4zLzMxLzIwMTgFAAAAAQAAAAgAAAASKEludmFsaWQgRW5kIERhdGUpBCw/LfmW3QgELD8t+ZbdCCpDSVFBVkcuJFVTREFVRC5JUV9MQVNUU0FMRVBSSUNFLi42LzMwLzIwMjAFAAAAAQAAAAgAAAASKEludmFsaWQgRW5kIERhdGUpBCw/LfmW3QgELD8t+ZbdCCtDSVFBVkcuJFVTRENBRC5JUV9MQVNUU0FMRVBSSUNFLi4xMi8zMS8yMDIyBQAAAAEAAAAIAAAAEihJbnZhbGlkIEVuZCBEYXRlKQQsPy35lt0IBCw/LfmW3QgrQ0lRQVZHLiRVU0RDQUQuSVFfTEFTVFNBTEVQUklDRS4uMTIvMzEvMjAyMwUAAAABAAAACAAA</t>
  </si>
  <si>
    <t>ABIoSW52YWxpZCBFbmQgRGF0ZSkELD8t+ZbdCAQsPy35lt0IKkNJUUFWRy4kVVNEQVVELklRX0xBU1RTQUxFUFJJQ0UuLjYvMzAvMjAyMwUAAAABAAAACAAAABIoSW52YWxpZCBFbmQgRGF0ZSkELD8t+ZbdCAQsPy35lt0IKkNJUUFWRy4kVVNEQVVELklRX0xBU1RTQUxFUFJJQ0UuLjYvMzAvMjAxOQUAAAABAAAACAAAABIoSW52YWxpZCBFbmQgRGF0ZSkELD8t+ZbdCAQsPy35lt0IK0NJUUFWRy4kVVNEQ0FELklRX0xBU1RTQUxFUFJJQ0UuLjEyLzMxLzIwMTcFAAAAAQAAAAgAAAASKEludmFsaWQgRW5kIERhdGUpBCw/LfmW3QgELD8t+ZbdCCpDSVFBVkcuJFVTREFVRC5JUV9MQVNUU0FMRVBSSUNFLi45LzMwLzIwMTkFAAAAAQAAAAgAAAASKEludmFsaWQgRW5kIERhdGUpBCw/LfmW3QgELD8t+ZbdCCpDSVFBVkcuJFVTREFVRC5JUV9MQVNUU0FMRVBSSUNFLi4zLzMxLzIwMjAFAAAAAQAAAAgAAAASKEludmFsaWQgRW5kIERhdGUpBCw/LfmW3QgELD8t+ZbdCCpDSVFBVkcuJFVTREFVRC5JUV9MQVNUU0FMRVBSSUNFLi45LzMwLzIwMTgFAAAAAQAAAAgAAAASKEludmFsaWQgRW5kIERhdGUpBCw/LfmW3QgELD8t+ZbdCCpDSVFBVkcuJFVTREFVRC5JUV9MQVNUU0FMRVBSSUNFLi42LzMwLzIwMTgFAAAAAQAAAAgAAAASKEludmFsaWQgRW5kIERhdGUpBCw/LfmW3QgELD8t+ZbdCCpDSVFBVkcuJFVTREFV</t>
  </si>
  <si>
    <t>RC5JUV9MQVNUU0FMRVBSSUNFLi45LzMwLzIwMjMFAAAAAQAAAAgAAAASKEludmFsaWQgRW5kIERhdGUpBCw/LfmW3QgELD8t+ZbdCCpDSVFBVkcuJFVTREFVRC5JUV9MQVNUU0FMRVBSSUNFLi42LzMwLzIwMjIFAAAAAQAAAAgAAAASKEludmFsaWQgRW5kIERhdGUpBCw/LfmW3QgELD8t+ZbdCCtDSVFBVkcuJFVTRENBRC5JUV9MQVNUU0FMRVBSSUNFLi4xMi8zMS8yMDIxBQAAAAEAAAAIAAAAEihJbnZhbGlkIEVuZCBEYXRlKQQsPy35lt0IBCw/LfmW3QgqQ0lRQVZHLiRVU0RBVUQuSVFfTEFTVFNBTEVQUklDRS4uOS8zMC8yMDIwBQAAAAEAAAAIAAAAEihJbnZhbGlkIEVuZCBEYXRlKQQsPy35lt0IBCw/LfmW3QgrQ0lRQVZHLiRVU0RDQUQuSVFfTEFTVFNBTEVQUklDRS4uMTIvMzEvMjAyMAUAAAABAAAACAAAABIoSW52YWxpZCBFbmQgRGF0ZSkELD8t+ZbdCAQsPy35lt0IKkNJUUFWRy4kVVNEQVVELklRX0xBU1RTQUxFUFJJQ0UuLjMvMzEvMjAyMgUAAAABAAAACAAAABIoSW52YWxpZCBFbmQgRGF0ZSkELD8t+ZbdCAQsPy35lt0IKkNJUUFWRy4kVVNEQ0FELklRX0xBU1RTQUxFUFJJQ0UuLjkvMzAvMjAyNAUAAAABAAAACAAAABIoSW52YWxpZCBFbmQgRGF0ZSkELD8t+ZbdCAQsPy35lt0IK0NJUUFWRy4kVVNESlBZLklRX0xBU1RTQUxFUFJJQ0UuLjEyLzMxLzIwMjMFAAAAAQAAAAgAAAASKEludmFs</t>
  </si>
  <si>
    <t>aWQgRW5kIERhdGUpBCw/LfmW3QgELD8t+ZbdCCpDSVFBVkcuJFVTRENBRC5JUV9MQVNUU0FMRVBSSUNFLi4zLzMxLzIwMTkFAAAAAQAAAAgAAAASKEludmFsaWQgRW5kIERhdGUpBCw/LfmW3QgELD8t+ZbdCCpDSVFBVkcuJFVTRENBRC5JUV9MQVNUU0FMRVBSSUNFLi42LzMwLzIwMTcFAAAAAQAAAAgAAAASKEludmFsaWQgRW5kIERhdGUpBCw/LfmW3QgELD8t+ZbdCCpDSVFBVkcuJFVTRENBRC5JUV9MQVNUU0FMRVBSSUNFLi4zLzMxLzIwMjEFAAAAAQAAAAgAAAASKEludmFsaWQgRW5kIERhdGUpBCw/LfmW3QgELD8t+ZbdCCtDSVFBVkcuJFVTREpQWS5JUV9MQVNUU0FMRVBSSUNFLi4xMi8zMS8yMDE3BQAAAAEAAAAIAAAAEihJbnZhbGlkIEVuZCBEYXRlKQQsPy35lt0IBCw/LfmW3QgqQ0lRQVZHLiRVU0RDQUQuSVFfTEFTVFNBTEVQUklDRS4uMy8zMS8yMDIzBQAAAAEAAAAIAAAAEihJbnZhbGlkIEVuZCBEYXRlKQQsPy35lt0IBCw/LfmW3QgqQ0lRQVZHLiRVU0RDQUQuSVFfTEFTVFNBTEVQUklDRS4uNi8zMC8yMDIzBQAAAAEAAAAIAAAAEihJbnZhbGlkIEVuZCBEYXRlKQQsPy35lt0IBCw/LfmW3QgqQ0lRQVZHLiRVU0RDQUQuSVFfTEFTVFNBTEVQUklDRS4uOS8zMC8yMDIzBQAAAAEAAAAIAAAAEihJbnZhbGlkIEVuZCBEYXRlKQQsPy35lt0IBCw/LfmW3QgqQ0lRQVZHLiRVU0RDQUQuSVFfTEFT</t>
  </si>
  <si>
    <t>VFNBTEVQUklDRS4uOS8zMC8yMDIxBQAAAAEAAAAIAAAAEihJbnZhbGlkIEVuZCBEYXRlKQQsPy35lt0IBCw/LfmW3QgqQ0lRQVZHLiRVU0RDQUQuSVFfTEFTVFNBTEVQUklDRS4uOS8zMC8yMDE5BQAAAAEAAAAIAAAAEihJbnZhbGlkIEVuZCBEYXRlKQQsPy35lt0IBCw/LfmW3QgqQ0lRQVZHLiRVU0RDQUQuSVFfTEFTVFNBTEVQUklDRS4uOS8zMC8yMDE3BQAAAAEAAAAIAAAAEihJbnZhbGlkIEVuZCBEYXRlKQQsPy35lt0IBCw/LfmW3QgrQ0lRQVZHLiRVU0RKUFkuSVFfTEFTVFNBTEVQUklDRS4uMTIvMzEvMjAxOAUAAAABAAAACAAAABIoSW52YWxpZCBFbmQgRGF0ZSkELD8t+ZbdCAQsPy35lt0IKkNJUUFWRy4kVVNESlBZLklRX0xBU1RTQUxFUFJJQ0UuLjMvMzEvMjAyNAUAAAABAAAACAAAABIoSW52YWxpZCBFbmQgRGF0ZSkELD8t+ZbdCAQsPy35lt0IKkNJUUFWRy4kVVNEQ0FELklRX0xBU1RTQUxFUFJJQ0UuLjMvMzEvMjAyNAUAAAABAAAACAAAABIoSW52YWxpZCBFbmQgRGF0ZSkELD8t+ZbdCAQsPy35lt0IKkNJUUFWRy4kVVNEQ0FELklRX0xBU1RTQUxFUFJJQ0UuLjMvMzEvMjAxOAUAAAABAAAACAAAABIoSW52YWxpZCBFbmQgRGF0ZSkELD8t+ZbdCAQsPy35lt0IKkNJUUFWRy4kVVNEQ0FELklRX0xBU1RTQUxFUFJJQ0UuLjYvMzAvMjAxOAUAAAABAAAACAAAABIoSW52YWxpZCBFbmQgRGF0</t>
  </si>
  <si>
    <t>ZSkELD8t+ZbdCAQsPy35lt0IKkNJUUFWRy4kVVNEQ0FELklRX0xBU1RTQUxFUFJJQ0UuLjkvMzAvMjAyMgUAAAABAAAACAAAABIoSW52YWxpZCBFbmQgRGF0ZSkELD8t+ZbdCAQsPy35lt0IKkNJUUFWRy4kVVNEQ0FELklRX0xBU1RTQUxFUFJJQ0UuLjYvMzAvMjAyMQUAAAABAAAACAAAABIoSW52YWxpZCBFbmQgRGF0ZSkELD8t+ZbdCAQsPy35lt0IK0NJUUFWRy4kVVNESlBZLklRX0xBU1RTQUxFUFJJQ0UuLjEyLzMxLzIwMjAFAAAAAQAAAAgAAAASKEludmFsaWQgRW5kIERhdGUpBCw/LfmW3QgELD8t+ZbdCCpDSVFBVkcuJFVTRENBRC5JUV9MQVNUU0FMRVBSSUNFLi42LzMwLzIwMjAFAAAAAQAAAAgAAAASKEludmFsaWQgRW5kIERhdGUpBCw/LfmW3QgELD8t+ZbdCCpDSVFBVkcuJFVTRENBRC5JUV9MQVNUU0FMRVBSSUNFLi45LzMwLzIwMTgFAAAAAQAAAAgAAAASKEludmFsaWQgRW5kIERhdGUpBCw/LfmW3QgELD8t+ZbdCCtDSVFBVkcuJFVTREpQWS5JUV9MQVNUU0FMRVBSSUNFLi4xMi8zMS8yMDE2BQAAAAEAAAAIAAAAEihJbnZhbGlkIEVuZCBEYXRlKQQsPy35lt0IBCw/LfmW3QgrQ0lRQVZHLiRVU0RKUFkuSVFfTEFTVFNBTEVQUklDRS4uMTIvMzEvMjAxOQUAAAABAAAACAAAABIoSW52YWxpZCBFbmQgRGF0ZSkELD8t+ZbdCAQsPy35lt0IKkNJUUFWRy4kVVNESlBZLklRX0xBU1RTQUxFUFJJ</t>
  </si>
  <si>
    <t>Q0UuLjYvMzAvMjAyNAUAAAABAAAACAAAABIoSW52YWxpZCBFbmQgRGF0ZSkELD8t+ZbdCAQsPy35lt0IKkNJUUFWRy4kVVNEQ0FELklRX0xBU1RTQUxFUFJJQ0UuLjMvMzEvMjAyMgUAAAABAAAACAAAABIoSW52YWxpZCBFbmQgRGF0ZSkELD8t+ZbdCAQsPy35lt0IKkNJUUFWRy4kVVNEQ0FELklRX0xBU1RTQUxFUFJJQ0UuLjYvMzAvMjAyMgUAAAABAAAACAAAABIoSW52YWxpZCBFbmQgRGF0ZSkELD8t+ZbdCAQsPy35lt0IKkNJUUFWRy4kVVNEQ0FELklRX0xBU1RTQUxFUFJJQ0UuLjkvMzAvMjAyMAUAAAABAAAACAAAABIoSW52YWxpZCBFbmQgRGF0ZSkELD8t+ZbdCAQsPy35lt0IKkNJUUFWRy4kVVNEQ0FELklRX0xBU1RTQUxFUFJJQ0UuLjMvMzEvMjAyMAUAAAABAAAACAAAABIoSW52YWxpZCBFbmQgRGF0ZSkELD8t+ZbdCAQsPy35lt0IK0NJUUFWRy4kVVNESlBZLklRX0xBU1RTQUxFUFJJQ0UuLjEyLzMxLzIwMjEFAAAAAQAAAAgAAAASKEludmFsaWQgRW5kIERhdGUpBCw/LfmW3QgELD8t+ZbdCCpDSVFBVkcuJFVTRENBRC5JUV9MQVNUU0FMRVBSSUNFLi42LzMwLzIwMjQFAAAAAQAAAAgAAAASKEludmFsaWQgRW5kIERhdGUpBCw/LfmW3QgELD8t+ZbdCCtDSVFBVkcuJFVTREpQWS5JUV9MQVNUU0FMRVBSSUNFLi4xMi8zMS8yMDIyBQAAAAEAAAAIAAAAEihJbnZhbGlkIEVuZCBEYXRlKQQsPy35</t>
  </si>
  <si>
    <t>lt0IBCw/LfmW3QgqQ0lRQVZHLiRVU0RDQUQuSVFfTEFTVFNBTEVQUklDRS4uNi8zMC8yMDE5BQAAAAEAAAAIAAAAEihJbnZhbGlkIEVuZCBEYXRlKQQsPy35lt0IBCw/LfmW3QgqQ0lRQVZHLiRVU0RKUFkuSVFfTEFTVFNBTEVQUklDRS4uOS8zMC8yMDI0BQAAAAEAAAAIAAAAEihJbnZhbGlkIEVuZCBEYXRlKQQsPy35lt0IBCw/LfmW3QgqQ0lRQVZHLiRVU0RKUFkuSVFfTEFTVFNBTEVQUklDRS4uOS8zMC8yMDE5BQAAAAEAAAAIAAAAEihJbnZhbGlkIEVuZCBEYXRlKQQsPy35lt0IBCw/LfmW3QgqQ0lRQVZHLiRVU0RKUFkuSVFfTEFTVFNBTEVQUklDRS4uNi8zMC8yMDIzBQAAAAEAAAAIAAAAEihJbnZhbGlkIEVuZCBEYXRlKQQsPy35lt0IBCw/LfmW3QgrQ0lRQVZHLiRVU0RHQlAuSVFfTEFTVFNBTEVQUklDRS4uMTIvMzEvMjAxOAUAAAABAAAACAAAABIoSW52YWxpZCBFbmQgRGF0ZSkELD8t+ZbdCAQsPy35lt0IKkNJUUFWRy4kVVNESlBZLklRX0xBU1RTQUxFUFJJQ0UuLjMvMzEvMjAyMgUAAAABAAAACAAAABIoSW52YWxpZCBFbmQgRGF0ZSkELD8t+ZbdCAQsPy35lt0IKkNJUUFWRy4kVVNESlBZLklRX0xBU1RTQUxFUFJJQ0UuLjMvMzEvMjAyMAUAAAABAAAACAAAABIoSW52YWxpZCBFbmQgRGF0ZSkELD8t+ZbdCAQsPy35lt0IKkNJUUFWRy4kVVNESlBZLklRX0xBU1RTQUxFUFJJQ0UuLjMvMzEv</t>
  </si>
  <si>
    <t>MjAxOAUAAAABAAAACAAAABIoSW52YWxpZCBFbmQgRGF0ZSkELD8t+ZbdCAQsPy35lt0IK0NJUUFWRy4kVVNER0JQLklRX0xBU1RTQUxFUFJJQ0UuLjEyLzMxLzIwMjAFAAAAAQAAAAgAAAASKEludmFsaWQgRW5kIERhdGUpBCw/LfmW3QgELD8t+ZbdCCpDSVFBVkcuJFVTREpQWS5JUV9MQVNUU0FMRVBSSUNFLi45LzMwLzIwMjAFAAAAAQAAAAgAAAASKEludmFsaWQgRW5kIERhdGUpBCw/LfmW3QgELD8t+ZbdCCtDSVFBVkcuJFVTREdCUC5JUV9MQVNUU0FMRVBSSUNFLi4xMi8zMS8yMDIyBQAAAAEAAAAIAAAAEihJbnZhbGlkIEVuZCBEYXRlKQQsPy35lt0IBCw/LfmW3QgrQ0lRQVZHLiRVU0RHQlAuSVFfTEFTVFNBTEVQUklDRS4uMTIvMzEvMjAyMwUAAAABAAAACAAAABIoSW52YWxpZCBFbmQgRGF0ZSkELD8t+ZbdCAQsPy35lt0IKkNJUUFWRy4kVVNESlBZLklRX0xBU1RTQUxFUFJJQ0UuLjMvMzEvMjAyMwUAAAABAAAACAAAABIoSW52YWxpZCBFbmQgRGF0ZSkELD8t+ZbdCAQsPy35lt0IKkNJUUFWRy4kVVNESlBZLklRX0xBU1RTQUxFUFJJQ0UuLjMvMzEvMjAxOQUAAAABAAAACAAAABIoSW52YWxpZCBFbmQgRGF0ZSkELD8t+ZbdCAQsPy35lt0IK0NJUUFWRy4kVVNER0JQLklRX0xBU1RTQUxFUFJJQ0UuLjEyLzMxLzIwMTYFAAAAAQAAAAgAAAASKEludmFsaWQgRW5kIERhdGUpBCw/LfmW3QgELD8t</t>
  </si>
  <si>
    <t>+ZbdCCpDSVFBVkcuJFVTREpQWS5JUV9MQVNUU0FMRVBSSUNFLi42LzMwLzIwMTkFAAAAAQAAAAgAAAASKEludmFsaWQgRW5kIERhdGUpBCw/LfmW3QgELD8t+ZbdCCpDSVFBVkcuJFVTREpQWS5JUV9MQVNUU0FMRVBSSUNFLi42LzMwLzIwMTcFAAAAAQAAAAgAAAASKEludmFsaWQgRW5kIERhdGUpBCw/LfmW3QgELD8t+ZbdCCpDSVFBVkcuJFVTREpQWS5JUV9MQVNUU0FMRVBSSUNFLi45LzMwLzIwMjMFAAAAAQAAAAgAAAASKEludmFsaWQgRW5kIERhdGUpBCw/LfmW3QgELD8t+ZbdCCtDSVFBVkcuJFVTREdCUC5JUV9MQVNUU0FMRVBSSUNFLi4xMi8zMS8yMDE5BQAAAAEAAAAIAAAAEihJbnZhbGlkIEVuZCBEYXRlKQQsPy35lt0IBCw/LfmW3QgqQ0lRQVZHLiRVU0RKUFkuSVFfTEFTVFNBTEVQUklDRS4uNi8zMC8yMDIyBQAAAAEAAAAIAAAAEihJbnZhbGlkIEVuZCBEYXRlKQQsPy35lt0IBCw/LfmW3QgqQ0lRQVZHLiRVU0RKUFkuSVFfTEFTVFNBTEVQUklDRS4uNi8zMC8yMDIwBQAAAAEAAAAIAAAAEihJbnZhbGlkIEVuZCBEYXRlKQQsPy35lt0IBCw/LfmW3QgqQ0lRQVZHLiRVU0RKUFkuSVFfTEFTVFNBTEVQUklDRS4uNi8zMC8yMDE4BQAAAAEAAAAIAAAAEihJbnZhbGlkIEVuZCBEYXRlKQQsPy35lt0IBCw/LfmW3QgrQ0lRQVZHLiRVU0RHQlAuSVFfTEFTVFNBTEVQUklDRS4uMTIvMzEvMjAyMQUA</t>
  </si>
  <si>
    <t>AAABAAAACAAAABIoSW52YWxpZCBFbmQgRGF0ZSkELD8t+ZbdCAQsPy35lt0IKkNJUUFWRy4kVVNESlBZLklRX0xBU1RTQUxFUFJJQ0UuLjkvMzAvMjAyMgUAAAABAAAACAAAABIoSW52YWxpZCBFbmQgRGF0ZSkELD8t+ZbdCAQsPy35lt0IKkNJUUFWRy4kVVNESlBZLklRX0xBU1RTQUxFUFJJQ0UuLjkvMzAvMjAxOAUAAAABAAAACAAAABIoSW52YWxpZCBFbmQgRGF0ZSkELD8t+ZbdCAQsPy35lt0IKkNJUUFWRy4kVVNESlBZLklRX0xBU1RTQUxFUFJJQ0UuLjMvMzEvMjAyMQUAAAABAAAACAAAABIoSW52YWxpZCBFbmQgRGF0ZSkELD8t+ZbdCAQsPy35lt0IKkNJUUFWRy4kVVNESlBZLklRX0xBU1RTQUxFUFJJQ0UuLjYvMzAvMjAyMQUAAAABAAAACAAAABIoSW52YWxpZCBFbmQgRGF0ZSkELD8t+ZbdCAQsPy35lt0IK0NJUUFWRy4kVVNER0JQLklRX0xBU1RTQUxFUFJJQ0UuLjEyLzMxLzIwMTcFAAAAAQAAAAgAAAASKEludmFsaWQgRW5kIERhdGUpBCw/LfmW3QgELD8t+ZbdCCpDSVFBVkcuJFVTREpQWS5JUV9MQVNUU0FMRVBSSUNFLi45LzMwLzIwMjEFAAAAAQAAAAgAAAASKEludmFsaWQgRW5kIERhdGUpBCw/LfmW3QgELD8t+ZbdCCpDSVFBVkcuJFVTREpQWS5JUV9MQVNUU0FMRVBSSUNFLi45LzMwLzIwMTcFAAAAAQAAAAgAAAASKEludmFsaWQgRW5kIERhdGUpBCw/LfmW3QgELD8t+ZbdCCpDSVFB</t>
  </si>
  <si>
    <t>VkcuJFVTREdCUC5JUV9MQVNUU0FMRVBSSUNFLi45LzMwLzIwMjQFAAAAAQAAAAgAAAASKEludmFsaWQgRW5kIERhdGUpBCw/LfmW3QgELD8t+ZbdCCtDSVFBVkcuJFVTREVVUi5JUV9MQVNUU0FMRVBSSUNFLi4xMi8zMS8yMDIzBQAAAAEAAAAIAAAAEihJbnZhbGlkIEVuZCBEYXRlKQQsPy35lt0IBCw/LfmW3QgqQ0lRQVZHLiRVU0RHQlAuSVFfTEFTVFNBTEVQUklDRS4uMy8zMS8yMDIzBQAAAAEAAAAIAAAAEihJbnZhbGlkIEVuZCBEYXRlKQQsPy35lt0IBCw/LfmW3QgqQ0lRQVZHLiRVU0RHQlAuSVFfTEFTVFNBTEVQUklDRS4uNi8zMC8yMDIzBQAAAAEAAAAIAAAAEihJbnZhbGlkIEVuZCBEYXRlKQQsPy35lt0IBCw/LfmW3QgqQ0lRQVZHLiRVU0RHQlAuSVFfTEFTVFNBTEVQUklDRS4uNi8zMC8yMDE5BQAAAAEAAAAIAAAAEihJbnZhbGlkIEVuZCBEYXRlKQQsPy35lt0IBCw/LfmW3QgqQ0lRQVZHLiRVU0RHQlAuSVFfTEFTVFNBTEVQUklDRS4uOS8zMC8yMDE4BQAAAAEAAAAIAAAAEihJbnZhbGlkIEVuZCBEYXRlKQQsPy35lt0IBCw/LfmW3QgqQ0lRQVZHLiRVU0RHQlAuSVFfTEFTVFNBTEVQUklDRS4uOS8zMC8yMDIzBQAAAAEAAAAIAAAAEihJbnZhbGlkIEVuZCBEYXRlKQQsPy35lt0IBCw/LfmW3QgqQ0lRQVZHLiRVU0RHQlAuSVFfTEFTVFNBTEVQUklDRS4uOS8zMC8yMDIxBQAAAAEAAAAIAAAA</t>
  </si>
  <si>
    <t>EihJbnZhbGlkIEVuZCBEYXRlKQQsPy35lt0IBCw/LfmW3QgqQ0lRQVZHLiRVU0RHQlAuSVFfTEFTVFNBTEVQUklDRS4uOS8zMC8yMDE5BQAAAAEAAAAIAAAAEihJbnZhbGlkIEVuZCBEYXRlKQQsPy35lt0IBCw/LfmW3QgqQ0lRQVZHLiRVU0RHQlAuSVFfTEFTVFNBTEVQUklDRS4uOS8zMC8yMDE3BQAAAAEAAAAIAAAAEihJbnZhbGlkIEVuZCBEYXRlKQQsPy35lt0IBCw/LfmW3QgrQ0lRQVZHLiRVU0RFVVIuSVFfTEFTVFNBTEVQUklDRS4uMTIvMzEvMjAxOAUAAAABAAAACAAAABIoSW52YWxpZCBFbmQgRGF0ZSkELD8t+ZbdCAQsPy35lt0IKkNJUUFWRy4kVVNERVVSLklRX0xBU1RTQUxFUFJJQ0UuLjMvMzEvMjAyNAUAAAABAAAACAAAABIoSW52YWxpZCBFbmQgRGF0ZSkELD8t+ZbdCAQsPy35lt0IK0NJUUFWRy4kVVNERVVSLklRX0xBU1RTQUxFUFJJQ0UuLjEyLzMxLzIwMTkFAAAAAQAAAAgAAAASKEludmFsaWQgRW5kIERhdGUpBCw/LfmW3QgELD8t+ZbdCCpDSVFBVkcuJFVTREVVUi5JUV9MQVNUU0FMRVBSSUNFLi42LzMwLzIwMjQFAAAAAQAAAAgAAAASKEludmFsaWQgRW5kIERhdGUpBCw/LfmW3QgELD8t+ZbdCCpDSVFBVkcuJFVTREdCUC5JUV9MQVNUU0FMRVBSSUNFLi4zLzMxLzIwMjAFAAAAAQAAAAgAAAASKEludmFsaWQgRW5kIERhdGUpBCw/LfmW3QgELD8t+ZbdCCpDSVFBVkcuJFVTREdC</t>
  </si>
  <si>
    <t>UC5JUV9MQVNUU0FMRVBSSUNFLi42LzMwLzIwMjAFAAAAAQAAAAgAAAASKEludmFsaWQgRW5kIERhdGUpBCw/LfmW3QgELD8t+ZbdCCpDSVFBVkcuJFVTREdCUC5JUV9MQVNUU0FMRVBSSUNFLi42LzMwLzIwMTcFAAAAAQAAAAgAAAASKEludmFsaWQgRW5kIERhdGUpBCw/LfmW3QgELD8t+ZbdCCtDSVFBVkcuJFVTREVVUi5JUV9MQVNUU0FMRVBSSUNFLi4xMi8zMS8yMDIxBQAAAAEAAAAIAAAAEihJbnZhbGlkIEVuZCBEYXRlKQQsPy35lt0IBCw/LfmW3QgqQ0lRQVZHLiRVU0RHQlAuSVFfTEFTVFNBTEVQUklDRS4uMy8zMS8yMDE4BQAAAAEAAAAIAAAAEihJbnZhbGlkIEVuZCBEYXRlKQQsPy35lt0IBCw/LfmW3QgqQ0lRQVZHLiRVU0RHQlAuSVFfTEFTVFNBTEVQUklDRS4uNi8zMC8yMDE4BQAAAAEAAAAIAAAAEihJbnZhbGlkIEVuZCBEYXRlKQQsPy35lt0IBCw/LfmW3QgrQ0lRQVZHLiRVU0RFVVIuSVFfTEFTVFNBTEVQUklDRS4uMTIvMzEvMjAyMgUAAAABAAAACAAAABIoSW52YWxpZCBFbmQgRGF0ZSkELD8t+ZbdCAQsPy35lt0IK0NJUUFWRy4kVVNERVVSLklRX0xBU1RTQUxFUFJJQ0UuLjEyLzMxLzIwMjAFAAAAAQAAAAgAAAASKEludmFsaWQgRW5kIERhdGUpBCw/LfmW3QgELD8t+ZbdCCpDSVFBVkcuJFVTREdCUC5JUV9MQVNUU0FMRVBSSUNFLi4zLzMxLzIwMjQFAAAAAQAAAAgAAAASKEludmFs</t>
  </si>
  <si>
    <t>aWQgRW5kIERhdGUpBCw/LfmW3QgELD8t+ZbdCCpDSVFBVkcuJFVTREdCUC5JUV9MQVNUU0FMRVBSSUNFLi4zLzMxLzIwMjIFAAAAAQAAAAgAAAASKEludmFsaWQgRW5kIERhdGUpBCw/LfmW3QgELD8t+ZbdCCpDSVFBVkcuJFVTREdCUC5JUV9MQVNUU0FMRVBSSUNFLi42LzMwLzIwMjIFAAAAAQAAAAgAAAASKEludmFsaWQgRW5kIERhdGUpBCw/LfmW3QgELD8t+ZbdCCpDSVFBVkcuJFVTREdCUC5JUV9MQVNUU0FMRVBSSUNFLi4zLzMxLzIwMTkFAAAAAQAAAAgAAAASKEludmFsaWQgRW5kIERhdGUpBCw/LfmW3QgELD8t+ZbdCCpDSVFBVkcuJFVTREdCUC5JUV9MQVNUU0FMRVBSSUNFLi42LzMwLzIwMjQFAAAAAQAAAAgAAAASKEludmFsaWQgRW5kIERhdGUpBCw/LfmW3QgELD8t+ZbdCCpDSVFBVkcuJFVTREdCUC5JUV9MQVNUU0FMRVBSSUNFLi4zLzMxLzIwMjEFAAAAAQAAAAgAAAASKEludmFsaWQgRW5kIERhdGUpBCw/LfmW3QgELD8t+ZbdCCtDSVFBVkcuJFVTREVVUi5JUV9MQVNUU0FMRVBSSUNFLi4xMi8zMS8yMDE3BQAAAAEAAAAIAAAAEihJbnZhbGlkIEVuZCBEYXRlKQQsPy35lt0IBCw/LfmW3QgqQ0lRQVZHLiRVU0RHQlAuSVFfTEFTVFNBTEVQUklDRS4uOS8zMC8yMDIyBQAAAAEAAAAIAAAAEihJbnZhbGlkIEVuZCBEYXRlKQQsPy35lt0IBCw/LfmW3QgqQ0lRQVZHLiRVU0RHQlAuSVFfTEFT</t>
  </si>
  <si>
    <t>VFNBTEVQUklDRS4uOS8zMC8yMDIwBQAAAAEAAAAIAAAAEihJbnZhbGlkIEVuZCBEYXRlKQQsPy35lt0IBCw/LfmW3QgrQ0lRQVZHLiRVU0RFVVIuSVFfTEFTVFNBTEVQUklDRS4uMTIvMzEvMjAxNgUAAAABAAAACAAAABIoSW52YWxpZCBFbmQgRGF0ZSkELD8t+ZbdCAQsPy35lt0IKkNJUUFWRy4kVVNER0JQLklRX0xBU1RTQUxFUFJJQ0UuLjYvMzAvMjAyMQUAAAABAAAACAAAABIoSW52YWxpZCBFbmQgRGF0ZSkELD8t+ZbdCAQsPy35lt0IKkNJUUFWRy4kVVNERVVSLklRX0xBU1RTQUxFUFJJQ0UuLjkvMzAvMjAyNAUAAAABAAAACAAAABIoSW52YWxpZCBFbmQgRGF0ZSkELD8t+ZbdCAQsPy35lt0I</t>
  </si>
  <si>
    <t>BAABTAhSRVBPUlRFRAFI/////wFQVQEAABxDSVEuJFVTRENBRC5JUV9MQVNUU0FMRVBSSUNFAQAAAALtWgACAAAACzAuNzE4NDA4ODY4AGABmSz5lt0IhvVabPmW3QgcQ0lRLiRVU0RKUFkuSVFfTEFTVFNBTEVQUklDRQEAAAAC7VoAAgAAAAswLjAwNjkwMzkzMgBgAZks+ZbdCIb1Wmz5lt0IHENJUS4kVVNERVVSLklRX0xBU1RTQUxFUFJJQ0UBAAAAAu1aAAIAAAALMS4xMjU4NzI1NTEAYAGZLPmW3QixHFts+ZbdCBxDSVEuJFVTREFVRC5JUV9MQVNUU0FMRVBSSUNFAQAAAALtWgACAAAACzAuNjQ2MzI4ODUyAGABmSz5lt0IhvVabPmW3QgcQ0lRLiRVU0RHQlAuSVFfTEFTVFNBTEVQUklDRQEAAAAC7VoAAgAAAAsxLjMzNjUwNTMwNgBgAZks+ZbdCIb1Wmz5lt0IMkNJUUFWRy4kVVNEQ0FELklRX0xBU1RTQUxFUFJJQ0UuNy8xLzIwMjQuOS8zMC8yMDI0AQAAAALtWgACAAAAETAuNzMzMTE5NTA0OTIzOTEzAGABmSz5lt0IhvVabPmW3QgyQ0lRQVZHLiRVU0RKUFkuSVFfTEFTVFNBTEVQUklDRS43LzEvMjAyNC45LzMwLzIwMjQBAAAAAu1aAAIAAAATMC4wMDY3MjIwNTczMzY5NTY1MgBgAZks+ZbdCIb1Wmz5lt0IMkNJUUFWRy4kVVNERVVSLklRX0xBU1RTQUxFUFJJQ0UuNy8xLzIwMjQuOS8zMC8yMDI0AQAAAALtWgACAAAAEDEuMDk5MDgxMzg1MzI2MDkAYAGZLPmW3QiG9Vps+ZbdCDJDSVFBVkcuJFVT</t>
  </si>
  <si>
    <t>REFVRC5JUV9MQVNUU0FMRVBSSUNFLjcvMS8yMDI0LjkvMzAvMjAyNAEAAAAC7VoAAgAAABEwLjY2OTk4NDk1NjU2NTIxNwBgAZks+ZbdCKnOWmz5lt0IMkNJUUFWRy4kVVNER0JQLklRX0xBU1RTQUxFUFJJQ0UuNy8xLzIwMjQuOS8zMC8yMDI0AQAAAALtWgACAAAAEDEuMzAwOTAzNDM5NTEwODcAYAGZLPmW3QiG9Vps+ZbdCDJDSVFBVkcuJFVTREVVUi5JUV9MQVNUU0FMRVBSSUNFLjEvMS8yMDE3LjMvMzEvMjAxNwEAAAAC7VoAAgAAAAwxLjA2NTU4MDkwMzkAYAGZLPmW3QgV4vYs+ZbdCDJDSVFBVkcuJFVTREVVUi5JUV9MQVNUU0FMRVBSSUNFLjQvMS8yMDE3LjYvMzAvMjAxNwEAAAAC7VoAAgAAABAxLjEwMDE0Mzc5NDE3NTgyAGABmSz5lt0ICQn3LPmW3QgyQ0lRQVZHLiRVU0RFVVIuSVFfTEFTVFNBTEVQUklDRS43LzEvMjAxNy45LzMwLzIwMTcBAAAAAu1aAAIAAAAQMS4xNzQ4NjU0Mzk0MzQ3OABgAZks+ZbdCAkJ9yz5lt0INENJUUFWRy4kVVNERVVSLklRX0xBU1RTQUxFUFJJQ0UuMTAvMS8yMDE3LjEyLzMxLzIwMTcBAAAAAu1aAAIAAAAQMS4xNzgwOTI4NTQyMTczOQBgAZks+ZbdCAkw9yz5lt0IMkNJUUFWRy4kVVNERVVSLklRX0xBU1RTQUxFUFJJQ0UuMS8xLzIwMTguMy8zMS8yMDE4AQAAAALtWgACAAAAEDEuMjI4OTIwNzcwOTQ0NDQAYAGZLPmW3Qi8QPgs+ZbdCDJDSVFBVkcuJFVTRE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</si>
</sst>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7" formatCode="&quot;$&quot;#,##0.00_);\(&quot;$&quot;#,##0.00\)"/>
    <numFmt numFmtId="41" formatCode="_(* #,##0_);_(* \(#,##0\);_(* &quot;-&quot;_);_(@_)"/>
    <numFmt numFmtId="43" formatCode="_(* #,##0.00_);_(* \(#,##0.00\);_(* &quot;-&quot;??_);_(@_)"/>
    <numFmt numFmtId="164" formatCode="_(* #,##0%_);_(* \(#,##0%\);_(* &quot;-&quot;_);_(@_)"/>
    <numFmt numFmtId="165" formatCode="m/d/yy;@"/>
    <numFmt numFmtId="166" formatCode="0.0%"/>
    <numFmt numFmtId="167" formatCode="#,##0.0%_);\(#,##0.0%\)"/>
    <numFmt numFmtId="168" formatCode="#,##0.0\x_);\(#,##0.0\x\)"/>
    <numFmt numFmtId="169" formatCode="#,##0%_);\(#,##0%\)"/>
    <numFmt numFmtId="170" formatCode="_(* #,##0.00_);_(* \(#,##0.00\);_(* &quot;-&quot;_);_(@_)"/>
    <numFmt numFmtId="171" formatCode="_(* #,##0.0_);_(* \(#,##0.0\);_(* &quot;-&quot;_);_(@_)"/>
    <numFmt numFmtId="172" formatCode="_(* #,##0.0%_);_(* \(#,##0.0%\);_(* &quot;-&quot;_);_(@_)"/>
    <numFmt numFmtId="173" formatCode="_(* #,##0.0%_);_(* \(#,##0.0%\);_(* &quot;-&quot;?_);_(* @_)"/>
    <numFmt numFmtId="174" formatCode="_(* #,##0%_);_(* \(#,##0%\);_(* &quot;-&quot;??_);_(@_)"/>
    <numFmt numFmtId="175" formatCode="_(* #,##0.000_);_(* \(#,##0.000\);_(* &quot;-&quot;_);_(@_)"/>
    <numFmt numFmtId="176" formatCode="_(* #,##0_);_(* \(#,##0\);_(* &quot;-&quot;??_);_(@_)"/>
    <numFmt numFmtId="177" formatCode="_(* #,##0.000_);_(* \(#,##0.000\);_(* &quot;-&quot;??_);_(@_)"/>
    <numFmt numFmtId="178" formatCode="mm/dd/yy;@"/>
    <numFmt numFmtId="179" formatCode="_(* \&gt;#,##0%_);_(* \&gt;\(#,##0%\);_(* &quot;-&quot;_);_(@_)"/>
  </numFmts>
  <fonts count="38" x14ac:knownFonts="1">
    <font>
      <sz val="8"/>
      <color theme="1"/>
      <name val="Arial"/>
      <family val="2"/>
    </font>
    <font>
      <sz val="8"/>
      <color theme="1"/>
      <name val="Arial"/>
      <family val="2"/>
    </font>
    <font>
      <sz val="8"/>
      <color rgb="FFFF0000"/>
      <name val="Arial"/>
      <family val="2"/>
    </font>
    <font>
      <b/>
      <sz val="8"/>
      <color theme="1"/>
      <name val="Arial"/>
      <family val="2"/>
    </font>
    <font>
      <sz val="8"/>
      <color theme="0"/>
      <name val="Arial"/>
      <family val="2"/>
    </font>
    <font>
      <i/>
      <sz val="8"/>
      <color theme="1"/>
      <name val="Arial"/>
      <family val="2"/>
    </font>
    <font>
      <b/>
      <u val="singleAccounting"/>
      <sz val="8"/>
      <color theme="1"/>
      <name val="Arial"/>
      <family val="2"/>
    </font>
    <font>
      <sz val="8"/>
      <name val="Arial"/>
      <family val="2"/>
    </font>
    <font>
      <sz val="8"/>
      <color rgb="FF0000FF"/>
      <name val="Arial"/>
      <family val="2"/>
    </font>
    <font>
      <u val="singleAccounting"/>
      <sz val="8"/>
      <color rgb="FF0000FF"/>
      <name val="Arial"/>
      <family val="2"/>
    </font>
    <font>
      <u val="singleAccounting"/>
      <sz val="8"/>
      <color theme="1"/>
      <name val="Arial"/>
      <family val="2"/>
    </font>
    <font>
      <i/>
      <u/>
      <sz val="8"/>
      <color theme="1"/>
      <name val="Arial"/>
      <family val="2"/>
    </font>
    <font>
      <i/>
      <u val="singleAccounting"/>
      <sz val="8"/>
      <color theme="1"/>
      <name val="Arial"/>
      <family val="2"/>
    </font>
    <font>
      <b/>
      <sz val="8"/>
      <color rgb="FF0000FF"/>
      <name val="Arial"/>
      <family val="2"/>
    </font>
    <font>
      <b/>
      <u/>
      <sz val="8"/>
      <color theme="1"/>
      <name val="Arial"/>
      <family val="2"/>
    </font>
    <font>
      <i/>
      <u val="singleAccounting"/>
      <sz val="8"/>
      <color rgb="FFFF0000"/>
      <name val="Arial"/>
      <family val="2"/>
    </font>
    <font>
      <u val="singleAccounting"/>
      <sz val="8"/>
      <color rgb="FFFF0000"/>
      <name val="Arial"/>
      <family val="2"/>
    </font>
    <font>
      <u val="singleAccounting"/>
      <sz val="8"/>
      <name val="Arial"/>
      <family val="2"/>
    </font>
    <font>
      <i/>
      <sz val="8"/>
      <color rgb="FF0000FF"/>
      <name val="Arial"/>
      <family val="2"/>
    </font>
    <font>
      <sz val="11"/>
      <color theme="1"/>
      <name val="Calibri"/>
      <family val="2"/>
      <scheme val="minor"/>
    </font>
    <font>
      <sz val="10"/>
      <color theme="1"/>
      <name val="Arial"/>
      <family val="2"/>
    </font>
    <font>
      <i/>
      <sz val="8"/>
      <name val="Arial"/>
      <family val="2"/>
    </font>
    <font>
      <i/>
      <sz val="8"/>
      <color rgb="FFFF0000"/>
      <name val="Arial"/>
      <family val="2"/>
    </font>
    <font>
      <b/>
      <i/>
      <sz val="8"/>
      <color theme="1"/>
      <name val="Arial"/>
      <family val="2"/>
    </font>
    <font>
      <b/>
      <sz val="8"/>
      <name val="Arial"/>
      <family val="2"/>
    </font>
    <font>
      <i/>
      <u val="singleAccounting"/>
      <sz val="8"/>
      <name val="Arial"/>
      <family val="2"/>
    </font>
    <font>
      <vertAlign val="superscript"/>
      <sz val="8"/>
      <color theme="1"/>
      <name val="Arial"/>
      <family val="2"/>
    </font>
    <font>
      <b/>
      <vertAlign val="superscript"/>
      <sz val="8"/>
      <color theme="1"/>
      <name val="Arial"/>
      <family val="2"/>
    </font>
    <font>
      <b/>
      <u/>
      <vertAlign val="superscript"/>
      <sz val="8"/>
      <color theme="1"/>
      <name val="Arial"/>
      <family val="2"/>
    </font>
    <font>
      <b/>
      <i/>
      <u val="singleAccounting"/>
      <sz val="8"/>
      <color theme="1"/>
      <name val="Arial"/>
      <family val="2"/>
    </font>
    <font>
      <sz val="8"/>
      <color rgb="FF00B050"/>
      <name val="Arial"/>
      <family val="2"/>
    </font>
    <font>
      <u val="singleAccounting"/>
      <sz val="8"/>
      <color rgb="FF00B050"/>
      <name val="Arial"/>
      <family val="2"/>
    </font>
    <font>
      <i/>
      <sz val="8"/>
      <color rgb="FF00B050"/>
      <name val="Arial"/>
      <family val="2"/>
    </font>
    <font>
      <b/>
      <sz val="8"/>
      <color rgb="FFFF0000"/>
      <name val="Arial"/>
      <family val="2"/>
    </font>
    <font>
      <sz val="7"/>
      <color theme="1"/>
      <name val="Arial"/>
      <family val="2"/>
    </font>
    <font>
      <b/>
      <sz val="7"/>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0" tint="-4.9989318521683403E-2"/>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hair">
        <color indexed="64"/>
      </bottom>
      <diagonal/>
    </border>
    <border>
      <left/>
      <right/>
      <top style="thin">
        <color indexed="64"/>
      </top>
      <bottom/>
      <diagonal/>
    </border>
  </borders>
  <cellStyleXfs count="10">
    <xf numFmtId="0" fontId="0" fillId="0" borderId="0"/>
    <xf numFmtId="9" fontId="1" fillId="0" borderId="0" applyFont="0" applyFill="0" applyBorder="0" applyAlignment="0" applyProtection="0"/>
    <xf numFmtId="0" fontId="19" fillId="0" borderId="0"/>
    <xf numFmtId="9" fontId="20"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9" fillId="0" borderId="0" applyFont="0" applyFill="0" applyBorder="0" applyAlignment="0" applyProtection="0"/>
    <xf numFmtId="9" fontId="19" fillId="0" borderId="0" applyFont="0" applyFill="0" applyBorder="0" applyAlignment="0" applyProtection="0"/>
    <xf numFmtId="9" fontId="1" fillId="0" borderId="0" applyFont="0" applyFill="0" applyBorder="0" applyAlignment="0" applyProtection="0"/>
  </cellStyleXfs>
  <cellXfs count="299">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xf numFmtId="0" fontId="3" fillId="0" borderId="1" xfId="0" applyFont="1" applyBorder="1" applyAlignment="1">
      <alignment wrapText="1"/>
    </xf>
    <xf numFmtId="0" fontId="3" fillId="0" borderId="1" xfId="0" applyFont="1" applyBorder="1"/>
    <xf numFmtId="0" fontId="5" fillId="0" borderId="0" xfId="0" applyFont="1"/>
    <xf numFmtId="0" fontId="6" fillId="0" borderId="0" xfId="0" applyFont="1" applyAlignment="1">
      <alignment horizontal="center"/>
    </xf>
    <xf numFmtId="0" fontId="0" fillId="0" borderId="4" xfId="0" applyBorder="1"/>
    <xf numFmtId="0" fontId="3" fillId="0" borderId="3" xfId="0" applyFont="1" applyBorder="1"/>
    <xf numFmtId="41" fontId="0" fillId="0" borderId="0" xfId="0" applyNumberFormat="1"/>
    <xf numFmtId="41" fontId="8" fillId="0" borderId="0" xfId="0" applyNumberFormat="1" applyFont="1"/>
    <xf numFmtId="0" fontId="0" fillId="0" borderId="0" xfId="0" applyAlignment="1">
      <alignment horizontal="left" indent="1"/>
    </xf>
    <xf numFmtId="0" fontId="5" fillId="0" borderId="0" xfId="0" applyFont="1" applyAlignment="1">
      <alignment horizontal="left" indent="1"/>
    </xf>
    <xf numFmtId="41" fontId="5" fillId="0" borderId="0" xfId="0" applyNumberFormat="1" applyFont="1"/>
    <xf numFmtId="164" fontId="5" fillId="0" borderId="0" xfId="0" applyNumberFormat="1" applyFont="1"/>
    <xf numFmtId="43" fontId="0" fillId="0" borderId="0" xfId="0" applyNumberFormat="1"/>
    <xf numFmtId="41" fontId="9" fillId="0" borderId="0" xfId="0" applyNumberFormat="1" applyFont="1"/>
    <xf numFmtId="41" fontId="10" fillId="0" borderId="0" xfId="0" applyNumberFormat="1" applyFont="1"/>
    <xf numFmtId="0" fontId="11" fillId="0" borderId="0" xfId="0" applyFont="1" applyAlignment="1">
      <alignment horizontal="left" indent="1"/>
    </xf>
    <xf numFmtId="0" fontId="5" fillId="0" borderId="0" xfId="0" applyFont="1" applyAlignment="1">
      <alignment horizontal="left" indent="2"/>
    </xf>
    <xf numFmtId="164" fontId="12" fillId="0" borderId="0" xfId="0" applyNumberFormat="1" applyFont="1"/>
    <xf numFmtId="41" fontId="13" fillId="0" borderId="0" xfId="0" applyNumberFormat="1" applyFont="1"/>
    <xf numFmtId="41" fontId="3" fillId="0" borderId="0" xfId="0" applyNumberFormat="1" applyFont="1"/>
    <xf numFmtId="0" fontId="3" fillId="0" borderId="0" xfId="0" applyFont="1" applyAlignment="1">
      <alignment horizontal="left" indent="1"/>
    </xf>
    <xf numFmtId="0" fontId="14" fillId="0" borderId="0" xfId="0" applyFont="1"/>
    <xf numFmtId="0" fontId="5" fillId="0" borderId="0" xfId="0" applyFont="1" applyAlignment="1">
      <alignment horizontal="left" indent="3"/>
    </xf>
    <xf numFmtId="41" fontId="15" fillId="0" borderId="0" xfId="0" applyNumberFormat="1" applyFont="1"/>
    <xf numFmtId="41" fontId="16" fillId="0" borderId="0" xfId="0" applyNumberFormat="1" applyFont="1"/>
    <xf numFmtId="41" fontId="17" fillId="0" borderId="0" xfId="0" applyNumberFormat="1" applyFont="1"/>
    <xf numFmtId="165" fontId="5" fillId="0" borderId="0" xfId="0" applyNumberFormat="1" applyFont="1"/>
    <xf numFmtId="0" fontId="3" fillId="0" borderId="1" xfId="0" applyFont="1" applyBorder="1" applyAlignment="1">
      <alignment horizontal="centerContinuous"/>
    </xf>
    <xf numFmtId="0" fontId="0" fillId="0" borderId="1" xfId="0" applyBorder="1" applyAlignment="1">
      <alignment horizontal="centerContinuous"/>
    </xf>
    <xf numFmtId="0" fontId="3" fillId="0" borderId="0" xfId="2" applyFont="1"/>
    <xf numFmtId="0" fontId="1" fillId="0" borderId="0" xfId="2" applyFont="1"/>
    <xf numFmtId="14" fontId="5" fillId="0" borderId="0" xfId="2" applyNumberFormat="1" applyFont="1"/>
    <xf numFmtId="14" fontId="5" fillId="0" borderId="0" xfId="2" applyNumberFormat="1" applyFont="1" applyAlignment="1">
      <alignment horizontal="right"/>
    </xf>
    <xf numFmtId="165" fontId="5" fillId="0" borderId="0" xfId="2" applyNumberFormat="1" applyFont="1" applyAlignment="1">
      <alignment horizontal="right"/>
    </xf>
    <xf numFmtId="0" fontId="3" fillId="0" borderId="1" xfId="2" applyFont="1" applyBorder="1"/>
    <xf numFmtId="0" fontId="1" fillId="0" borderId="1" xfId="2" applyFont="1" applyBorder="1"/>
    <xf numFmtId="0" fontId="3" fillId="0" borderId="5" xfId="2" applyFont="1" applyBorder="1" applyAlignment="1">
      <alignment horizontal="centerContinuous"/>
    </xf>
    <xf numFmtId="0" fontId="1" fillId="0" borderId="5" xfId="2" applyFont="1" applyBorder="1" applyAlignment="1">
      <alignment horizontal="centerContinuous"/>
    </xf>
    <xf numFmtId="0" fontId="6" fillId="0" borderId="0" xfId="2" applyFont="1" applyAlignment="1">
      <alignment horizontal="center"/>
    </xf>
    <xf numFmtId="14" fontId="4" fillId="0" borderId="0" xfId="3" applyNumberFormat="1" applyFont="1" applyAlignment="1">
      <alignment horizontal="center"/>
    </xf>
    <xf numFmtId="0" fontId="0" fillId="0" borderId="0" xfId="2" applyFont="1"/>
    <xf numFmtId="41" fontId="1" fillId="0" borderId="0" xfId="2" applyNumberFormat="1" applyFont="1"/>
    <xf numFmtId="43" fontId="10" fillId="0" borderId="0" xfId="2" applyNumberFormat="1" applyFont="1"/>
    <xf numFmtId="0" fontId="0" fillId="0" borderId="0" xfId="2" applyFont="1" applyAlignment="1">
      <alignment horizontal="left" indent="1"/>
    </xf>
    <xf numFmtId="41" fontId="10" fillId="0" borderId="0" xfId="2" applyNumberFormat="1" applyFont="1"/>
    <xf numFmtId="0" fontId="5" fillId="0" borderId="0" xfId="2" applyFont="1" applyAlignment="1">
      <alignment horizontal="left" indent="1"/>
    </xf>
    <xf numFmtId="0" fontId="5" fillId="0" borderId="0" xfId="2" applyFont="1" applyAlignment="1">
      <alignment horizontal="left" indent="2"/>
    </xf>
    <xf numFmtId="0" fontId="11" fillId="0" borderId="0" xfId="2" applyFont="1" applyAlignment="1">
      <alignment horizontal="left" indent="1"/>
    </xf>
    <xf numFmtId="41" fontId="5" fillId="0" borderId="0" xfId="2" applyNumberFormat="1" applyFont="1"/>
    <xf numFmtId="41" fontId="7" fillId="0" borderId="0" xfId="2" applyNumberFormat="1" applyFont="1"/>
    <xf numFmtId="41" fontId="2" fillId="0" borderId="0" xfId="2" applyNumberFormat="1" applyFont="1"/>
    <xf numFmtId="0" fontId="5" fillId="0" borderId="0" xfId="2" applyFont="1"/>
    <xf numFmtId="41" fontId="16" fillId="0" borderId="0" xfId="2" applyNumberFormat="1" applyFont="1"/>
    <xf numFmtId="0" fontId="1" fillId="0" borderId="0" xfId="2" applyFont="1" applyAlignment="1">
      <alignment horizontal="left" indent="1"/>
    </xf>
    <xf numFmtId="0" fontId="1" fillId="0" borderId="0" xfId="2" applyFont="1" applyAlignment="1">
      <alignment horizontal="left"/>
    </xf>
    <xf numFmtId="41" fontId="8" fillId="0" borderId="0" xfId="2" applyNumberFormat="1" applyFont="1"/>
    <xf numFmtId="41" fontId="4" fillId="0" borderId="0" xfId="2" applyNumberFormat="1" applyFont="1"/>
    <xf numFmtId="0" fontId="1" fillId="0" borderId="0" xfId="2" applyFont="1" applyAlignment="1">
      <alignment horizontal="left" indent="2"/>
    </xf>
    <xf numFmtId="167" fontId="5" fillId="0" borderId="0" xfId="2" applyNumberFormat="1" applyFont="1"/>
    <xf numFmtId="0" fontId="14" fillId="0" borderId="0" xfId="2" applyFont="1"/>
    <xf numFmtId="168" fontId="1" fillId="0" borderId="0" xfId="2" applyNumberFormat="1" applyFont="1"/>
    <xf numFmtId="7" fontId="1" fillId="0" borderId="0" xfId="2" applyNumberFormat="1" applyFont="1"/>
    <xf numFmtId="0" fontId="0" fillId="0" borderId="0" xfId="2" applyFont="1" applyAlignment="1">
      <alignment horizontal="left"/>
    </xf>
    <xf numFmtId="168" fontId="16" fillId="0" borderId="0" xfId="2" applyNumberFormat="1" applyFont="1"/>
    <xf numFmtId="41" fontId="6" fillId="0" borderId="0" xfId="2" applyNumberFormat="1" applyFont="1" applyAlignment="1">
      <alignment horizontal="center"/>
    </xf>
    <xf numFmtId="41" fontId="1" fillId="0" borderId="0" xfId="2" applyNumberFormat="1" applyFont="1" applyAlignment="1">
      <alignment horizontal="right"/>
    </xf>
    <xf numFmtId="0" fontId="3" fillId="2" borderId="3" xfId="2" applyFont="1" applyFill="1" applyBorder="1"/>
    <xf numFmtId="41" fontId="3" fillId="2" borderId="5" xfId="2" applyNumberFormat="1" applyFont="1" applyFill="1" applyBorder="1"/>
    <xf numFmtId="169" fontId="3" fillId="2" borderId="4" xfId="2" applyNumberFormat="1" applyFont="1" applyFill="1" applyBorder="1"/>
    <xf numFmtId="0" fontId="3" fillId="0" borderId="3" xfId="2" applyFont="1" applyBorder="1" applyAlignment="1">
      <alignment horizontal="centerContinuous"/>
    </xf>
    <xf numFmtId="0" fontId="3" fillId="0" borderId="4" xfId="2" applyFont="1" applyBorder="1" applyAlignment="1">
      <alignment horizontal="centerContinuous"/>
    </xf>
    <xf numFmtId="43" fontId="8" fillId="0" borderId="0" xfId="2" applyNumberFormat="1" applyFont="1"/>
    <xf numFmtId="41" fontId="17" fillId="0" borderId="0" xfId="2" applyNumberFormat="1" applyFont="1"/>
    <xf numFmtId="43" fontId="1" fillId="0" borderId="0" xfId="2" applyNumberFormat="1" applyFont="1"/>
    <xf numFmtId="0" fontId="5" fillId="0" borderId="0" xfId="6" applyFont="1" applyAlignment="1">
      <alignment horizontal="left" indent="1"/>
    </xf>
    <xf numFmtId="167" fontId="21" fillId="0" borderId="0" xfId="2" applyNumberFormat="1" applyFont="1"/>
    <xf numFmtId="167" fontId="22" fillId="0" borderId="0" xfId="2" applyNumberFormat="1" applyFont="1"/>
    <xf numFmtId="166" fontId="5" fillId="0" borderId="0" xfId="1" applyNumberFormat="1" applyFont="1"/>
    <xf numFmtId="0" fontId="1" fillId="0" borderId="0" xfId="2" applyFont="1" applyAlignment="1">
      <alignment horizontal="left" indent="3"/>
    </xf>
    <xf numFmtId="9" fontId="1" fillId="0" borderId="0" xfId="7" applyFont="1"/>
    <xf numFmtId="166" fontId="1" fillId="0" borderId="0" xfId="8" applyNumberFormat="1" applyFont="1"/>
    <xf numFmtId="0" fontId="5" fillId="0" borderId="0" xfId="6" applyFont="1" applyAlignment="1">
      <alignment horizontal="left" indent="2"/>
    </xf>
    <xf numFmtId="166" fontId="1" fillId="0" borderId="0" xfId="9" applyNumberFormat="1"/>
    <xf numFmtId="10" fontId="1" fillId="0" borderId="0" xfId="9" applyNumberFormat="1"/>
    <xf numFmtId="167" fontId="5" fillId="0" borderId="0" xfId="2" applyNumberFormat="1" applyFont="1" applyAlignment="1">
      <alignment horizontal="right"/>
    </xf>
    <xf numFmtId="41" fontId="21" fillId="0" borderId="0" xfId="2" applyNumberFormat="1" applyFont="1"/>
    <xf numFmtId="0" fontId="5" fillId="0" borderId="0" xfId="2" quotePrefix="1" applyFont="1" applyAlignment="1">
      <alignment horizontal="left" indent="2"/>
    </xf>
    <xf numFmtId="168" fontId="22" fillId="0" borderId="0" xfId="2" applyNumberFormat="1" applyFont="1"/>
    <xf numFmtId="168" fontId="5" fillId="0" borderId="0" xfId="2" applyNumberFormat="1" applyFont="1"/>
    <xf numFmtId="167" fontId="23" fillId="0" borderId="2" xfId="2" applyNumberFormat="1" applyFont="1" applyBorder="1"/>
    <xf numFmtId="168" fontId="1" fillId="0" borderId="0" xfId="2" applyNumberFormat="1" applyFont="1" applyAlignment="1">
      <alignment horizontal="right"/>
    </xf>
    <xf numFmtId="41" fontId="0" fillId="0" borderId="0" xfId="2" applyNumberFormat="1" applyFont="1"/>
    <xf numFmtId="170" fontId="8" fillId="0" borderId="0" xfId="2" applyNumberFormat="1" applyFont="1"/>
    <xf numFmtId="171" fontId="5" fillId="0" borderId="0" xfId="0" applyNumberFormat="1" applyFont="1"/>
    <xf numFmtId="41" fontId="24" fillId="0" borderId="0" xfId="0" applyNumberFormat="1" applyFont="1"/>
    <xf numFmtId="172" fontId="5" fillId="0" borderId="0" xfId="0" applyNumberFormat="1" applyFont="1"/>
    <xf numFmtId="172" fontId="22" fillId="0" borderId="0" xfId="0" applyNumberFormat="1" applyFont="1"/>
    <xf numFmtId="172" fontId="0" fillId="0" borderId="0" xfId="0" applyNumberFormat="1"/>
    <xf numFmtId="172" fontId="12" fillId="0" borderId="0" xfId="0" applyNumberFormat="1" applyFont="1"/>
    <xf numFmtId="41" fontId="25" fillId="0" borderId="0" xfId="0" applyNumberFormat="1" applyFont="1"/>
    <xf numFmtId="41" fontId="21" fillId="0" borderId="0" xfId="0" applyNumberFormat="1" applyFont="1"/>
    <xf numFmtId="169" fontId="21" fillId="0" borderId="0" xfId="2" applyNumberFormat="1" applyFont="1"/>
    <xf numFmtId="169" fontId="22" fillId="0" borderId="0" xfId="2" applyNumberFormat="1" applyFont="1"/>
    <xf numFmtId="169" fontId="5" fillId="0" borderId="0" xfId="2" applyNumberFormat="1" applyFont="1"/>
    <xf numFmtId="0" fontId="10" fillId="0" borderId="0" xfId="0" applyFont="1"/>
    <xf numFmtId="41" fontId="7" fillId="0" borderId="0" xfId="0" applyNumberFormat="1" applyFont="1"/>
    <xf numFmtId="41" fontId="9" fillId="0" borderId="0" xfId="0" applyNumberFormat="1" applyFont="1" applyAlignment="1">
      <alignment horizontal="right"/>
    </xf>
    <xf numFmtId="41" fontId="7" fillId="0" borderId="0" xfId="0" applyNumberFormat="1" applyFont="1" applyAlignment="1">
      <alignment horizontal="right"/>
    </xf>
    <xf numFmtId="41" fontId="8" fillId="0" borderId="0" xfId="0" applyNumberFormat="1" applyFont="1" applyAlignment="1">
      <alignment horizontal="right"/>
    </xf>
    <xf numFmtId="41" fontId="0" fillId="0" borderId="0" xfId="0" applyNumberFormat="1" applyAlignment="1">
      <alignment horizontal="right"/>
    </xf>
    <xf numFmtId="41" fontId="10" fillId="0" borderId="0" xfId="0" applyNumberFormat="1" applyFont="1" applyAlignment="1">
      <alignment horizontal="right"/>
    </xf>
    <xf numFmtId="41" fontId="18" fillId="0" borderId="0" xfId="0" applyNumberFormat="1" applyFont="1" applyAlignment="1">
      <alignment horizontal="right"/>
    </xf>
    <xf numFmtId="41" fontId="22" fillId="0" borderId="0" xfId="0" applyNumberFormat="1" applyFont="1" applyAlignment="1">
      <alignment horizontal="right"/>
    </xf>
    <xf numFmtId="164" fontId="8" fillId="0" borderId="0" xfId="0" applyNumberFormat="1" applyFont="1" applyAlignment="1">
      <alignment horizontal="right"/>
    </xf>
    <xf numFmtId="164" fontId="0" fillId="0" borderId="0" xfId="0" applyNumberFormat="1"/>
    <xf numFmtId="41" fontId="5" fillId="0" borderId="0" xfId="0" applyNumberFormat="1" applyFont="1" applyAlignment="1">
      <alignment horizontal="right"/>
    </xf>
    <xf numFmtId="164" fontId="5" fillId="0" borderId="0" xfId="0" applyNumberFormat="1" applyFont="1" applyAlignment="1">
      <alignment horizontal="right"/>
    </xf>
    <xf numFmtId="172" fontId="5" fillId="0" borderId="0" xfId="0" applyNumberFormat="1" applyFont="1" applyAlignment="1">
      <alignment horizontal="right"/>
    </xf>
    <xf numFmtId="0" fontId="0" fillId="0" borderId="0" xfId="0" quotePrefix="1"/>
    <xf numFmtId="0" fontId="0" fillId="0" borderId="0" xfId="0" applyAlignment="1">
      <alignment horizontal="left"/>
    </xf>
    <xf numFmtId="164" fontId="10" fillId="0" borderId="0" xfId="0" applyNumberFormat="1" applyFont="1" applyAlignment="1">
      <alignment horizontal="right"/>
    </xf>
    <xf numFmtId="41" fontId="3" fillId="0" borderId="0" xfId="0" applyNumberFormat="1" applyFont="1" applyAlignment="1">
      <alignment horizontal="right"/>
    </xf>
    <xf numFmtId="171" fontId="5" fillId="0" borderId="0" xfId="0" applyNumberFormat="1" applyFont="1" applyAlignment="1">
      <alignment horizontal="right"/>
    </xf>
    <xf numFmtId="41" fontId="17" fillId="0" borderId="0" xfId="0" applyNumberFormat="1" applyFont="1" applyAlignment="1">
      <alignment horizontal="right"/>
    </xf>
    <xf numFmtId="170" fontId="17" fillId="0" borderId="0" xfId="0" applyNumberFormat="1" applyFont="1" applyAlignment="1">
      <alignment horizontal="right"/>
    </xf>
    <xf numFmtId="41" fontId="13" fillId="0" borderId="0" xfId="0" applyNumberFormat="1" applyFont="1" applyAlignment="1">
      <alignment horizontal="right"/>
    </xf>
    <xf numFmtId="41" fontId="24" fillId="0" borderId="0" xfId="0" applyNumberFormat="1" applyFont="1" applyAlignment="1">
      <alignment horizontal="right"/>
    </xf>
    <xf numFmtId="164" fontId="18" fillId="0" borderId="0" xfId="0" applyNumberFormat="1" applyFont="1"/>
    <xf numFmtId="164" fontId="12" fillId="0" borderId="0" xfId="0" applyNumberFormat="1" applyFont="1" applyAlignment="1">
      <alignment horizontal="right"/>
    </xf>
    <xf numFmtId="0" fontId="0" fillId="0" borderId="0" xfId="0" applyAlignment="1">
      <alignment horizontal="left" indent="2"/>
    </xf>
    <xf numFmtId="0" fontId="3" fillId="0" borderId="0" xfId="0" applyFont="1" applyAlignment="1">
      <alignment horizontal="left" indent="2"/>
    </xf>
    <xf numFmtId="172" fontId="12" fillId="0" borderId="0" xfId="0" applyNumberFormat="1" applyFont="1" applyAlignment="1">
      <alignment horizontal="right"/>
    </xf>
    <xf numFmtId="41" fontId="25" fillId="0" borderId="0" xfId="0" applyNumberFormat="1" applyFont="1" applyAlignment="1">
      <alignment horizontal="right"/>
    </xf>
    <xf numFmtId="0" fontId="3" fillId="0" borderId="5" xfId="0" applyFont="1" applyBorder="1" applyAlignment="1">
      <alignment wrapText="1"/>
    </xf>
    <xf numFmtId="0" fontId="3" fillId="0" borderId="5" xfId="0" applyFont="1" applyBorder="1" applyAlignment="1">
      <alignment horizontal="left" indent="1"/>
    </xf>
    <xf numFmtId="0" fontId="3" fillId="0" borderId="5" xfId="0" applyFont="1" applyBorder="1"/>
    <xf numFmtId="41" fontId="3" fillId="0" borderId="5" xfId="0" applyNumberFormat="1" applyFont="1" applyBorder="1" applyAlignment="1">
      <alignment horizontal="right"/>
    </xf>
    <xf numFmtId="41" fontId="3" fillId="0" borderId="5" xfId="0" applyNumberFormat="1" applyFont="1" applyBorder="1"/>
    <xf numFmtId="41" fontId="22" fillId="0" borderId="0" xfId="2" applyNumberFormat="1" applyFont="1"/>
    <xf numFmtId="41" fontId="3" fillId="0" borderId="1" xfId="0" applyNumberFormat="1" applyFont="1" applyBorder="1"/>
    <xf numFmtId="41" fontId="22" fillId="3" borderId="0" xfId="0" applyNumberFormat="1" applyFont="1" applyFill="1"/>
    <xf numFmtId="166" fontId="0" fillId="0" borderId="0" xfId="1" applyNumberFormat="1" applyFont="1"/>
    <xf numFmtId="164" fontId="0" fillId="0" borderId="0" xfId="0" applyNumberFormat="1" applyAlignment="1">
      <alignment horizontal="right"/>
    </xf>
    <xf numFmtId="41" fontId="18" fillId="0" borderId="0" xfId="0" applyNumberFormat="1" applyFont="1"/>
    <xf numFmtId="173" fontId="21" fillId="0" borderId="0" xfId="0" applyNumberFormat="1" applyFont="1"/>
    <xf numFmtId="0" fontId="0" fillId="0" borderId="1" xfId="0" applyBorder="1"/>
    <xf numFmtId="0" fontId="0" fillId="0" borderId="0" xfId="0" applyAlignment="1">
      <alignment horizontal="center"/>
    </xf>
    <xf numFmtId="0" fontId="6" fillId="0" borderId="0" xfId="0" applyFont="1" applyAlignment="1">
      <alignment horizontal="center" wrapText="1"/>
    </xf>
    <xf numFmtId="0" fontId="5" fillId="0" borderId="1" xfId="0" applyFont="1" applyBorder="1"/>
    <xf numFmtId="0" fontId="23" fillId="0" borderId="1" xfId="0" applyFont="1" applyBorder="1" applyAlignment="1">
      <alignment horizontal="center"/>
    </xf>
    <xf numFmtId="0" fontId="29" fillId="0" borderId="0" xfId="0" applyFont="1" applyAlignment="1">
      <alignment horizontal="center"/>
    </xf>
    <xf numFmtId="0" fontId="29" fillId="0" borderId="0" xfId="0" applyFont="1" applyAlignment="1">
      <alignment horizontal="center" wrapText="1"/>
    </xf>
    <xf numFmtId="171" fontId="21" fillId="0" borderId="0" xfId="0" applyNumberFormat="1" applyFont="1" applyAlignment="1">
      <alignment horizontal="right"/>
    </xf>
    <xf numFmtId="171" fontId="18" fillId="0" borderId="0" xfId="0" applyNumberFormat="1" applyFont="1" applyAlignment="1">
      <alignment horizontal="right"/>
    </xf>
    <xf numFmtId="171" fontId="18" fillId="0" borderId="0" xfId="0" applyNumberFormat="1" applyFont="1"/>
    <xf numFmtId="171" fontId="21" fillId="0" borderId="0" xfId="0" applyNumberFormat="1" applyFont="1"/>
    <xf numFmtId="164" fontId="18" fillId="0" borderId="0" xfId="0" applyNumberFormat="1" applyFont="1" applyAlignment="1">
      <alignment horizontal="right"/>
    </xf>
    <xf numFmtId="0" fontId="0" fillId="0" borderId="1" xfId="0" applyBorder="1" applyAlignment="1">
      <alignment wrapText="1"/>
    </xf>
    <xf numFmtId="0" fontId="3" fillId="0" borderId="1" xfId="0" applyFont="1" applyBorder="1" applyAlignment="1">
      <alignment horizontal="left"/>
    </xf>
    <xf numFmtId="164" fontId="8" fillId="0" borderId="1" xfId="0" applyNumberFormat="1" applyFont="1" applyBorder="1" applyAlignment="1">
      <alignment horizontal="right"/>
    </xf>
    <xf numFmtId="164" fontId="0" fillId="0" borderId="1" xfId="0" applyNumberFormat="1" applyBorder="1"/>
    <xf numFmtId="41" fontId="30" fillId="0" borderId="0" xfId="2" applyNumberFormat="1" applyFont="1"/>
    <xf numFmtId="41" fontId="31" fillId="0" borderId="0" xfId="2" applyNumberFormat="1" applyFont="1"/>
    <xf numFmtId="41" fontId="32" fillId="0" borderId="0" xfId="2" applyNumberFormat="1" applyFont="1"/>
    <xf numFmtId="3" fontId="5" fillId="0" borderId="0" xfId="2" applyNumberFormat="1" applyFont="1"/>
    <xf numFmtId="14" fontId="0" fillId="0" borderId="0" xfId="0" applyNumberFormat="1"/>
    <xf numFmtId="41" fontId="33" fillId="0" borderId="0" xfId="0" applyNumberFormat="1" applyFont="1"/>
    <xf numFmtId="171" fontId="0" fillId="0" borderId="0" xfId="0" applyNumberFormat="1"/>
    <xf numFmtId="0" fontId="3" fillId="0" borderId="3" xfId="0" applyFont="1" applyBorder="1" applyAlignment="1">
      <alignment horizontal="centerContinuous"/>
    </xf>
    <xf numFmtId="0" fontId="0" fillId="0" borderId="5" xfId="0" applyBorder="1" applyAlignment="1">
      <alignment horizontal="centerContinuous"/>
    </xf>
    <xf numFmtId="0" fontId="0" fillId="0" borderId="4" xfId="0" applyBorder="1" applyAlignment="1">
      <alignment horizontal="centerContinuous"/>
    </xf>
    <xf numFmtId="0" fontId="3" fillId="0" borderId="1" xfId="0" applyFont="1" applyBorder="1" applyAlignment="1">
      <alignment horizontal="center"/>
    </xf>
    <xf numFmtId="0" fontId="3" fillId="0" borderId="0" xfId="0" applyFont="1" applyAlignment="1">
      <alignment horizontal="center"/>
    </xf>
    <xf numFmtId="0" fontId="5" fillId="4" borderId="1" xfId="0" applyFont="1" applyFill="1" applyBorder="1"/>
    <xf numFmtId="0" fontId="23" fillId="4" borderId="1" xfId="0" applyFont="1" applyFill="1" applyBorder="1" applyAlignment="1">
      <alignment horizontal="center"/>
    </xf>
    <xf numFmtId="0" fontId="6" fillId="0" borderId="0" xfId="0" applyFont="1"/>
    <xf numFmtId="0" fontId="29" fillId="4" borderId="0" xfId="0" applyFont="1" applyFill="1" applyAlignment="1">
      <alignment horizontal="center"/>
    </xf>
    <xf numFmtId="165" fontId="0" fillId="0" borderId="0" xfId="0" applyNumberFormat="1" applyAlignment="1">
      <alignment horizontal="center"/>
    </xf>
    <xf numFmtId="174" fontId="5" fillId="4" borderId="0" xfId="0" applyNumberFormat="1" applyFont="1" applyFill="1" applyAlignment="1">
      <alignment horizontal="right"/>
    </xf>
    <xf numFmtId="165" fontId="0" fillId="0" borderId="1" xfId="0" applyNumberFormat="1" applyBorder="1" applyAlignment="1">
      <alignment horizontal="center"/>
    </xf>
    <xf numFmtId="41" fontId="8" fillId="0" borderId="1" xfId="0" applyNumberFormat="1" applyFont="1" applyBorder="1"/>
    <xf numFmtId="41" fontId="0" fillId="0" borderId="1" xfId="0" applyNumberFormat="1" applyBorder="1"/>
    <xf numFmtId="41" fontId="8" fillId="0" borderId="1" xfId="0" applyNumberFormat="1" applyFont="1" applyBorder="1" applyAlignment="1">
      <alignment horizontal="right"/>
    </xf>
    <xf numFmtId="174" fontId="5" fillId="4" borderId="1" xfId="0" applyNumberFormat="1" applyFont="1" applyFill="1" applyBorder="1" applyAlignment="1">
      <alignment horizontal="right"/>
    </xf>
    <xf numFmtId="174" fontId="23" fillId="4" borderId="0" xfId="0" applyNumberFormat="1" applyFont="1" applyFill="1"/>
    <xf numFmtId="175" fontId="0" fillId="0" borderId="0" xfId="0" applyNumberFormat="1"/>
    <xf numFmtId="171" fontId="5" fillId="4" borderId="0" xfId="0" applyNumberFormat="1" applyFont="1" applyFill="1" applyAlignment="1">
      <alignment horizontal="right"/>
    </xf>
    <xf numFmtId="171" fontId="5" fillId="4" borderId="1" xfId="0" applyNumberFormat="1" applyFont="1" applyFill="1" applyBorder="1" applyAlignment="1">
      <alignment horizontal="right"/>
    </xf>
    <xf numFmtId="171" fontId="23" fillId="4" borderId="0" xfId="0" applyNumberFormat="1" applyFont="1" applyFill="1"/>
    <xf numFmtId="172" fontId="7" fillId="0" borderId="0" xfId="0" applyNumberFormat="1" applyFont="1" applyAlignment="1">
      <alignment horizontal="right"/>
    </xf>
    <xf numFmtId="172" fontId="7" fillId="0" borderId="1" xfId="0" applyNumberFormat="1" applyFont="1" applyBorder="1" applyAlignment="1">
      <alignment horizontal="right"/>
    </xf>
    <xf numFmtId="172" fontId="5" fillId="4" borderId="0" xfId="0" applyNumberFormat="1" applyFont="1" applyFill="1" applyAlignment="1">
      <alignment horizontal="right"/>
    </xf>
    <xf numFmtId="172" fontId="5" fillId="4" borderId="1" xfId="0" applyNumberFormat="1" applyFont="1" applyFill="1" applyBorder="1" applyAlignment="1">
      <alignment horizontal="right"/>
    </xf>
    <xf numFmtId="172" fontId="23" fillId="4" borderId="0" xfId="0" applyNumberFormat="1" applyFont="1" applyFill="1"/>
    <xf numFmtId="171" fontId="8" fillId="0" borderId="0" xfId="0" applyNumberFormat="1" applyFont="1"/>
    <xf numFmtId="171" fontId="8" fillId="0" borderId="0" xfId="0" applyNumberFormat="1" applyFont="1" applyAlignment="1">
      <alignment horizontal="right"/>
    </xf>
    <xf numFmtId="164" fontId="21" fillId="0" borderId="0" xfId="0" applyNumberFormat="1" applyFont="1" applyAlignment="1">
      <alignment horizontal="right"/>
    </xf>
    <xf numFmtId="164" fontId="21" fillId="0" borderId="1" xfId="0" applyNumberFormat="1" applyFont="1" applyBorder="1" applyAlignment="1">
      <alignment horizontal="right"/>
    </xf>
    <xf numFmtId="174" fontId="23" fillId="0" borderId="0" xfId="0" applyNumberFormat="1" applyFont="1"/>
    <xf numFmtId="0" fontId="23" fillId="0" borderId="5" xfId="0" applyFont="1" applyBorder="1" applyAlignment="1">
      <alignment horizontal="center" wrapText="1"/>
    </xf>
    <xf numFmtId="176" fontId="3" fillId="0" borderId="0" xfId="0" applyNumberFormat="1" applyFont="1"/>
    <xf numFmtId="0" fontId="34" fillId="0" borderId="0" xfId="0" quotePrefix="1" applyFont="1"/>
    <xf numFmtId="0" fontId="34" fillId="0" borderId="1" xfId="0" applyFont="1" applyBorder="1"/>
    <xf numFmtId="0" fontId="35" fillId="0" borderId="1" xfId="0" applyFont="1" applyBorder="1"/>
    <xf numFmtId="0" fontId="34" fillId="0" borderId="0" xfId="0" applyFont="1"/>
    <xf numFmtId="176" fontId="3" fillId="0" borderId="0" xfId="0" applyNumberFormat="1" applyFont="1" applyAlignment="1">
      <alignment horizontal="right"/>
    </xf>
    <xf numFmtId="176" fontId="5" fillId="0" borderId="0" xfId="0" applyNumberFormat="1" applyFont="1" applyAlignment="1">
      <alignment horizontal="right"/>
    </xf>
    <xf numFmtId="43" fontId="30" fillId="0" borderId="0" xfId="2" applyNumberFormat="1" applyFont="1"/>
    <xf numFmtId="176" fontId="32" fillId="0" borderId="0" xfId="2" applyNumberFormat="1" applyFont="1"/>
    <xf numFmtId="12" fontId="0" fillId="0" borderId="0" xfId="0" applyNumberFormat="1"/>
    <xf numFmtId="0" fontId="10" fillId="0" borderId="0" xfId="0" applyFont="1" applyAlignment="1">
      <alignment wrapText="1"/>
    </xf>
    <xf numFmtId="177" fontId="0" fillId="0" borderId="0" xfId="0" applyNumberFormat="1"/>
    <xf numFmtId="0" fontId="3" fillId="0" borderId="3" xfId="0" quotePrefix="1" applyFont="1" applyBorder="1"/>
    <xf numFmtId="43" fontId="30" fillId="0" borderId="0" xfId="0" applyNumberFormat="1" applyFont="1"/>
    <xf numFmtId="165" fontId="8" fillId="0" borderId="0" xfId="0" applyNumberFormat="1" applyFont="1" applyAlignment="1">
      <alignment horizontal="center"/>
    </xf>
    <xf numFmtId="165" fontId="7" fillId="0" borderId="0" xfId="0" applyNumberFormat="1" applyFont="1" applyAlignment="1">
      <alignment horizontal="center"/>
    </xf>
    <xf numFmtId="170" fontId="0" fillId="0" borderId="0" xfId="0" applyNumberFormat="1"/>
    <xf numFmtId="171" fontId="24" fillId="0" borderId="0" xfId="0" applyNumberFormat="1" applyFont="1"/>
    <xf numFmtId="171" fontId="3" fillId="0" borderId="0" xfId="0" applyNumberFormat="1" applyFont="1"/>
    <xf numFmtId="171" fontId="24" fillId="0" borderId="0" xfId="0" applyNumberFormat="1" applyFont="1" applyAlignment="1">
      <alignment horizontal="right"/>
    </xf>
    <xf numFmtId="171" fontId="3" fillId="0" borderId="0" xfId="0" applyNumberFormat="1" applyFont="1" applyAlignment="1">
      <alignment horizontal="right"/>
    </xf>
    <xf numFmtId="171" fontId="0" fillId="0" borderId="0" xfId="0" applyNumberFormat="1" applyAlignment="1">
      <alignment horizontal="right"/>
    </xf>
    <xf numFmtId="171" fontId="10" fillId="0" borderId="0" xfId="0" applyNumberFormat="1" applyFont="1" applyAlignment="1">
      <alignment horizontal="right"/>
    </xf>
    <xf numFmtId="171" fontId="10" fillId="0" borderId="0" xfId="0" applyNumberFormat="1" applyFont="1"/>
    <xf numFmtId="171" fontId="3" fillId="0" borderId="5" xfId="0" applyNumberFormat="1" applyFont="1" applyBorder="1" applyAlignment="1">
      <alignment horizontal="right"/>
    </xf>
    <xf numFmtId="171" fontId="3" fillId="0" borderId="5" xfId="0" applyNumberFormat="1" applyFont="1" applyBorder="1"/>
    <xf numFmtId="171" fontId="13" fillId="0" borderId="5" xfId="0" applyNumberFormat="1" applyFont="1" applyBorder="1"/>
    <xf numFmtId="171" fontId="24" fillId="0" borderId="5" xfId="0" applyNumberFormat="1" applyFont="1" applyBorder="1"/>
    <xf numFmtId="171" fontId="7" fillId="0" borderId="0" xfId="0" applyNumberFormat="1" applyFont="1" applyAlignment="1">
      <alignment horizontal="right"/>
    </xf>
    <xf numFmtId="171" fontId="7" fillId="0" borderId="0" xfId="0" applyNumberFormat="1" applyFont="1"/>
    <xf numFmtId="171" fontId="13" fillId="0" borderId="0" xfId="0" applyNumberFormat="1" applyFont="1"/>
    <xf numFmtId="171" fontId="22" fillId="0" borderId="0" xfId="0" applyNumberFormat="1" applyFont="1"/>
    <xf numFmtId="164" fontId="1" fillId="0" borderId="0" xfId="1" applyNumberFormat="1" applyFont="1"/>
    <xf numFmtId="9" fontId="1" fillId="0" borderId="0" xfId="1" applyFont="1"/>
    <xf numFmtId="0" fontId="0" fillId="0" borderId="0" xfId="0" applyAlignment="1">
      <alignment horizontal="right"/>
    </xf>
    <xf numFmtId="41" fontId="21" fillId="0" borderId="0" xfId="0" applyNumberFormat="1" applyFont="1" applyAlignment="1">
      <alignment horizontal="right"/>
    </xf>
    <xf numFmtId="175" fontId="21" fillId="0" borderId="0" xfId="0" applyNumberFormat="1" applyFont="1" applyAlignment="1">
      <alignment horizontal="right"/>
    </xf>
    <xf numFmtId="175" fontId="5" fillId="0" borderId="0" xfId="0" applyNumberFormat="1" applyFont="1" applyAlignment="1">
      <alignment horizontal="right"/>
    </xf>
    <xf numFmtId="41" fontId="12" fillId="0" borderId="0" xfId="0" applyNumberFormat="1" applyFont="1" applyAlignment="1">
      <alignment horizontal="right"/>
    </xf>
    <xf numFmtId="171" fontId="23" fillId="0" borderId="0" xfId="0" applyNumberFormat="1" applyFont="1" applyAlignment="1">
      <alignment horizontal="right"/>
    </xf>
    <xf numFmtId="170" fontId="8" fillId="0" borderId="0" xfId="0" applyNumberFormat="1" applyFont="1"/>
    <xf numFmtId="9" fontId="18" fillId="0" borderId="0" xfId="1" applyFont="1"/>
    <xf numFmtId="0" fontId="23" fillId="4" borderId="0" xfId="0" applyFont="1" applyFill="1" applyAlignment="1">
      <alignment horizontal="center"/>
    </xf>
    <xf numFmtId="0" fontId="23" fillId="0" borderId="0" xfId="0" applyFont="1" applyAlignment="1">
      <alignment horizontal="center"/>
    </xf>
    <xf numFmtId="0" fontId="6" fillId="0" borderId="0" xfId="0" applyFont="1" applyAlignment="1">
      <alignment wrapText="1"/>
    </xf>
    <xf numFmtId="178" fontId="0" fillId="0" borderId="0" xfId="0" applyNumberFormat="1" applyAlignment="1">
      <alignment horizontal="left"/>
    </xf>
    <xf numFmtId="178" fontId="0" fillId="0" borderId="1" xfId="0" applyNumberFormat="1" applyBorder="1" applyAlignment="1">
      <alignment horizontal="left"/>
    </xf>
    <xf numFmtId="174" fontId="23" fillId="4" borderId="0" xfId="0" applyNumberFormat="1" applyFont="1" applyFill="1" applyAlignment="1">
      <alignment horizontal="right"/>
    </xf>
    <xf numFmtId="174" fontId="23" fillId="0" borderId="0" xfId="0" applyNumberFormat="1" applyFont="1" applyAlignment="1">
      <alignment horizontal="right"/>
    </xf>
    <xf numFmtId="0" fontId="1" fillId="0" borderId="0" xfId="6"/>
    <xf numFmtId="0" fontId="0" fillId="0" borderId="0" xfId="6" applyFont="1"/>
    <xf numFmtId="175" fontId="17" fillId="0" borderId="0" xfId="0" applyNumberFormat="1" applyFont="1" applyAlignment="1">
      <alignment horizontal="right"/>
    </xf>
    <xf numFmtId="170" fontId="3" fillId="0" borderId="0" xfId="0" applyNumberFormat="1" applyFont="1" applyAlignment="1">
      <alignment horizontal="right"/>
    </xf>
    <xf numFmtId="41" fontId="16" fillId="0" borderId="0" xfId="0" applyNumberFormat="1" applyFont="1" applyAlignment="1">
      <alignment horizontal="right"/>
    </xf>
    <xf numFmtId="0" fontId="7" fillId="0" borderId="0" xfId="0" applyFont="1"/>
    <xf numFmtId="171" fontId="8" fillId="0" borderId="1" xfId="0" applyNumberFormat="1" applyFont="1" applyBorder="1" applyAlignment="1">
      <alignment horizontal="right"/>
    </xf>
    <xf numFmtId="0" fontId="5" fillId="0" borderId="0" xfId="2" applyFont="1" applyAlignment="1">
      <alignment horizontal="left" indent="3"/>
    </xf>
    <xf numFmtId="172" fontId="10" fillId="0" borderId="0" xfId="0" applyNumberFormat="1" applyFont="1" applyAlignment="1">
      <alignment horizontal="right"/>
    </xf>
    <xf numFmtId="172" fontId="16" fillId="0" borderId="0" xfId="0" applyNumberFormat="1" applyFont="1" applyAlignment="1">
      <alignment horizontal="right"/>
    </xf>
    <xf numFmtId="166" fontId="7" fillId="0" borderId="0" xfId="1" applyNumberFormat="1" applyFont="1"/>
    <xf numFmtId="12" fontId="1" fillId="0" borderId="0" xfId="2" applyNumberFormat="1" applyFont="1"/>
    <xf numFmtId="0" fontId="3" fillId="0" borderId="1" xfId="0" applyFont="1" applyBorder="1" applyAlignment="1">
      <alignment horizontal="center" wrapText="1"/>
    </xf>
    <xf numFmtId="0" fontId="3" fillId="0" borderId="0" xfId="0" applyFont="1" applyAlignment="1">
      <alignment horizontal="center" wrapText="1"/>
    </xf>
    <xf numFmtId="172" fontId="7" fillId="0" borderId="0" xfId="0" applyNumberFormat="1" applyFont="1"/>
    <xf numFmtId="172" fontId="17" fillId="0" borderId="0" xfId="0" applyNumberFormat="1" applyFont="1"/>
    <xf numFmtId="0" fontId="0" fillId="2" borderId="0" xfId="0" applyFill="1"/>
    <xf numFmtId="41" fontId="17" fillId="2" borderId="0" xfId="0" applyNumberFormat="1" applyFont="1" applyFill="1"/>
    <xf numFmtId="172" fontId="17" fillId="2" borderId="0" xfId="0" applyNumberFormat="1" applyFont="1" applyFill="1"/>
    <xf numFmtId="171" fontId="1" fillId="0" borderId="0" xfId="2" applyNumberFormat="1" applyFont="1"/>
    <xf numFmtId="171" fontId="0" fillId="0" borderId="1" xfId="0" applyNumberFormat="1" applyBorder="1" applyAlignment="1">
      <alignment horizontal="right"/>
    </xf>
    <xf numFmtId="0" fontId="0" fillId="0" borderId="0" xfId="0" applyAlignment="1">
      <alignment horizontal="centerContinuous"/>
    </xf>
    <xf numFmtId="172" fontId="5" fillId="0" borderId="1" xfId="0" applyNumberFormat="1" applyFont="1" applyBorder="1" applyAlignment="1">
      <alignment horizontal="right"/>
    </xf>
    <xf numFmtId="172" fontId="23" fillId="0" borderId="0" xfId="0" applyNumberFormat="1" applyFont="1"/>
    <xf numFmtId="172" fontId="8" fillId="0" borderId="0" xfId="0" applyNumberFormat="1" applyFont="1" applyAlignment="1">
      <alignment horizontal="right"/>
    </xf>
    <xf numFmtId="171" fontId="7" fillId="0" borderId="1" xfId="0" applyNumberFormat="1" applyFont="1" applyBorder="1" applyAlignment="1">
      <alignment horizontal="right"/>
    </xf>
    <xf numFmtId="172" fontId="8" fillId="0" borderId="1" xfId="0" applyNumberFormat="1" applyFont="1" applyBorder="1" applyAlignment="1">
      <alignment horizontal="right"/>
    </xf>
    <xf numFmtId="175" fontId="8" fillId="0" borderId="0" xfId="0" applyNumberFormat="1" applyFont="1"/>
    <xf numFmtId="175" fontId="7" fillId="0" borderId="0" xfId="0" applyNumberFormat="1" applyFont="1"/>
    <xf numFmtId="175" fontId="8" fillId="0" borderId="0" xfId="0" applyNumberFormat="1" applyFont="1" applyAlignment="1">
      <alignment horizontal="right"/>
    </xf>
    <xf numFmtId="175" fontId="7" fillId="0" borderId="0" xfId="0" applyNumberFormat="1" applyFont="1" applyAlignment="1">
      <alignment horizontal="right"/>
    </xf>
    <xf numFmtId="171" fontId="3" fillId="0" borderId="7" xfId="0" applyNumberFormat="1" applyFont="1" applyBorder="1"/>
    <xf numFmtId="179" fontId="8" fillId="0" borderId="0" xfId="0" applyNumberFormat="1" applyFont="1" applyAlignment="1">
      <alignment horizontal="right"/>
    </xf>
    <xf numFmtId="9" fontId="0" fillId="0" borderId="0" xfId="1" applyFont="1"/>
    <xf numFmtId="41" fontId="22" fillId="0" borderId="0" xfId="0" applyNumberFormat="1" applyFont="1"/>
    <xf numFmtId="164" fontId="22" fillId="0" borderId="0" xfId="0" applyNumberFormat="1" applyFont="1"/>
    <xf numFmtId="171" fontId="22" fillId="0" borderId="0" xfId="0" applyNumberFormat="1" applyFont="1" applyAlignment="1">
      <alignment horizontal="right"/>
    </xf>
    <xf numFmtId="164" fontId="7" fillId="0" borderId="0" xfId="0" applyNumberFormat="1" applyFont="1" applyAlignment="1">
      <alignment horizontal="right"/>
    </xf>
    <xf numFmtId="169" fontId="32" fillId="0" borderId="0" xfId="2" applyNumberFormat="1" applyFont="1"/>
    <xf numFmtId="41" fontId="0" fillId="0" borderId="0" xfId="1" applyNumberFormat="1" applyFont="1"/>
    <xf numFmtId="164" fontId="21" fillId="0" borderId="0" xfId="0" applyNumberFormat="1" applyFont="1"/>
    <xf numFmtId="0" fontId="3" fillId="0" borderId="6" xfId="0" applyFont="1" applyBorder="1" applyAlignment="1">
      <alignment horizontal="center"/>
    </xf>
    <xf numFmtId="0" fontId="0" fillId="0" borderId="0" xfId="0" applyAlignment="1">
      <alignment horizontal="left" wrapText="1"/>
    </xf>
    <xf numFmtId="0" fontId="11" fillId="0" borderId="0" xfId="2" applyFont="1" applyAlignment="1">
      <alignment horizontal="left" indent="2"/>
    </xf>
    <xf numFmtId="41" fontId="12" fillId="0" borderId="0" xfId="2" applyNumberFormat="1" applyFont="1"/>
    <xf numFmtId="0" fontId="5" fillId="0" borderId="0" xfId="6" applyFont="1" applyAlignment="1">
      <alignment horizontal="left" indent="4"/>
    </xf>
  </cellXfs>
  <cellStyles count="10">
    <cellStyle name="Normal" xfId="0" builtinId="0"/>
    <cellStyle name="Normal 2" xfId="4" xr:uid="{6176FA64-C746-4020-A0D0-8E6B21DE40DD}"/>
    <cellStyle name="Normal 2 2" xfId="2" xr:uid="{3F207DE6-1448-48F9-9329-63E4945233CD}"/>
    <cellStyle name="Normal 3" xfId="6" xr:uid="{C10CC5A1-3568-4B0D-9130-A3B0CB063F98}"/>
    <cellStyle name="Percent" xfId="1" builtinId="5"/>
    <cellStyle name="Percent 2" xfId="3" xr:uid="{D58B35BE-762E-4C51-8335-9E4E4AF17AD7}"/>
    <cellStyle name="Percent 2 2 2" xfId="8" xr:uid="{20555034-D4B2-41AA-B358-BBDE9EBFD255}"/>
    <cellStyle name="Percent 3" xfId="5" xr:uid="{1A433528-0920-4492-8053-006C9735C82C}"/>
    <cellStyle name="Percent 3 2" xfId="7" xr:uid="{B5072607-036A-42AA-B336-C08119287367}"/>
    <cellStyle name="Percent 3 2 2" xfId="9" xr:uid="{C9E9026C-28DE-44C5-B97B-A473B4EB7414}"/>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0</xdr:colOff>
      <xdr:row>4</xdr:row>
      <xdr:rowOff>0</xdr:rowOff>
    </xdr:from>
    <xdr:to>
      <xdr:col>9</xdr:col>
      <xdr:colOff>0</xdr:colOff>
      <xdr:row>92</xdr:row>
      <xdr:rowOff>136152</xdr:rowOff>
    </xdr:to>
    <xdr:cxnSp macro="">
      <xdr:nvCxnSpPr>
        <xdr:cNvPr id="3" name="Straight Connector 2">
          <a:extLst>
            <a:ext uri="{FF2B5EF4-FFF2-40B4-BE49-F238E27FC236}">
              <a16:creationId xmlns:a16="http://schemas.microsoft.com/office/drawing/2014/main" id="{486D9258-17F6-484A-82BD-03E640B474A4}"/>
            </a:ext>
          </a:extLst>
        </xdr:cNvPr>
        <xdr:cNvCxnSpPr/>
      </xdr:nvCxnSpPr>
      <xdr:spPr>
        <a:xfrm>
          <a:off x="5367618" y="582706"/>
          <a:ext cx="0" cy="1105068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xdr:row>
      <xdr:rowOff>0</xdr:rowOff>
    </xdr:from>
    <xdr:to>
      <xdr:col>8</xdr:col>
      <xdr:colOff>0</xdr:colOff>
      <xdr:row>92</xdr:row>
      <xdr:rowOff>136152</xdr:rowOff>
    </xdr:to>
    <xdr:cxnSp macro="">
      <xdr:nvCxnSpPr>
        <xdr:cNvPr id="2" name="Straight Connector 1">
          <a:extLst>
            <a:ext uri="{FF2B5EF4-FFF2-40B4-BE49-F238E27FC236}">
              <a16:creationId xmlns:a16="http://schemas.microsoft.com/office/drawing/2014/main" id="{7F019970-F1FD-4562-86BC-46466E6F4AAF}"/>
            </a:ext>
          </a:extLst>
        </xdr:cNvPr>
        <xdr:cNvCxnSpPr/>
      </xdr:nvCxnSpPr>
      <xdr:spPr>
        <a:xfrm>
          <a:off x="4762500" y="582706"/>
          <a:ext cx="0" cy="1180147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472440</xdr:colOff>
      <xdr:row>5</xdr:row>
      <xdr:rowOff>0</xdr:rowOff>
    </xdr:from>
    <xdr:to>
      <xdr:col>14</xdr:col>
      <xdr:colOff>472440</xdr:colOff>
      <xdr:row>450</xdr:row>
      <xdr:rowOff>123265</xdr:rowOff>
    </xdr:to>
    <xdr:cxnSp macro="">
      <xdr:nvCxnSpPr>
        <xdr:cNvPr id="3" name="Straight Connector 2">
          <a:extLst>
            <a:ext uri="{FF2B5EF4-FFF2-40B4-BE49-F238E27FC236}">
              <a16:creationId xmlns:a16="http://schemas.microsoft.com/office/drawing/2014/main" id="{679882E2-8049-4A88-839C-15B1466D69AB}"/>
            </a:ext>
          </a:extLst>
        </xdr:cNvPr>
        <xdr:cNvCxnSpPr/>
      </xdr:nvCxnSpPr>
      <xdr:spPr>
        <a:xfrm>
          <a:off x="7520940" y="647700"/>
          <a:ext cx="0" cy="5674748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450</xdr:row>
      <xdr:rowOff>123265</xdr:rowOff>
    </xdr:to>
    <xdr:cxnSp macro="">
      <xdr:nvCxnSpPr>
        <xdr:cNvPr id="4" name="Straight Connector 3">
          <a:extLst>
            <a:ext uri="{FF2B5EF4-FFF2-40B4-BE49-F238E27FC236}">
              <a16:creationId xmlns:a16="http://schemas.microsoft.com/office/drawing/2014/main" id="{EAC2293B-00FF-4292-AEA5-89A519CAE471}"/>
            </a:ext>
          </a:extLst>
        </xdr:cNvPr>
        <xdr:cNvCxnSpPr/>
      </xdr:nvCxnSpPr>
      <xdr:spPr>
        <a:xfrm>
          <a:off x="5804647" y="728382"/>
          <a:ext cx="0" cy="195430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509867</xdr:colOff>
      <xdr:row>5</xdr:row>
      <xdr:rowOff>0</xdr:rowOff>
    </xdr:from>
    <xdr:to>
      <xdr:col>6</xdr:col>
      <xdr:colOff>509867</xdr:colOff>
      <xdr:row>450</xdr:row>
      <xdr:rowOff>123265</xdr:rowOff>
    </xdr:to>
    <xdr:cxnSp macro="">
      <xdr:nvCxnSpPr>
        <xdr:cNvPr id="9" name="Straight Connector 8">
          <a:extLst>
            <a:ext uri="{FF2B5EF4-FFF2-40B4-BE49-F238E27FC236}">
              <a16:creationId xmlns:a16="http://schemas.microsoft.com/office/drawing/2014/main" id="{2881DEF2-6A45-4FA5-908C-0B90D9D6D622}"/>
            </a:ext>
          </a:extLst>
        </xdr:cNvPr>
        <xdr:cNvCxnSpPr/>
      </xdr:nvCxnSpPr>
      <xdr:spPr>
        <a:xfrm>
          <a:off x="3910853" y="644339"/>
          <a:ext cx="0" cy="385762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515471</xdr:colOff>
      <xdr:row>5</xdr:row>
      <xdr:rowOff>0</xdr:rowOff>
    </xdr:from>
    <xdr:to>
      <xdr:col>10</xdr:col>
      <xdr:colOff>515471</xdr:colOff>
      <xdr:row>450</xdr:row>
      <xdr:rowOff>123265</xdr:rowOff>
    </xdr:to>
    <xdr:cxnSp macro="">
      <xdr:nvCxnSpPr>
        <xdr:cNvPr id="10" name="Straight Connector 9">
          <a:extLst>
            <a:ext uri="{FF2B5EF4-FFF2-40B4-BE49-F238E27FC236}">
              <a16:creationId xmlns:a16="http://schemas.microsoft.com/office/drawing/2014/main" id="{74EC5BA8-69A1-48E1-8A49-80D9E9096B12}"/>
            </a:ext>
          </a:extLst>
        </xdr:cNvPr>
        <xdr:cNvCxnSpPr/>
      </xdr:nvCxnSpPr>
      <xdr:spPr>
        <a:xfrm>
          <a:off x="3922059" y="728382"/>
          <a:ext cx="0" cy="5128932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450</xdr:row>
      <xdr:rowOff>123265</xdr:rowOff>
    </xdr:to>
    <xdr:cxnSp macro="">
      <xdr:nvCxnSpPr>
        <xdr:cNvPr id="11" name="Straight Connector 10">
          <a:extLst>
            <a:ext uri="{FF2B5EF4-FFF2-40B4-BE49-F238E27FC236}">
              <a16:creationId xmlns:a16="http://schemas.microsoft.com/office/drawing/2014/main" id="{CB5D8616-D0C2-4AE1-9FF5-63D61E255CB4}"/>
            </a:ext>
          </a:extLst>
        </xdr:cNvPr>
        <xdr:cNvCxnSpPr/>
      </xdr:nvCxnSpPr>
      <xdr:spPr>
        <a:xfrm>
          <a:off x="12550588" y="728382"/>
          <a:ext cx="0" cy="4946276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450</xdr:row>
      <xdr:rowOff>123265</xdr:rowOff>
    </xdr:to>
    <xdr:cxnSp macro="">
      <xdr:nvCxnSpPr>
        <xdr:cNvPr id="2" name="Straight Connector 4">
          <a:extLst>
            <a:ext uri="{FF2B5EF4-FFF2-40B4-BE49-F238E27FC236}">
              <a16:creationId xmlns:a16="http://schemas.microsoft.com/office/drawing/2014/main" id="{78C064A7-4D2A-4430-BFB5-7BD0177D5728}"/>
            </a:ext>
          </a:extLst>
        </xdr:cNvPr>
        <xdr:cNvCxnSpPr/>
      </xdr:nvCxnSpPr>
      <xdr:spPr>
        <a:xfrm>
          <a:off x="13990545" y="644339"/>
          <a:ext cx="0" cy="3831851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5</xdr:row>
      <xdr:rowOff>0</xdr:rowOff>
    </xdr:from>
    <xdr:to>
      <xdr:col>31</xdr:col>
      <xdr:colOff>0</xdr:colOff>
      <xdr:row>450</xdr:row>
      <xdr:rowOff>123265</xdr:rowOff>
    </xdr:to>
    <xdr:cxnSp macro="">
      <xdr:nvCxnSpPr>
        <xdr:cNvPr id="6" name="Straight Connector 5">
          <a:extLst>
            <a:ext uri="{FF2B5EF4-FFF2-40B4-BE49-F238E27FC236}">
              <a16:creationId xmlns:a16="http://schemas.microsoft.com/office/drawing/2014/main" id="{8C6FD6D0-4598-4937-9576-F92F6A678D74}"/>
            </a:ext>
          </a:extLst>
        </xdr:cNvPr>
        <xdr:cNvCxnSpPr/>
      </xdr:nvCxnSpPr>
      <xdr:spPr>
        <a:xfrm>
          <a:off x="14702118" y="728382"/>
          <a:ext cx="0" cy="5114364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5</xdr:row>
      <xdr:rowOff>0</xdr:rowOff>
    </xdr:from>
    <xdr:to>
      <xdr:col>49</xdr:col>
      <xdr:colOff>0</xdr:colOff>
      <xdr:row>450</xdr:row>
      <xdr:rowOff>119254</xdr:rowOff>
    </xdr:to>
    <xdr:cxnSp macro="">
      <xdr:nvCxnSpPr>
        <xdr:cNvPr id="5" name="Straight Connector 4">
          <a:extLst>
            <a:ext uri="{FF2B5EF4-FFF2-40B4-BE49-F238E27FC236}">
              <a16:creationId xmlns:a16="http://schemas.microsoft.com/office/drawing/2014/main" id="{535D1D72-4222-4434-BF42-1897008F8302}"/>
            </a:ext>
          </a:extLst>
        </xdr:cNvPr>
        <xdr:cNvCxnSpPr/>
      </xdr:nvCxnSpPr>
      <xdr:spPr>
        <a:xfrm>
          <a:off x="19699941" y="728382"/>
          <a:ext cx="0" cy="5322393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5</xdr:row>
      <xdr:rowOff>0</xdr:rowOff>
    </xdr:from>
    <xdr:to>
      <xdr:col>33</xdr:col>
      <xdr:colOff>0</xdr:colOff>
      <xdr:row>450</xdr:row>
      <xdr:rowOff>123265</xdr:rowOff>
    </xdr:to>
    <xdr:cxnSp macro="">
      <xdr:nvCxnSpPr>
        <xdr:cNvPr id="8" name="Straight Connector 7">
          <a:extLst>
            <a:ext uri="{FF2B5EF4-FFF2-40B4-BE49-F238E27FC236}">
              <a16:creationId xmlns:a16="http://schemas.microsoft.com/office/drawing/2014/main" id="{5D7E4F31-115B-499B-9A59-8FF0D98CD44B}"/>
            </a:ext>
          </a:extLst>
        </xdr:cNvPr>
        <xdr:cNvCxnSpPr/>
      </xdr:nvCxnSpPr>
      <xdr:spPr>
        <a:xfrm>
          <a:off x="13420725" y="714375"/>
          <a:ext cx="0" cy="5550161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5</xdr:row>
      <xdr:rowOff>0</xdr:rowOff>
    </xdr:from>
    <xdr:to>
      <xdr:col>35</xdr:col>
      <xdr:colOff>0</xdr:colOff>
      <xdr:row>450</xdr:row>
      <xdr:rowOff>123265</xdr:rowOff>
    </xdr:to>
    <xdr:cxnSp macro="">
      <xdr:nvCxnSpPr>
        <xdr:cNvPr id="7" name="Straight Connector 6">
          <a:extLst>
            <a:ext uri="{FF2B5EF4-FFF2-40B4-BE49-F238E27FC236}">
              <a16:creationId xmlns:a16="http://schemas.microsoft.com/office/drawing/2014/main" id="{E2E10AEE-55A0-47E0-B25C-BE3E9122D5C3}"/>
            </a:ext>
          </a:extLst>
        </xdr:cNvPr>
        <xdr:cNvCxnSpPr/>
      </xdr:nvCxnSpPr>
      <xdr:spPr>
        <a:xfrm>
          <a:off x="13388340" y="647700"/>
          <a:ext cx="0" cy="5648840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4</xdr:row>
      <xdr:rowOff>142874</xdr:rowOff>
    </xdr:from>
    <xdr:to>
      <xdr:col>8</xdr:col>
      <xdr:colOff>0</xdr:colOff>
      <xdr:row>66</xdr:row>
      <xdr:rowOff>19049</xdr:rowOff>
    </xdr:to>
    <xdr:cxnSp macro="">
      <xdr:nvCxnSpPr>
        <xdr:cNvPr id="2" name="Straight Connector 1">
          <a:extLst>
            <a:ext uri="{FF2B5EF4-FFF2-40B4-BE49-F238E27FC236}">
              <a16:creationId xmlns:a16="http://schemas.microsoft.com/office/drawing/2014/main" id="{A9A6C6C2-D013-4C83-8F52-0610D2481D48}"/>
            </a:ext>
          </a:extLst>
        </xdr:cNvPr>
        <xdr:cNvCxnSpPr/>
      </xdr:nvCxnSpPr>
      <xdr:spPr>
        <a:xfrm>
          <a:off x="29051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142874</xdr:rowOff>
    </xdr:from>
    <xdr:to>
      <xdr:col>7</xdr:col>
      <xdr:colOff>0</xdr:colOff>
      <xdr:row>66</xdr:row>
      <xdr:rowOff>19049</xdr:rowOff>
    </xdr:to>
    <xdr:cxnSp macro="">
      <xdr:nvCxnSpPr>
        <xdr:cNvPr id="3" name="Straight Connector 2">
          <a:extLst>
            <a:ext uri="{FF2B5EF4-FFF2-40B4-BE49-F238E27FC236}">
              <a16:creationId xmlns:a16="http://schemas.microsoft.com/office/drawing/2014/main" id="{8D3DB061-46BF-418A-B8B7-875B973E8015}"/>
            </a:ext>
          </a:extLst>
        </xdr:cNvPr>
        <xdr:cNvCxnSpPr/>
      </xdr:nvCxnSpPr>
      <xdr:spPr>
        <a:xfrm>
          <a:off x="24574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4</xdr:row>
      <xdr:rowOff>142874</xdr:rowOff>
    </xdr:from>
    <xdr:to>
      <xdr:col>32</xdr:col>
      <xdr:colOff>0</xdr:colOff>
      <xdr:row>66</xdr:row>
      <xdr:rowOff>19049</xdr:rowOff>
    </xdr:to>
    <xdr:cxnSp macro="">
      <xdr:nvCxnSpPr>
        <xdr:cNvPr id="4" name="Straight Connector 3">
          <a:extLst>
            <a:ext uri="{FF2B5EF4-FFF2-40B4-BE49-F238E27FC236}">
              <a16:creationId xmlns:a16="http://schemas.microsoft.com/office/drawing/2014/main" id="{83DB7548-508C-4122-A4B8-784E1B776693}"/>
            </a:ext>
          </a:extLst>
        </xdr:cNvPr>
        <xdr:cNvCxnSpPr/>
      </xdr:nvCxnSpPr>
      <xdr:spPr>
        <a:xfrm>
          <a:off x="56959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4</xdr:row>
      <xdr:rowOff>142874</xdr:rowOff>
    </xdr:from>
    <xdr:to>
      <xdr:col>33</xdr:col>
      <xdr:colOff>0</xdr:colOff>
      <xdr:row>66</xdr:row>
      <xdr:rowOff>19049</xdr:rowOff>
    </xdr:to>
    <xdr:cxnSp macro="">
      <xdr:nvCxnSpPr>
        <xdr:cNvPr id="5" name="Straight Connector 4">
          <a:extLst>
            <a:ext uri="{FF2B5EF4-FFF2-40B4-BE49-F238E27FC236}">
              <a16:creationId xmlns:a16="http://schemas.microsoft.com/office/drawing/2014/main" id="{5BB53755-A3B5-4E53-B9E5-067A6A170DA2}"/>
            </a:ext>
          </a:extLst>
        </xdr:cNvPr>
        <xdr:cNvCxnSpPr/>
      </xdr:nvCxnSpPr>
      <xdr:spPr>
        <a:xfrm>
          <a:off x="61436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xdr:row>
      <xdr:rowOff>142874</xdr:rowOff>
    </xdr:from>
    <xdr:to>
      <xdr:col>41</xdr:col>
      <xdr:colOff>0</xdr:colOff>
      <xdr:row>66</xdr:row>
      <xdr:rowOff>19049</xdr:rowOff>
    </xdr:to>
    <xdr:cxnSp macro="">
      <xdr:nvCxnSpPr>
        <xdr:cNvPr id="6" name="Straight Connector 5">
          <a:extLst>
            <a:ext uri="{FF2B5EF4-FFF2-40B4-BE49-F238E27FC236}">
              <a16:creationId xmlns:a16="http://schemas.microsoft.com/office/drawing/2014/main" id="{537C6865-6FD3-4258-A0A3-F7F47E5397AA}"/>
            </a:ext>
          </a:extLst>
        </xdr:cNvPr>
        <xdr:cNvCxnSpPr/>
      </xdr:nvCxnSpPr>
      <xdr:spPr>
        <a:xfrm>
          <a:off x="97250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4</xdr:row>
      <xdr:rowOff>142874</xdr:rowOff>
    </xdr:from>
    <xdr:to>
      <xdr:col>42</xdr:col>
      <xdr:colOff>0</xdr:colOff>
      <xdr:row>66</xdr:row>
      <xdr:rowOff>19049</xdr:rowOff>
    </xdr:to>
    <xdr:cxnSp macro="">
      <xdr:nvCxnSpPr>
        <xdr:cNvPr id="7" name="Straight Connector 6">
          <a:extLst>
            <a:ext uri="{FF2B5EF4-FFF2-40B4-BE49-F238E27FC236}">
              <a16:creationId xmlns:a16="http://schemas.microsoft.com/office/drawing/2014/main" id="{B3FD9A53-CD89-44D1-AC8B-BE003F32EBDE}"/>
            </a:ext>
          </a:extLst>
        </xdr:cNvPr>
        <xdr:cNvCxnSpPr/>
      </xdr:nvCxnSpPr>
      <xdr:spPr>
        <a:xfrm>
          <a:off x="102584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0</xdr:colOff>
      <xdr:row>4</xdr:row>
      <xdr:rowOff>142874</xdr:rowOff>
    </xdr:from>
    <xdr:to>
      <xdr:col>36</xdr:col>
      <xdr:colOff>0</xdr:colOff>
      <xdr:row>66</xdr:row>
      <xdr:rowOff>19049</xdr:rowOff>
    </xdr:to>
    <xdr:cxnSp macro="">
      <xdr:nvCxnSpPr>
        <xdr:cNvPr id="8" name="Straight Connector 7">
          <a:extLst>
            <a:ext uri="{FF2B5EF4-FFF2-40B4-BE49-F238E27FC236}">
              <a16:creationId xmlns:a16="http://schemas.microsoft.com/office/drawing/2014/main" id="{D55F223D-68AD-4364-BA51-B7342C49C157}"/>
            </a:ext>
          </a:extLst>
        </xdr:cNvPr>
        <xdr:cNvCxnSpPr/>
      </xdr:nvCxnSpPr>
      <xdr:spPr>
        <a:xfrm>
          <a:off x="74866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142874</xdr:rowOff>
    </xdr:from>
    <xdr:to>
      <xdr:col>15</xdr:col>
      <xdr:colOff>0</xdr:colOff>
      <xdr:row>66</xdr:row>
      <xdr:rowOff>19049</xdr:rowOff>
    </xdr:to>
    <xdr:cxnSp macro="">
      <xdr:nvCxnSpPr>
        <xdr:cNvPr id="9" name="Straight Connector 8">
          <a:extLst>
            <a:ext uri="{FF2B5EF4-FFF2-40B4-BE49-F238E27FC236}">
              <a16:creationId xmlns:a16="http://schemas.microsoft.com/office/drawing/2014/main" id="{5D57AB2F-37FA-48ED-BC44-4900AEBFF7EC}"/>
            </a:ext>
          </a:extLst>
        </xdr:cNvPr>
        <xdr:cNvCxnSpPr/>
      </xdr:nvCxnSpPr>
      <xdr:spPr>
        <a:xfrm>
          <a:off x="7372350"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xdr:row>
      <xdr:rowOff>142874</xdr:rowOff>
    </xdr:from>
    <xdr:to>
      <xdr:col>16</xdr:col>
      <xdr:colOff>0</xdr:colOff>
      <xdr:row>66</xdr:row>
      <xdr:rowOff>19049</xdr:rowOff>
    </xdr:to>
    <xdr:cxnSp macro="">
      <xdr:nvCxnSpPr>
        <xdr:cNvPr id="10" name="Straight Connector 9">
          <a:extLst>
            <a:ext uri="{FF2B5EF4-FFF2-40B4-BE49-F238E27FC236}">
              <a16:creationId xmlns:a16="http://schemas.microsoft.com/office/drawing/2014/main" id="{FCF7FB66-D0BA-421B-929E-06CF31EAC957}"/>
            </a:ext>
          </a:extLst>
        </xdr:cNvPr>
        <xdr:cNvCxnSpPr/>
      </xdr:nvCxnSpPr>
      <xdr:spPr>
        <a:xfrm>
          <a:off x="78200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xdr:row>
      <xdr:rowOff>142874</xdr:rowOff>
    </xdr:from>
    <xdr:to>
      <xdr:col>24</xdr:col>
      <xdr:colOff>0</xdr:colOff>
      <xdr:row>66</xdr:row>
      <xdr:rowOff>19049</xdr:rowOff>
    </xdr:to>
    <xdr:cxnSp macro="">
      <xdr:nvCxnSpPr>
        <xdr:cNvPr id="11" name="Straight Connector 10">
          <a:extLst>
            <a:ext uri="{FF2B5EF4-FFF2-40B4-BE49-F238E27FC236}">
              <a16:creationId xmlns:a16="http://schemas.microsoft.com/office/drawing/2014/main" id="{F18F6771-4BF1-458E-BBAA-82B75F248FBF}"/>
            </a:ext>
          </a:extLst>
        </xdr:cNvPr>
        <xdr:cNvCxnSpPr/>
      </xdr:nvCxnSpPr>
      <xdr:spPr>
        <a:xfrm>
          <a:off x="114014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4</xdr:row>
      <xdr:rowOff>142874</xdr:rowOff>
    </xdr:from>
    <xdr:to>
      <xdr:col>25</xdr:col>
      <xdr:colOff>0</xdr:colOff>
      <xdr:row>66</xdr:row>
      <xdr:rowOff>19049</xdr:rowOff>
    </xdr:to>
    <xdr:cxnSp macro="">
      <xdr:nvCxnSpPr>
        <xdr:cNvPr id="12" name="Straight Connector 11">
          <a:extLst>
            <a:ext uri="{FF2B5EF4-FFF2-40B4-BE49-F238E27FC236}">
              <a16:creationId xmlns:a16="http://schemas.microsoft.com/office/drawing/2014/main" id="{9A5F6297-3BDC-47F4-9D9D-5107C525CAC4}"/>
            </a:ext>
          </a:extLst>
        </xdr:cNvPr>
        <xdr:cNvCxnSpPr/>
      </xdr:nvCxnSpPr>
      <xdr:spPr>
        <a:xfrm>
          <a:off x="119348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xdr:row>
      <xdr:rowOff>142874</xdr:rowOff>
    </xdr:from>
    <xdr:to>
      <xdr:col>19</xdr:col>
      <xdr:colOff>0</xdr:colOff>
      <xdr:row>66</xdr:row>
      <xdr:rowOff>19049</xdr:rowOff>
    </xdr:to>
    <xdr:cxnSp macro="">
      <xdr:nvCxnSpPr>
        <xdr:cNvPr id="13" name="Straight Connector 12">
          <a:extLst>
            <a:ext uri="{FF2B5EF4-FFF2-40B4-BE49-F238E27FC236}">
              <a16:creationId xmlns:a16="http://schemas.microsoft.com/office/drawing/2014/main" id="{AFD9A46B-72F5-471B-81B9-CA31B0D3682D}"/>
            </a:ext>
          </a:extLst>
        </xdr:cNvPr>
        <xdr:cNvCxnSpPr/>
      </xdr:nvCxnSpPr>
      <xdr:spPr>
        <a:xfrm>
          <a:off x="9163050"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4</xdr:row>
      <xdr:rowOff>0</xdr:rowOff>
    </xdr:from>
    <xdr:to>
      <xdr:col>9</xdr:col>
      <xdr:colOff>0</xdr:colOff>
      <xdr:row>78</xdr:row>
      <xdr:rowOff>136152</xdr:rowOff>
    </xdr:to>
    <xdr:cxnSp macro="">
      <xdr:nvCxnSpPr>
        <xdr:cNvPr id="2" name="Straight Connector 1">
          <a:extLst>
            <a:ext uri="{FF2B5EF4-FFF2-40B4-BE49-F238E27FC236}">
              <a16:creationId xmlns:a16="http://schemas.microsoft.com/office/drawing/2014/main" id="{16A124DC-F56C-499C-9C86-BB16074553A1}"/>
            </a:ext>
          </a:extLst>
        </xdr:cNvPr>
        <xdr:cNvCxnSpPr/>
      </xdr:nvCxnSpPr>
      <xdr:spPr>
        <a:xfrm>
          <a:off x="5367618" y="582706"/>
          <a:ext cx="0" cy="1105068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4</xdr:row>
      <xdr:rowOff>0</xdr:rowOff>
    </xdr:from>
    <xdr:to>
      <xdr:col>16</xdr:col>
      <xdr:colOff>0</xdr:colOff>
      <xdr:row>44</xdr:row>
      <xdr:rowOff>43962</xdr:rowOff>
    </xdr:to>
    <xdr:cxnSp macro="">
      <xdr:nvCxnSpPr>
        <xdr:cNvPr id="3" name="Straight Connector 2">
          <a:extLst>
            <a:ext uri="{FF2B5EF4-FFF2-40B4-BE49-F238E27FC236}">
              <a16:creationId xmlns:a16="http://schemas.microsoft.com/office/drawing/2014/main" id="{39FE511D-BD22-4A9F-8EA5-B4FB20F1B3F4}"/>
            </a:ext>
          </a:extLst>
        </xdr:cNvPr>
        <xdr:cNvCxnSpPr/>
      </xdr:nvCxnSpPr>
      <xdr:spPr>
        <a:xfrm>
          <a:off x="3304442" y="586154"/>
          <a:ext cx="0" cy="449140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xdr:row>
      <xdr:rowOff>0</xdr:rowOff>
    </xdr:from>
    <xdr:to>
      <xdr:col>24</xdr:col>
      <xdr:colOff>0</xdr:colOff>
      <xdr:row>44</xdr:row>
      <xdr:rowOff>43962</xdr:rowOff>
    </xdr:to>
    <xdr:cxnSp macro="">
      <xdr:nvCxnSpPr>
        <xdr:cNvPr id="5" name="Straight Connector 4">
          <a:extLst>
            <a:ext uri="{FF2B5EF4-FFF2-40B4-BE49-F238E27FC236}">
              <a16:creationId xmlns:a16="http://schemas.microsoft.com/office/drawing/2014/main" id="{E76F4DEC-9996-4B6A-B89E-AFEF5E984DD7}"/>
            </a:ext>
          </a:extLst>
        </xdr:cNvPr>
        <xdr:cNvCxnSpPr/>
      </xdr:nvCxnSpPr>
      <xdr:spPr>
        <a:xfrm>
          <a:off x="6828692" y="586154"/>
          <a:ext cx="0" cy="449140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D2E0-8449-4371-94F1-8947FF35B11A}">
  <dimension ref="A1"/>
  <sheetViews>
    <sheetView workbookViewId="0"/>
  </sheetViews>
  <sheetFormatPr defaultRowHeight="11.25" x14ac:dyDescent="0.2"/>
  <sheetData>
    <row r="1" spans="1:1" x14ac:dyDescent="0.2">
      <c r="A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9D41-E7D3-4B57-BAB7-3B6D874EBC69}">
  <dimension ref="A1:AW1"/>
  <sheetViews>
    <sheetView workbookViewId="0"/>
  </sheetViews>
  <sheetFormatPr defaultRowHeight="11.25" x14ac:dyDescent="0.2"/>
  <sheetData>
    <row r="1" spans="1:49" x14ac:dyDescent="0.2">
      <c r="A1">
        <v>49</v>
      </c>
      <c r="B1" t="s">
        <v>447</v>
      </c>
      <c r="C1" t="s">
        <v>448</v>
      </c>
      <c r="D1" t="s">
        <v>401</v>
      </c>
      <c r="E1" t="s">
        <v>402</v>
      </c>
      <c r="F1" t="s">
        <v>403</v>
      </c>
      <c r="G1" t="s">
        <v>404</v>
      </c>
      <c r="H1" t="s">
        <v>405</v>
      </c>
      <c r="I1" t="s">
        <v>406</v>
      </c>
      <c r="J1" t="s">
        <v>407</v>
      </c>
      <c r="K1" t="s">
        <v>408</v>
      </c>
      <c r="L1" t="s">
        <v>409</v>
      </c>
      <c r="M1" t="s">
        <v>410</v>
      </c>
      <c r="N1" t="s">
        <v>411</v>
      </c>
      <c r="O1" t="s">
        <v>412</v>
      </c>
      <c r="P1" t="s">
        <v>413</v>
      </c>
      <c r="Q1" t="s">
        <v>414</v>
      </c>
      <c r="R1" t="s">
        <v>415</v>
      </c>
      <c r="S1" t="s">
        <v>416</v>
      </c>
      <c r="T1" t="s">
        <v>417</v>
      </c>
      <c r="U1" t="s">
        <v>418</v>
      </c>
      <c r="V1" t="s">
        <v>419</v>
      </c>
      <c r="W1" t="s">
        <v>420</v>
      </c>
      <c r="X1" t="s">
        <v>421</v>
      </c>
      <c r="Y1" t="s">
        <v>422</v>
      </c>
      <c r="Z1" t="s">
        <v>423</v>
      </c>
      <c r="AA1" t="s">
        <v>424</v>
      </c>
      <c r="AB1" t="s">
        <v>425</v>
      </c>
      <c r="AC1" t="s">
        <v>426</v>
      </c>
      <c r="AD1" t="s">
        <v>427</v>
      </c>
      <c r="AE1" t="s">
        <v>428</v>
      </c>
      <c r="AF1" t="s">
        <v>429</v>
      </c>
      <c r="AG1" t="s">
        <v>430</v>
      </c>
      <c r="AH1" t="s">
        <v>431</v>
      </c>
      <c r="AI1" t="s">
        <v>432</v>
      </c>
      <c r="AJ1" t="s">
        <v>433</v>
      </c>
      <c r="AK1" t="s">
        <v>434</v>
      </c>
      <c r="AL1" t="s">
        <v>435</v>
      </c>
      <c r="AM1" t="s">
        <v>436</v>
      </c>
      <c r="AN1" t="s">
        <v>437</v>
      </c>
      <c r="AO1" t="s">
        <v>438</v>
      </c>
      <c r="AP1" t="s">
        <v>439</v>
      </c>
      <c r="AQ1" t="s">
        <v>440</v>
      </c>
      <c r="AR1" t="s">
        <v>441</v>
      </c>
      <c r="AS1" t="s">
        <v>442</v>
      </c>
      <c r="AT1" t="s">
        <v>443</v>
      </c>
      <c r="AU1" t="s">
        <v>444</v>
      </c>
      <c r="AV1" t="s">
        <v>445</v>
      </c>
      <c r="AW1"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8470-AFAA-4404-92C1-15FE735A23BB}">
  <sheetPr>
    <pageSetUpPr fitToPage="1"/>
  </sheetPr>
  <dimension ref="B2:AF117"/>
  <sheetViews>
    <sheetView tabSelected="1" view="pageBreakPreview" zoomScaleNormal="100" zoomScaleSheetLayoutView="100" workbookViewId="0">
      <selection activeCell="I6" sqref="I6"/>
    </sheetView>
  </sheetViews>
  <sheetFormatPr defaultColWidth="10.6640625" defaultRowHeight="11.25" outlineLevelRow="1" x14ac:dyDescent="0.2"/>
  <cols>
    <col min="1" max="1" width="4.1640625" style="34" customWidth="1"/>
    <col min="2" max="2" width="30" style="34" customWidth="1"/>
    <col min="3" max="3" width="3.1640625" style="34" customWidth="1"/>
    <col min="4" max="20" width="9.1640625" style="34" customWidth="1"/>
    <col min="21" max="16384" width="10.6640625" style="34"/>
  </cols>
  <sheetData>
    <row r="2" spans="2:24" x14ac:dyDescent="0.2">
      <c r="B2" s="33" t="s">
        <v>0</v>
      </c>
      <c r="L2" s="35"/>
      <c r="M2" s="36"/>
      <c r="N2" s="36"/>
      <c r="O2" s="36"/>
      <c r="T2" s="37">
        <v>45565</v>
      </c>
    </row>
    <row r="3" spans="2:24" s="39" customFormat="1" x14ac:dyDescent="0.2">
      <c r="B3" s="38" t="s">
        <v>319</v>
      </c>
    </row>
    <row r="4" spans="2:24" x14ac:dyDescent="0.2">
      <c r="B4" s="55" t="s">
        <v>76</v>
      </c>
      <c r="D4" s="40" t="s">
        <v>45</v>
      </c>
      <c r="E4" s="41"/>
      <c r="F4" s="41"/>
      <c r="G4" s="41"/>
      <c r="H4" s="41"/>
      <c r="I4" s="41"/>
      <c r="J4" s="41"/>
      <c r="K4" s="41"/>
      <c r="L4" s="41"/>
      <c r="M4" s="41"/>
      <c r="N4" s="41"/>
      <c r="O4" s="41"/>
      <c r="P4" s="41"/>
      <c r="Q4" s="41"/>
      <c r="R4" s="41"/>
      <c r="S4" s="41"/>
      <c r="T4" s="41"/>
    </row>
    <row r="5" spans="2:24" ht="13.5" x14ac:dyDescent="0.35">
      <c r="D5" s="42" t="s">
        <v>15</v>
      </c>
      <c r="E5" s="42" t="s">
        <v>16</v>
      </c>
      <c r="F5" s="42" t="s">
        <v>218</v>
      </c>
      <c r="G5" s="42" t="s">
        <v>305</v>
      </c>
      <c r="H5" s="42" t="s">
        <v>327</v>
      </c>
      <c r="I5" s="42" t="s">
        <v>48</v>
      </c>
      <c r="J5" s="42" t="s">
        <v>49</v>
      </c>
      <c r="K5" s="42" t="s">
        <v>50</v>
      </c>
      <c r="L5" s="42" t="s">
        <v>51</v>
      </c>
      <c r="M5" s="42" t="s">
        <v>52</v>
      </c>
      <c r="N5" s="42" t="s">
        <v>53</v>
      </c>
      <c r="O5" s="42" t="s">
        <v>54</v>
      </c>
      <c r="P5" s="42" t="s">
        <v>55</v>
      </c>
      <c r="Q5" s="42" t="s">
        <v>56</v>
      </c>
      <c r="R5" s="42" t="s">
        <v>244</v>
      </c>
      <c r="S5" s="42" t="s">
        <v>317</v>
      </c>
      <c r="T5" s="42" t="s">
        <v>342</v>
      </c>
    </row>
    <row r="6" spans="2:24" x14ac:dyDescent="0.2">
      <c r="D6" s="43"/>
      <c r="E6" s="43"/>
      <c r="F6" s="43"/>
      <c r="G6" s="43"/>
      <c r="H6" s="43"/>
      <c r="I6" s="43">
        <v>45565</v>
      </c>
      <c r="J6" s="43">
        <v>46022</v>
      </c>
      <c r="K6" s="43">
        <v>46387</v>
      </c>
      <c r="L6" s="43">
        <v>46752</v>
      </c>
      <c r="M6" s="43">
        <v>47118</v>
      </c>
      <c r="N6" s="43">
        <v>47483</v>
      </c>
      <c r="O6" s="43">
        <v>47848</v>
      </c>
      <c r="P6" s="43">
        <v>48213</v>
      </c>
      <c r="Q6" s="43">
        <v>48579</v>
      </c>
      <c r="R6" s="43">
        <v>48944</v>
      </c>
      <c r="S6" s="43">
        <v>49309</v>
      </c>
      <c r="T6" s="43">
        <v>49674</v>
      </c>
    </row>
    <row r="7" spans="2:24" ht="10.15" x14ac:dyDescent="0.2">
      <c r="B7" s="44" t="s">
        <v>17</v>
      </c>
      <c r="C7" s="45"/>
      <c r="D7" s="165">
        <f>+'Historical Financials'!AS12</f>
        <v>92.108999999999995</v>
      </c>
      <c r="E7" s="165">
        <f>+'Historical Financials'!AT12</f>
        <v>124.875</v>
      </c>
      <c r="F7" s="165">
        <f>SUM('Historical Financials'!AU12)</f>
        <v>188.001</v>
      </c>
      <c r="G7" s="165">
        <f>SUM('Historical Financials'!AV12)</f>
        <v>254.316</v>
      </c>
      <c r="H7" s="165">
        <f>SUM('Historical Financials'!AW12)</f>
        <v>307.67500000000001</v>
      </c>
      <c r="I7" s="165">
        <f>SUM('Historical Financials'!AX12)</f>
        <v>375.35697260273975</v>
      </c>
      <c r="J7" s="165">
        <f>SUM('Historical Financials'!AY12)</f>
        <v>442.73150684931511</v>
      </c>
      <c r="K7" s="45">
        <f t="shared" ref="K7:T7" si="0">J7*(1+K8)</f>
        <v>517.99586301369868</v>
      </c>
      <c r="L7" s="45">
        <f t="shared" si="0"/>
        <v>600.87520109589047</v>
      </c>
      <c r="M7" s="45">
        <f t="shared" si="0"/>
        <v>691.00648126027397</v>
      </c>
      <c r="N7" s="45">
        <f t="shared" si="0"/>
        <v>787.74738863671246</v>
      </c>
      <c r="O7" s="45">
        <f t="shared" si="0"/>
        <v>890.15454915948499</v>
      </c>
      <c r="P7" s="45">
        <f t="shared" si="0"/>
        <v>996.97309505862324</v>
      </c>
      <c r="Q7" s="45">
        <f t="shared" si="0"/>
        <v>1106.640135515072</v>
      </c>
      <c r="R7" s="45">
        <f t="shared" si="0"/>
        <v>1217.3041490665792</v>
      </c>
      <c r="S7" s="45">
        <f t="shared" si="0"/>
        <v>1339.0345639732373</v>
      </c>
      <c r="T7" s="45">
        <f t="shared" si="0"/>
        <v>1472.9380203705612</v>
      </c>
      <c r="U7" s="148"/>
      <c r="V7" s="77">
        <v>368.03391780821914</v>
      </c>
      <c r="W7" s="264"/>
    </row>
    <row r="8" spans="2:24" s="55" customFormat="1" ht="10.15" x14ac:dyDescent="0.2">
      <c r="B8" s="78" t="s">
        <v>18</v>
      </c>
      <c r="C8" s="52"/>
      <c r="D8" s="79"/>
      <c r="E8" s="105">
        <f t="shared" ref="E8:J8" si="1">+E7/D7-1</f>
        <v>0.35573071035403725</v>
      </c>
      <c r="F8" s="105">
        <f t="shared" si="1"/>
        <v>0.50551351351351359</v>
      </c>
      <c r="G8" s="105">
        <f t="shared" si="1"/>
        <v>0.35273748543890715</v>
      </c>
      <c r="H8" s="105">
        <f t="shared" si="1"/>
        <v>0.20981377498859688</v>
      </c>
      <c r="I8" s="105">
        <f t="shared" si="1"/>
        <v>0.21997878476554722</v>
      </c>
      <c r="J8" s="105">
        <f t="shared" si="1"/>
        <v>0.1794945589511705</v>
      </c>
      <c r="K8" s="105">
        <f>+K9</f>
        <v>0.17</v>
      </c>
      <c r="L8" s="105">
        <f t="shared" ref="L8:T8" si="2">+L9</f>
        <v>0.16</v>
      </c>
      <c r="M8" s="105">
        <f t="shared" si="2"/>
        <v>0.15</v>
      </c>
      <c r="N8" s="105">
        <f t="shared" si="2"/>
        <v>0.14000000000000001</v>
      </c>
      <c r="O8" s="105">
        <f t="shared" si="2"/>
        <v>0.13</v>
      </c>
      <c r="P8" s="105">
        <f t="shared" si="2"/>
        <v>0.12</v>
      </c>
      <c r="Q8" s="105">
        <f t="shared" si="2"/>
        <v>0.11</v>
      </c>
      <c r="R8" s="105">
        <f t="shared" si="2"/>
        <v>0.1</v>
      </c>
      <c r="S8" s="105">
        <f t="shared" si="2"/>
        <v>0.1</v>
      </c>
      <c r="T8" s="105">
        <f t="shared" si="2"/>
        <v>0.1</v>
      </c>
      <c r="V8" s="81">
        <f>+I7/V7-1</f>
        <v>1.9897771482944249E-2</v>
      </c>
      <c r="W8" s="52"/>
      <c r="X8" s="52"/>
    </row>
    <row r="9" spans="2:24" s="55" customFormat="1" ht="10.15" x14ac:dyDescent="0.2">
      <c r="B9" s="78" t="s">
        <v>383</v>
      </c>
      <c r="C9" s="52"/>
      <c r="D9" s="79"/>
      <c r="E9" s="291">
        <f>+'Historical Financials'!AT14</f>
        <v>0.35573071035403725</v>
      </c>
      <c r="F9" s="291">
        <f>+'Historical Financials'!AU14</f>
        <v>0.50551351351351359</v>
      </c>
      <c r="G9" s="291">
        <f>+'Historical Financials'!AV14</f>
        <v>0.35273748543890715</v>
      </c>
      <c r="H9" s="291">
        <f>+'Historical Financials'!AW14</f>
        <v>0.20981377498859688</v>
      </c>
      <c r="I9" s="291">
        <f>+'Historical Financials'!AX14</f>
        <v>0.19997878476554723</v>
      </c>
      <c r="J9" s="291">
        <f>+'Historical Financials'!AY14</f>
        <v>0.16953846067177056</v>
      </c>
      <c r="K9" s="106">
        <v>0.17</v>
      </c>
      <c r="L9" s="106">
        <v>0.16</v>
      </c>
      <c r="M9" s="106">
        <v>0.15</v>
      </c>
      <c r="N9" s="106">
        <v>0.14000000000000001</v>
      </c>
      <c r="O9" s="106">
        <v>0.13</v>
      </c>
      <c r="P9" s="106">
        <v>0.12</v>
      </c>
      <c r="Q9" s="106">
        <v>0.11</v>
      </c>
      <c r="R9" s="106">
        <v>0.1</v>
      </c>
      <c r="S9" s="106">
        <v>0.1</v>
      </c>
      <c r="T9" s="106">
        <v>0.1</v>
      </c>
      <c r="V9" s="81"/>
      <c r="W9" s="52"/>
      <c r="X9" s="52"/>
    </row>
    <row r="10" spans="2:24" s="55" customFormat="1" x14ac:dyDescent="0.2">
      <c r="B10" s="78"/>
      <c r="C10" s="52"/>
      <c r="D10" s="79"/>
      <c r="E10" s="105"/>
      <c r="F10" s="105"/>
      <c r="G10" s="105"/>
      <c r="H10" s="105"/>
      <c r="I10" s="105"/>
      <c r="J10" s="106"/>
      <c r="K10" s="106"/>
      <c r="L10" s="106"/>
      <c r="M10" s="106"/>
      <c r="N10" s="106"/>
      <c r="O10" s="106"/>
      <c r="P10" s="106"/>
      <c r="Q10" s="106"/>
      <c r="R10" s="106"/>
      <c r="S10" s="106"/>
      <c r="T10" s="106"/>
      <c r="V10" s="81"/>
      <c r="W10" s="52"/>
      <c r="X10" s="52"/>
    </row>
    <row r="11" spans="2:24" s="55" customFormat="1" ht="10.15" x14ac:dyDescent="0.2">
      <c r="B11" s="253" t="s">
        <v>250</v>
      </c>
      <c r="C11" s="52"/>
      <c r="D11" s="165">
        <f>+'Historical Financials'!AS31</f>
        <v>69.578000000000003</v>
      </c>
      <c r="E11" s="165">
        <f>+'Historical Financials'!AT31</f>
        <v>95.031999999999996</v>
      </c>
      <c r="F11" s="165">
        <f>+'Historical Financials'!AU31</f>
        <v>146.33000000000001</v>
      </c>
      <c r="G11" s="165">
        <f>+'Historical Financials'!AV31</f>
        <v>207.71700000000001</v>
      </c>
      <c r="H11" s="165">
        <f>+'Historical Financials'!AW31</f>
        <v>257.78500000000003</v>
      </c>
      <c r="I11" s="165">
        <f>+'Historical Financials'!AX31</f>
        <v>315.65993698630137</v>
      </c>
      <c r="J11" s="165">
        <f>+'Historical Financials'!AY31</f>
        <v>373.66539178082189</v>
      </c>
      <c r="K11" s="45">
        <f t="shared" ref="K11:S11" si="3">+K13*K7</f>
        <v>437.18850838356161</v>
      </c>
      <c r="L11" s="45">
        <f t="shared" si="3"/>
        <v>507.1386697249315</v>
      </c>
      <c r="M11" s="45">
        <f t="shared" si="3"/>
        <v>583.2094701836711</v>
      </c>
      <c r="N11" s="45">
        <f t="shared" si="3"/>
        <v>664.85879600938517</v>
      </c>
      <c r="O11" s="45">
        <f t="shared" si="3"/>
        <v>751.29043949060519</v>
      </c>
      <c r="P11" s="45">
        <f t="shared" si="3"/>
        <v>841.4452922294779</v>
      </c>
      <c r="Q11" s="45">
        <f t="shared" si="3"/>
        <v>934.00427437472058</v>
      </c>
      <c r="R11" s="45">
        <f t="shared" si="3"/>
        <v>1027.4047018121926</v>
      </c>
      <c r="S11" s="45">
        <f t="shared" si="3"/>
        <v>1130.1451719934121</v>
      </c>
      <c r="T11" s="45">
        <f t="shared" ref="T11" si="4">+T13*T7</f>
        <v>1243.1596891927534</v>
      </c>
      <c r="V11" s="81"/>
      <c r="W11" s="52"/>
      <c r="X11" s="52"/>
    </row>
    <row r="12" spans="2:24" s="55" customFormat="1" x14ac:dyDescent="0.2">
      <c r="B12" s="78" t="s">
        <v>18</v>
      </c>
      <c r="C12" s="52"/>
      <c r="D12" s="79"/>
      <c r="E12" s="105">
        <f t="shared" ref="E12:J12" si="5">+E11/D11-1</f>
        <v>0.36583402799735532</v>
      </c>
      <c r="F12" s="105">
        <f t="shared" si="5"/>
        <v>0.53979712096977872</v>
      </c>
      <c r="G12" s="105">
        <f t="shared" si="5"/>
        <v>0.41951069500444205</v>
      </c>
      <c r="H12" s="105">
        <f t="shared" si="5"/>
        <v>0.24103949123085733</v>
      </c>
      <c r="I12" s="105">
        <f t="shared" si="5"/>
        <v>0.2245085516469203</v>
      </c>
      <c r="J12" s="105">
        <f t="shared" si="5"/>
        <v>0.18375931817105373</v>
      </c>
      <c r="K12" s="105">
        <f t="shared" ref="K12:T12" si="6">+K11/J11-1</f>
        <v>0.16999999999999993</v>
      </c>
      <c r="L12" s="105">
        <f t="shared" si="6"/>
        <v>0.16000000000000014</v>
      </c>
      <c r="M12" s="105">
        <f t="shared" si="6"/>
        <v>0.14999999999999969</v>
      </c>
      <c r="N12" s="105">
        <f t="shared" si="6"/>
        <v>0.14000000000000012</v>
      </c>
      <c r="O12" s="105">
        <f t="shared" si="6"/>
        <v>0.12999999999999989</v>
      </c>
      <c r="P12" s="105">
        <f t="shared" si="6"/>
        <v>0.12000000000000011</v>
      </c>
      <c r="Q12" s="105">
        <f t="shared" si="6"/>
        <v>0.1100000000000001</v>
      </c>
      <c r="R12" s="105">
        <f t="shared" si="6"/>
        <v>9.9999999999999867E-2</v>
      </c>
      <c r="S12" s="105">
        <f t="shared" si="6"/>
        <v>0.10000000000000031</v>
      </c>
      <c r="T12" s="105">
        <f t="shared" si="6"/>
        <v>0.10000000000000009</v>
      </c>
      <c r="V12" s="81"/>
      <c r="W12" s="52"/>
      <c r="X12" s="52"/>
    </row>
    <row r="13" spans="2:24" s="55" customFormat="1" ht="10.15" x14ac:dyDescent="0.2">
      <c r="B13" s="78" t="s">
        <v>20</v>
      </c>
      <c r="C13" s="52"/>
      <c r="D13" s="79">
        <f>+IFERROR(D11/D7,"n/a")</f>
        <v>0.75538763855866431</v>
      </c>
      <c r="E13" s="79">
        <f t="shared" ref="E13:H13" si="7">+IFERROR(E11/E7,"n/a")</f>
        <v>0.76101701701701696</v>
      </c>
      <c r="F13" s="79">
        <f t="shared" si="7"/>
        <v>0.77834692368657621</v>
      </c>
      <c r="G13" s="79">
        <f t="shared" si="7"/>
        <v>0.8167673288349927</v>
      </c>
      <c r="H13" s="79">
        <f t="shared" si="7"/>
        <v>0.83784837897131714</v>
      </c>
      <c r="I13" s="79">
        <f t="shared" ref="I13:J13" si="8">+IFERROR(I11/I7,"n/a")</f>
        <v>0.84095930014967668</v>
      </c>
      <c r="J13" s="79">
        <f t="shared" si="8"/>
        <v>0.84399999999999986</v>
      </c>
      <c r="K13" s="80">
        <f t="shared" ref="K13:T13" si="9">+J13</f>
        <v>0.84399999999999986</v>
      </c>
      <c r="L13" s="80">
        <f t="shared" si="9"/>
        <v>0.84399999999999986</v>
      </c>
      <c r="M13" s="80">
        <f t="shared" si="9"/>
        <v>0.84399999999999986</v>
      </c>
      <c r="N13" s="80">
        <f t="shared" si="9"/>
        <v>0.84399999999999986</v>
      </c>
      <c r="O13" s="80">
        <f t="shared" si="9"/>
        <v>0.84399999999999986</v>
      </c>
      <c r="P13" s="80">
        <f t="shared" si="9"/>
        <v>0.84399999999999986</v>
      </c>
      <c r="Q13" s="80">
        <f t="shared" si="9"/>
        <v>0.84399999999999986</v>
      </c>
      <c r="R13" s="80">
        <f t="shared" si="9"/>
        <v>0.84399999999999986</v>
      </c>
      <c r="S13" s="80">
        <f t="shared" si="9"/>
        <v>0.84399999999999986</v>
      </c>
      <c r="T13" s="80">
        <f t="shared" si="9"/>
        <v>0.84399999999999986</v>
      </c>
      <c r="V13" s="81"/>
      <c r="W13" s="52"/>
      <c r="X13" s="52"/>
    </row>
    <row r="14" spans="2:24" s="55" customFormat="1" x14ac:dyDescent="0.2">
      <c r="B14" s="78"/>
      <c r="C14" s="52"/>
      <c r="D14" s="79"/>
      <c r="E14" s="79"/>
      <c r="F14" s="79"/>
      <c r="G14" s="79"/>
      <c r="H14" s="79"/>
      <c r="I14" s="79"/>
      <c r="J14" s="80"/>
      <c r="K14" s="80"/>
      <c r="L14" s="80"/>
      <c r="M14" s="80"/>
      <c r="N14" s="80"/>
      <c r="O14" s="80"/>
      <c r="P14" s="80"/>
      <c r="Q14" s="80"/>
      <c r="R14" s="80"/>
      <c r="S14" s="80"/>
      <c r="T14" s="80"/>
      <c r="V14" s="81"/>
      <c r="W14" s="52"/>
      <c r="X14" s="52"/>
    </row>
    <row r="15" spans="2:24" s="55" customFormat="1" x14ac:dyDescent="0.2">
      <c r="B15" s="254" t="s">
        <v>249</v>
      </c>
      <c r="C15" s="52"/>
      <c r="D15" s="45">
        <f>+D11-D19</f>
        <v>77.296999999999997</v>
      </c>
      <c r="E15" s="45">
        <f t="shared" ref="E15:T15" si="10">+E11-E19</f>
        <v>100.029</v>
      </c>
      <c r="F15" s="45">
        <f t="shared" si="10"/>
        <v>145.85399999999998</v>
      </c>
      <c r="G15" s="45">
        <f t="shared" si="10"/>
        <v>223.553</v>
      </c>
      <c r="H15" s="45">
        <f t="shared" si="10"/>
        <v>246.14399999999998</v>
      </c>
      <c r="I15" s="45">
        <f t="shared" si="10"/>
        <v>269.12962465753424</v>
      </c>
      <c r="J15" s="45">
        <f t="shared" si="10"/>
        <v>298.29069863013694</v>
      </c>
      <c r="K15" s="45">
        <f t="shared" si="10"/>
        <v>324.84795167087952</v>
      </c>
      <c r="L15" s="45">
        <f t="shared" si="10"/>
        <v>354.28715529029739</v>
      </c>
      <c r="M15" s="45">
        <f t="shared" si="10"/>
        <v>384.63135294563972</v>
      </c>
      <c r="N15" s="45">
        <f t="shared" si="10"/>
        <v>417.12938775931048</v>
      </c>
      <c r="O15" s="45">
        <f t="shared" si="10"/>
        <v>451.45154148221201</v>
      </c>
      <c r="P15" s="45">
        <f t="shared" si="10"/>
        <v>487.16454199449055</v>
      </c>
      <c r="Q15" s="45">
        <f t="shared" si="10"/>
        <v>523.73351512124088</v>
      </c>
      <c r="R15" s="45">
        <f t="shared" si="10"/>
        <v>560.52929962711687</v>
      </c>
      <c r="S15" s="45">
        <f t="shared" si="10"/>
        <v>600.94379737612746</v>
      </c>
      <c r="T15" s="45">
        <f t="shared" si="10"/>
        <v>645.33279317184031</v>
      </c>
      <c r="V15" s="81"/>
      <c r="W15" s="52"/>
      <c r="X15" s="52"/>
    </row>
    <row r="16" spans="2:24" s="55" customFormat="1" x14ac:dyDescent="0.2">
      <c r="B16" s="78" t="s">
        <v>18</v>
      </c>
      <c r="C16" s="52"/>
      <c r="D16" s="79"/>
      <c r="E16" s="105">
        <f>+E15/D15-1</f>
        <v>0.29408644578702936</v>
      </c>
      <c r="F16" s="105">
        <f>+F15/E15-1</f>
        <v>0.45811714602765186</v>
      </c>
      <c r="G16" s="105">
        <f>+G15/F15-1</f>
        <v>0.5327176491560055</v>
      </c>
      <c r="H16" s="105">
        <f>+H15/G15-1</f>
        <v>0.1010543361082159</v>
      </c>
      <c r="I16" s="105">
        <f>+I15/H15-1</f>
        <v>9.3382835484652427E-2</v>
      </c>
      <c r="J16" s="105">
        <f t="shared" ref="J16" si="11">+J15/I15-1</f>
        <v>0.10835326660790323</v>
      </c>
      <c r="K16" s="105">
        <f t="shared" ref="K16" si="12">+K15/J15-1</f>
        <v>8.9031448726706763E-2</v>
      </c>
      <c r="L16" s="105">
        <f t="shared" ref="L16" si="13">+L15/K15-1</f>
        <v>9.0624562870090797E-2</v>
      </c>
      <c r="M16" s="105">
        <f t="shared" ref="M16" si="14">+M15/L15-1</f>
        <v>8.5648596631957341E-2</v>
      </c>
      <c r="N16" s="105">
        <f t="shared" ref="N16" si="15">+N15/M15-1</f>
        <v>8.4491382631159961E-2</v>
      </c>
      <c r="O16" s="105">
        <f t="shared" ref="O16" si="16">+O15/N15-1</f>
        <v>8.2281792484747873E-2</v>
      </c>
      <c r="P16" s="105">
        <f t="shared" ref="P16" si="17">+P15/O15-1</f>
        <v>7.9107051877650214E-2</v>
      </c>
      <c r="Q16" s="105">
        <f t="shared" ref="Q16" si="18">+Q15/P15-1</f>
        <v>7.5064931813456859E-2</v>
      </c>
      <c r="R16" s="105">
        <f t="shared" ref="R16" si="19">+R15/Q15-1</f>
        <v>7.0256692465743731E-2</v>
      </c>
      <c r="S16" s="105">
        <f t="shared" ref="S16:T16" si="20">+S15/R15-1</f>
        <v>7.2100598088085111E-2</v>
      </c>
      <c r="T16" s="105">
        <f t="shared" si="20"/>
        <v>7.3865469598864975E-2</v>
      </c>
      <c r="V16" s="81"/>
      <c r="W16" s="52"/>
      <c r="X16" s="52"/>
    </row>
    <row r="17" spans="2:30" s="55" customFormat="1" x14ac:dyDescent="0.2">
      <c r="B17" s="78" t="s">
        <v>26</v>
      </c>
      <c r="C17" s="52"/>
      <c r="D17" s="79">
        <f>+IFERROR(D15/D7,"n/a")</f>
        <v>0.83919052427015817</v>
      </c>
      <c r="E17" s="79">
        <f t="shared" ref="E17:S17" si="21">+IFERROR(E15/E7,"n/a")</f>
        <v>0.80103303303303297</v>
      </c>
      <c r="F17" s="79">
        <f t="shared" si="21"/>
        <v>0.77581502226051979</v>
      </c>
      <c r="G17" s="79">
        <f t="shared" si="21"/>
        <v>0.8790363170229164</v>
      </c>
      <c r="H17" s="79">
        <f t="shared" si="21"/>
        <v>0.800013000731291</v>
      </c>
      <c r="I17" s="79">
        <f t="shared" ref="I17" si="22">+IFERROR(I15/I7,"n/a")</f>
        <v>0.71699647082983176</v>
      </c>
      <c r="J17" s="79">
        <f t="shared" si="21"/>
        <v>0.6737507812645035</v>
      </c>
      <c r="K17" s="79">
        <f t="shared" si="21"/>
        <v>0.62712460632583999</v>
      </c>
      <c r="L17" s="79">
        <f t="shared" si="21"/>
        <v>0.58961853417172161</v>
      </c>
      <c r="M17" s="79">
        <f t="shared" si="21"/>
        <v>0.55662481232323602</v>
      </c>
      <c r="N17" s="79">
        <f t="shared" si="21"/>
        <v>0.52952176519582106</v>
      </c>
      <c r="O17" s="79">
        <f t="shared" si="21"/>
        <v>0.50716085415559387</v>
      </c>
      <c r="P17" s="79">
        <f t="shared" si="21"/>
        <v>0.48864361978178023</v>
      </c>
      <c r="Q17" s="79">
        <f t="shared" si="21"/>
        <v>0.47326452232592814</v>
      </c>
      <c r="R17" s="79">
        <f t="shared" si="21"/>
        <v>0.46046774756902542</v>
      </c>
      <c r="S17" s="79">
        <f t="shared" si="21"/>
        <v>0.4487888614263868</v>
      </c>
      <c r="T17" s="79">
        <f t="shared" ref="T17" si="23">+IFERROR(T15/T7,"n/a")</f>
        <v>0.43812623766035164</v>
      </c>
      <c r="V17" s="81"/>
      <c r="W17" s="52"/>
      <c r="X17" s="52"/>
    </row>
    <row r="18" spans="2:30" s="55" customFormat="1" x14ac:dyDescent="0.2">
      <c r="B18" s="78"/>
      <c r="C18" s="52"/>
      <c r="D18" s="79"/>
      <c r="E18" s="79"/>
      <c r="F18" s="79"/>
      <c r="G18" s="79"/>
      <c r="H18" s="79"/>
      <c r="I18" s="79"/>
      <c r="J18" s="79"/>
      <c r="K18" s="79"/>
      <c r="L18" s="79"/>
      <c r="M18" s="79"/>
      <c r="N18" s="79"/>
      <c r="O18" s="79"/>
      <c r="P18" s="79"/>
      <c r="Q18" s="79"/>
      <c r="R18" s="79"/>
      <c r="S18" s="79"/>
      <c r="T18" s="79"/>
      <c r="V18" s="81"/>
      <c r="W18" s="52"/>
      <c r="X18" s="52"/>
    </row>
    <row r="19" spans="2:30" s="55" customFormat="1" ht="10.15" x14ac:dyDescent="0.2">
      <c r="B19" s="254" t="s">
        <v>369</v>
      </c>
      <c r="C19" s="52"/>
      <c r="D19" s="165">
        <f>+'Historical Financials'!AS71</f>
        <v>-7.7189999999999941</v>
      </c>
      <c r="E19" s="165">
        <f>+'Historical Financials'!AT71</f>
        <v>-4.9969999999999999</v>
      </c>
      <c r="F19" s="165">
        <f>+'Historical Financials'!AU71</f>
        <v>0.47600000000002751</v>
      </c>
      <c r="G19" s="165">
        <f>+'Historical Financials'!AV71</f>
        <v>-15.835999999999984</v>
      </c>
      <c r="H19" s="165">
        <f>+'Historical Financials'!AW71</f>
        <v>11.641000000000048</v>
      </c>
      <c r="I19" s="165">
        <f>+'Historical Financials'!AX71</f>
        <v>46.530312328767117</v>
      </c>
      <c r="J19" s="165">
        <f>+'Historical Financials'!AY71</f>
        <v>75.374693150684934</v>
      </c>
      <c r="K19" s="45">
        <f t="shared" ref="K19:T19" si="24">+K24-K23</f>
        <v>112.34055671268207</v>
      </c>
      <c r="L19" s="45">
        <f t="shared" si="24"/>
        <v>152.85151443463414</v>
      </c>
      <c r="M19" s="45">
        <f t="shared" si="24"/>
        <v>198.57811723803135</v>
      </c>
      <c r="N19" s="45">
        <f t="shared" si="24"/>
        <v>247.7294082500747</v>
      </c>
      <c r="O19" s="45">
        <f t="shared" si="24"/>
        <v>299.83889800839319</v>
      </c>
      <c r="P19" s="45">
        <f t="shared" si="24"/>
        <v>354.28075023498735</v>
      </c>
      <c r="Q19" s="45">
        <f t="shared" si="24"/>
        <v>410.2707592534797</v>
      </c>
      <c r="R19" s="45">
        <f t="shared" si="24"/>
        <v>466.87540218507564</v>
      </c>
      <c r="S19" s="45">
        <f t="shared" si="24"/>
        <v>529.20137461728461</v>
      </c>
      <c r="T19" s="45">
        <f t="shared" si="24"/>
        <v>597.82689602091307</v>
      </c>
      <c r="V19" s="81">
        <v>39.791123872319609</v>
      </c>
      <c r="W19" s="52"/>
      <c r="X19" s="52"/>
    </row>
    <row r="20" spans="2:30" s="55" customFormat="1" x14ac:dyDescent="0.2">
      <c r="B20" s="78" t="s">
        <v>18</v>
      </c>
      <c r="C20" s="52"/>
      <c r="D20" s="79"/>
      <c r="E20" s="105">
        <f t="shared" ref="E20:J20" si="25">+E19/D19-1</f>
        <v>-0.35263635185904862</v>
      </c>
      <c r="F20" s="105">
        <f t="shared" si="25"/>
        <v>-1.0952571542925811</v>
      </c>
      <c r="G20" s="105">
        <f t="shared" si="25"/>
        <v>-34.268907563023255</v>
      </c>
      <c r="H20" s="105">
        <f t="shared" si="25"/>
        <v>-1.7350972467794934</v>
      </c>
      <c r="I20" s="105">
        <f t="shared" si="25"/>
        <v>2.9971061187842047</v>
      </c>
      <c r="J20" s="105">
        <f t="shared" si="25"/>
        <v>0.61990516242644977</v>
      </c>
      <c r="K20" s="105">
        <f t="shared" ref="K20:T20" si="26">+K19/J19-1</f>
        <v>0.49042804709130983</v>
      </c>
      <c r="L20" s="105">
        <f t="shared" si="26"/>
        <v>0.36060848287908476</v>
      </c>
      <c r="M20" s="105">
        <f t="shared" si="26"/>
        <v>0.29915701504515924</v>
      </c>
      <c r="N20" s="105">
        <f t="shared" si="26"/>
        <v>0.2475161497937195</v>
      </c>
      <c r="O20" s="105">
        <f t="shared" si="26"/>
        <v>0.21034842058685133</v>
      </c>
      <c r="P20" s="105">
        <f t="shared" si="26"/>
        <v>0.18157034523609483</v>
      </c>
      <c r="Q20" s="105">
        <f t="shared" si="26"/>
        <v>0.15803853012435831</v>
      </c>
      <c r="R20" s="105">
        <f t="shared" si="26"/>
        <v>0.13796899158641618</v>
      </c>
      <c r="S20" s="105">
        <f t="shared" si="26"/>
        <v>0.13349594375824947</v>
      </c>
      <c r="T20" s="105">
        <f t="shared" si="26"/>
        <v>0.12967751917360015</v>
      </c>
      <c r="V20" s="81"/>
      <c r="W20" s="52"/>
      <c r="X20" s="52"/>
    </row>
    <row r="21" spans="2:30" s="55" customFormat="1" x14ac:dyDescent="0.2">
      <c r="B21" s="49" t="s">
        <v>20</v>
      </c>
      <c r="C21" s="52"/>
      <c r="D21" s="62">
        <f>+IFERROR(D19/D7,"n/a")</f>
        <v>-8.3802885711493927E-2</v>
      </c>
      <c r="E21" s="62">
        <f t="shared" ref="E21:I21" si="27">+IFERROR(E19/E7,"n/a")</f>
        <v>-4.0016016016016016E-2</v>
      </c>
      <c r="F21" s="62">
        <f t="shared" si="27"/>
        <v>2.5319014260563907E-3</v>
      </c>
      <c r="G21" s="62">
        <f t="shared" si="27"/>
        <v>-6.2268988187923625E-2</v>
      </c>
      <c r="H21" s="62">
        <f t="shared" si="27"/>
        <v>3.7835378240026155E-2</v>
      </c>
      <c r="I21" s="62">
        <f t="shared" si="27"/>
        <v>0.12396282931984488</v>
      </c>
      <c r="J21" s="62">
        <f t="shared" ref="J21" si="28">+IFERROR(J19/J7,"n/a")</f>
        <v>0.17024921873549631</v>
      </c>
      <c r="K21" s="62">
        <f t="shared" ref="K21:T21" si="29">+IFERROR(K19/K7,"n/a")</f>
        <v>0.21687539367415984</v>
      </c>
      <c r="L21" s="62">
        <f t="shared" si="29"/>
        <v>0.25438146582827836</v>
      </c>
      <c r="M21" s="62">
        <f t="shared" si="29"/>
        <v>0.28737518767676373</v>
      </c>
      <c r="N21" s="62">
        <f t="shared" si="29"/>
        <v>0.31447823480417875</v>
      </c>
      <c r="O21" s="62">
        <f t="shared" si="29"/>
        <v>0.33683914584440594</v>
      </c>
      <c r="P21" s="62">
        <f t="shared" si="29"/>
        <v>0.35535638021821964</v>
      </c>
      <c r="Q21" s="62">
        <f t="shared" si="29"/>
        <v>0.37073547767407172</v>
      </c>
      <c r="R21" s="62">
        <f t="shared" si="29"/>
        <v>0.38353225243097433</v>
      </c>
      <c r="S21" s="62">
        <f t="shared" si="29"/>
        <v>0.39521113857361306</v>
      </c>
      <c r="T21" s="62">
        <f t="shared" si="29"/>
        <v>0.40587376233964823</v>
      </c>
      <c r="V21" s="81"/>
      <c r="W21" s="52"/>
      <c r="X21" s="52"/>
    </row>
    <row r="22" spans="2:30" s="55" customFormat="1" x14ac:dyDescent="0.2">
      <c r="B22" s="260"/>
      <c r="C22" s="52"/>
      <c r="D22" s="62"/>
      <c r="E22" s="62"/>
      <c r="F22" s="62"/>
      <c r="G22" s="62"/>
      <c r="H22" s="62"/>
      <c r="I22" s="62"/>
      <c r="J22" s="62"/>
      <c r="K22" s="62"/>
      <c r="L22" s="62"/>
      <c r="M22" s="62"/>
      <c r="N22" s="62"/>
      <c r="O22" s="62"/>
      <c r="P22" s="62"/>
      <c r="Q22" s="62"/>
      <c r="R22" s="62"/>
      <c r="S22" s="62"/>
      <c r="T22" s="62"/>
      <c r="V22" s="81"/>
      <c r="W22" s="52"/>
      <c r="X22" s="52"/>
    </row>
    <row r="23" spans="2:30" s="55" customFormat="1" ht="13.5" x14ac:dyDescent="0.35">
      <c r="B23" s="44" t="s">
        <v>373</v>
      </c>
      <c r="C23" s="52"/>
      <c r="D23" s="48">
        <f t="shared" ref="D23:T23" ca="1" si="30">+D56</f>
        <v>1.4800000000000002</v>
      </c>
      <c r="E23" s="48">
        <f t="shared" si="30"/>
        <v>1.415</v>
      </c>
      <c r="F23" s="48">
        <f t="shared" si="30"/>
        <v>3.3080000000000003</v>
      </c>
      <c r="G23" s="48">
        <f t="shared" si="30"/>
        <v>4.7700000000000005</v>
      </c>
      <c r="H23" s="48">
        <f t="shared" si="30"/>
        <v>4.4829999999999997</v>
      </c>
      <c r="I23" s="48">
        <f t="shared" si="30"/>
        <v>7.1870000000000003</v>
      </c>
      <c r="J23" s="48">
        <f t="shared" ref="J23" si="31">+J56</f>
        <v>9.5838561623053504</v>
      </c>
      <c r="K23" s="48">
        <f t="shared" si="30"/>
        <v>12.508101367431506</v>
      </c>
      <c r="L23" s="48">
        <f t="shared" si="30"/>
        <v>15.923192829041096</v>
      </c>
      <c r="M23" s="48">
        <f t="shared" si="30"/>
        <v>17.966168512767119</v>
      </c>
      <c r="N23" s="48">
        <f t="shared" si="30"/>
        <v>20.087558410236163</v>
      </c>
      <c r="O23" s="48">
        <f t="shared" si="30"/>
        <v>22.25386372898712</v>
      </c>
      <c r="P23" s="48">
        <f t="shared" si="30"/>
        <v>24.425840828936263</v>
      </c>
      <c r="Q23" s="48">
        <f t="shared" si="30"/>
        <v>26.55936325236172</v>
      </c>
      <c r="R23" s="48">
        <f t="shared" si="30"/>
        <v>28.6066475030646</v>
      </c>
      <c r="S23" s="48">
        <f t="shared" si="30"/>
        <v>30.797794971384448</v>
      </c>
      <c r="T23" s="48">
        <f t="shared" si="30"/>
        <v>33.141105458337613</v>
      </c>
      <c r="V23" s="81"/>
      <c r="W23" s="52"/>
      <c r="X23" s="52"/>
    </row>
    <row r="24" spans="2:30" ht="10.15" x14ac:dyDescent="0.2">
      <c r="B24" s="57" t="s">
        <v>77</v>
      </c>
      <c r="C24" s="45"/>
      <c r="D24" s="53">
        <f t="shared" ref="D24:H24" ca="1" si="32">+D19+D23</f>
        <v>-6.2389999999999937</v>
      </c>
      <c r="E24" s="53">
        <f t="shared" si="32"/>
        <v>-3.5819999999999999</v>
      </c>
      <c r="F24" s="53">
        <f t="shared" si="32"/>
        <v>3.7840000000000278</v>
      </c>
      <c r="G24" s="53">
        <f t="shared" si="32"/>
        <v>-11.065999999999985</v>
      </c>
      <c r="H24" s="53">
        <f t="shared" si="32"/>
        <v>16.124000000000049</v>
      </c>
      <c r="I24" s="53">
        <f>+I19+I23</f>
        <v>53.717312328767115</v>
      </c>
      <c r="J24" s="53">
        <f>+J19+J23</f>
        <v>84.958549312990286</v>
      </c>
      <c r="K24" s="45">
        <f t="shared" ref="K24:T24" si="33">+(K7-J7)*K27+J24</f>
        <v>124.84865808011358</v>
      </c>
      <c r="L24" s="45">
        <f t="shared" si="33"/>
        <v>168.77470726367523</v>
      </c>
      <c r="M24" s="45">
        <f t="shared" si="33"/>
        <v>216.54428575079848</v>
      </c>
      <c r="N24" s="45">
        <f t="shared" si="33"/>
        <v>267.81696666031087</v>
      </c>
      <c r="O24" s="45">
        <f t="shared" si="33"/>
        <v>322.09276173738033</v>
      </c>
      <c r="P24" s="45">
        <f t="shared" si="33"/>
        <v>378.70659106392361</v>
      </c>
      <c r="Q24" s="45">
        <f t="shared" si="33"/>
        <v>436.83012250584142</v>
      </c>
      <c r="R24" s="45">
        <f t="shared" si="33"/>
        <v>495.48204968814025</v>
      </c>
      <c r="S24" s="45">
        <f t="shared" si="33"/>
        <v>559.99916958866902</v>
      </c>
      <c r="T24" s="45">
        <f t="shared" si="33"/>
        <v>630.96800147925069</v>
      </c>
      <c r="U24" s="77"/>
      <c r="V24" s="77"/>
    </row>
    <row r="25" spans="2:30" s="55" customFormat="1" x14ac:dyDescent="0.2">
      <c r="B25" s="85" t="s">
        <v>18</v>
      </c>
      <c r="C25" s="52"/>
      <c r="D25" s="62"/>
      <c r="E25" s="107">
        <f t="shared" ref="E25:T25" ca="1" si="34">E24/D24-1</f>
        <v>-0.42586953037345676</v>
      </c>
      <c r="F25" s="107">
        <f t="shared" si="34"/>
        <v>-2.0563930764935865</v>
      </c>
      <c r="G25" s="107">
        <f t="shared" si="34"/>
        <v>-3.9244186046511373</v>
      </c>
      <c r="H25" s="107">
        <f t="shared" si="34"/>
        <v>-2.4570757274534674</v>
      </c>
      <c r="I25" s="107">
        <f t="shared" si="34"/>
        <v>2.3315127963760203</v>
      </c>
      <c r="J25" s="107">
        <f t="shared" si="34"/>
        <v>0.58158600327985166</v>
      </c>
      <c r="K25" s="107">
        <f t="shared" si="34"/>
        <v>0.46952436322996438</v>
      </c>
      <c r="L25" s="107">
        <f t="shared" si="34"/>
        <v>0.3518343717829544</v>
      </c>
      <c r="M25" s="107">
        <f t="shared" si="34"/>
        <v>0.28303754313431129</v>
      </c>
      <c r="N25" s="107">
        <f t="shared" si="34"/>
        <v>0.23677688252885853</v>
      </c>
      <c r="O25" s="107">
        <f t="shared" si="34"/>
        <v>0.20266003216260331</v>
      </c>
      <c r="P25" s="107">
        <f t="shared" si="34"/>
        <v>0.17576871029689145</v>
      </c>
      <c r="Q25" s="107">
        <f t="shared" si="34"/>
        <v>0.15347905955010654</v>
      </c>
      <c r="R25" s="107">
        <f t="shared" si="34"/>
        <v>0.13426713076892849</v>
      </c>
      <c r="S25" s="107">
        <f t="shared" si="34"/>
        <v>0.13021081175622062</v>
      </c>
      <c r="T25" s="107">
        <f t="shared" si="34"/>
        <v>0.12673024487288043</v>
      </c>
    </row>
    <row r="26" spans="2:30" s="55" customFormat="1" x14ac:dyDescent="0.2">
      <c r="B26" s="50" t="s">
        <v>20</v>
      </c>
      <c r="C26" s="52"/>
      <c r="D26" s="62">
        <f t="shared" ref="D26:T26" ca="1" si="35">D24/D7</f>
        <v>-6.7734966181372008E-2</v>
      </c>
      <c r="E26" s="62">
        <f t="shared" si="35"/>
        <v>-2.8684684684684682E-2</v>
      </c>
      <c r="F26" s="62">
        <f t="shared" si="35"/>
        <v>2.0127552513018693E-2</v>
      </c>
      <c r="G26" s="62">
        <f t="shared" si="35"/>
        <v>-4.3512795105302003E-2</v>
      </c>
      <c r="H26" s="62">
        <f t="shared" si="35"/>
        <v>5.2405947834565848E-2</v>
      </c>
      <c r="I26" s="62">
        <f t="shared" si="35"/>
        <v>0.14310993600648789</v>
      </c>
      <c r="J26" s="62">
        <f t="shared" ref="J26" si="36">J24/J7</f>
        <v>0.19189632542213933</v>
      </c>
      <c r="K26" s="62">
        <f t="shared" si="35"/>
        <v>0.24102250036080286</v>
      </c>
      <c r="L26" s="62">
        <f t="shared" si="35"/>
        <v>0.28088146582827833</v>
      </c>
      <c r="M26" s="62">
        <f t="shared" si="35"/>
        <v>0.31337518767676376</v>
      </c>
      <c r="N26" s="62">
        <f t="shared" si="35"/>
        <v>0.33997823480417871</v>
      </c>
      <c r="O26" s="62">
        <f t="shared" si="35"/>
        <v>0.36183914584440596</v>
      </c>
      <c r="P26" s="62">
        <f t="shared" si="35"/>
        <v>0.3798563802182196</v>
      </c>
      <c r="Q26" s="62">
        <f t="shared" si="35"/>
        <v>0.39473547767407174</v>
      </c>
      <c r="R26" s="62">
        <f t="shared" si="35"/>
        <v>0.40703225243097435</v>
      </c>
      <c r="S26" s="62">
        <f t="shared" si="35"/>
        <v>0.41821113857361303</v>
      </c>
      <c r="T26" s="62">
        <f t="shared" si="35"/>
        <v>0.42837376233964819</v>
      </c>
    </row>
    <row r="27" spans="2:30" s="55" customFormat="1" ht="10.15" x14ac:dyDescent="0.2">
      <c r="B27" s="50" t="s">
        <v>57</v>
      </c>
      <c r="C27" s="52"/>
      <c r="D27" s="62"/>
      <c r="E27" s="62">
        <f t="shared" ref="E27:J27" ca="1" si="37">+(E24-D24)/(E7-D7)</f>
        <v>8.109015442837067E-2</v>
      </c>
      <c r="F27" s="62">
        <f t="shared" si="37"/>
        <v>0.11668726039983568</v>
      </c>
      <c r="G27" s="62">
        <f t="shared" si="37"/>
        <v>-0.22393123727663444</v>
      </c>
      <c r="H27" s="62">
        <f t="shared" si="37"/>
        <v>0.50956727075095165</v>
      </c>
      <c r="I27" s="62">
        <f t="shared" si="37"/>
        <v>0.55544055356396793</v>
      </c>
      <c r="J27" s="62">
        <f t="shared" si="37"/>
        <v>0.46369503453467148</v>
      </c>
      <c r="K27" s="80">
        <v>0.53</v>
      </c>
      <c r="L27" s="80">
        <v>0.53</v>
      </c>
      <c r="M27" s="80">
        <v>0.53</v>
      </c>
      <c r="N27" s="80">
        <v>0.53</v>
      </c>
      <c r="O27" s="80">
        <v>0.53</v>
      </c>
      <c r="P27" s="80">
        <v>0.53</v>
      </c>
      <c r="Q27" s="80">
        <v>0.53</v>
      </c>
      <c r="R27" s="80">
        <v>0.53</v>
      </c>
      <c r="S27" s="80">
        <v>0.53</v>
      </c>
      <c r="T27" s="80">
        <v>0.53</v>
      </c>
    </row>
    <row r="28" spans="2:30" x14ac:dyDescent="0.2">
      <c r="B28" s="82"/>
      <c r="C28" s="45"/>
      <c r="D28" s="83"/>
      <c r="E28" s="83"/>
      <c r="F28" s="83"/>
      <c r="G28" s="45"/>
      <c r="H28" s="45"/>
      <c r="I28" s="45"/>
      <c r="J28" s="45"/>
      <c r="K28" s="45"/>
      <c r="L28" s="84"/>
      <c r="M28" s="84"/>
      <c r="N28" s="84"/>
      <c r="O28" s="84"/>
      <c r="P28" s="84"/>
      <c r="Q28" s="84"/>
      <c r="R28" s="84"/>
      <c r="S28" s="84"/>
      <c r="T28" s="84"/>
    </row>
    <row r="29" spans="2:30" ht="12" x14ac:dyDescent="0.35">
      <c r="B29" s="34" t="s">
        <v>24</v>
      </c>
      <c r="C29" s="45"/>
      <c r="D29" s="166">
        <f>+'Historical Financials'!AS74</f>
        <v>-0.503</v>
      </c>
      <c r="E29" s="166">
        <f>+'Historical Financials'!AT74</f>
        <v>-1.079</v>
      </c>
      <c r="F29" s="166">
        <f>+'Historical Financials'!AU74</f>
        <v>-2.742</v>
      </c>
      <c r="G29" s="166">
        <f>+'Historical Financials'!AV74</f>
        <v>-7.3929999999999989</v>
      </c>
      <c r="H29" s="166">
        <f>+'Historical Financials'!AW74</f>
        <v>-15.337</v>
      </c>
      <c r="I29" s="166">
        <f>+'Historical Financials'!AX74</f>
        <v>-28.280999999999999</v>
      </c>
      <c r="J29" s="166">
        <f>+'Historical Financials'!AY74</f>
        <v>-33.204863013698628</v>
      </c>
      <c r="K29" s="56">
        <f t="shared" ref="K29:T29" si="38">+(K7-K24)/(J7-J24)*J29</f>
        <v>-36.487942448005668</v>
      </c>
      <c r="L29" s="56">
        <f t="shared" si="38"/>
        <v>-40.10319227213671</v>
      </c>
      <c r="M29" s="56">
        <f t="shared" si="38"/>
        <v>-44.034776455879218</v>
      </c>
      <c r="N29" s="56">
        <f t="shared" si="38"/>
        <v>-48.254676813096182</v>
      </c>
      <c r="O29" s="56">
        <f t="shared" si="38"/>
        <v>-52.721742762664412</v>
      </c>
      <c r="P29" s="56">
        <f t="shared" si="38"/>
        <v>-57.381236168521745</v>
      </c>
      <c r="Q29" s="56">
        <f t="shared" si="38"/>
        <v>-62.164982731868612</v>
      </c>
      <c r="R29" s="56">
        <f t="shared" si="38"/>
        <v>-66.992217900336826</v>
      </c>
      <c r="S29" s="56">
        <f t="shared" si="38"/>
        <v>-72.30217658565185</v>
      </c>
      <c r="T29" s="56">
        <f t="shared" si="38"/>
        <v>-78.143131139498379</v>
      </c>
    </row>
    <row r="30" spans="2:30" x14ac:dyDescent="0.2">
      <c r="B30" s="57" t="s">
        <v>37</v>
      </c>
      <c r="C30" s="45"/>
      <c r="D30" s="45">
        <f t="shared" ref="D30:I30" ca="1" si="39">D24+D29</f>
        <v>-6.7419999999999938</v>
      </c>
      <c r="E30" s="45">
        <f t="shared" si="39"/>
        <v>-4.6609999999999996</v>
      </c>
      <c r="F30" s="45">
        <f t="shared" si="39"/>
        <v>1.0420000000000278</v>
      </c>
      <c r="G30" s="45">
        <f t="shared" si="39"/>
        <v>-18.458999999999982</v>
      </c>
      <c r="H30" s="45">
        <f t="shared" si="39"/>
        <v>0.78700000000004877</v>
      </c>
      <c r="I30" s="45">
        <f t="shared" si="39"/>
        <v>25.436312328767116</v>
      </c>
      <c r="J30" s="45">
        <f t="shared" ref="J30" si="40">J24+J29</f>
        <v>51.753686299291658</v>
      </c>
      <c r="K30" s="45">
        <f t="shared" ref="K30:Q30" si="41">K24+K29</f>
        <v>88.360715632107912</v>
      </c>
      <c r="L30" s="45">
        <f t="shared" si="41"/>
        <v>128.67151499153852</v>
      </c>
      <c r="M30" s="45">
        <f t="shared" si="41"/>
        <v>172.50950929491927</v>
      </c>
      <c r="N30" s="45">
        <f t="shared" si="41"/>
        <v>219.56228984721469</v>
      </c>
      <c r="O30" s="45">
        <f t="shared" si="41"/>
        <v>269.37101897471592</v>
      </c>
      <c r="P30" s="45">
        <f t="shared" si="41"/>
        <v>321.32535489540186</v>
      </c>
      <c r="Q30" s="45">
        <f t="shared" si="41"/>
        <v>374.66513977397278</v>
      </c>
      <c r="R30" s="45">
        <f t="shared" ref="R30:S30" si="42">R24+R29</f>
        <v>428.48983178780344</v>
      </c>
      <c r="S30" s="45">
        <f t="shared" si="42"/>
        <v>487.69699300301716</v>
      </c>
      <c r="T30" s="45">
        <f t="shared" ref="T30" si="43">T24+T29</f>
        <v>552.82487033975235</v>
      </c>
    </row>
    <row r="31" spans="2:30" x14ac:dyDescent="0.2">
      <c r="B31" s="85" t="s">
        <v>18</v>
      </c>
      <c r="C31" s="52"/>
      <c r="D31" s="62"/>
      <c r="E31" s="107">
        <f t="shared" ref="E31:T31" ca="1" si="44">E30/D30-1</f>
        <v>-0.30866211806585531</v>
      </c>
      <c r="F31" s="107">
        <f t="shared" si="44"/>
        <v>-1.2235571765715572</v>
      </c>
      <c r="G31" s="107">
        <f t="shared" si="44"/>
        <v>-18.71497120921256</v>
      </c>
      <c r="H31" s="107">
        <f t="shared" si="44"/>
        <v>-1.0426350289831545</v>
      </c>
      <c r="I31" s="107">
        <f t="shared" si="44"/>
        <v>31.32060016361568</v>
      </c>
      <c r="J31" s="107">
        <f t="shared" si="44"/>
        <v>1.0346379471351668</v>
      </c>
      <c r="K31" s="107">
        <f t="shared" si="44"/>
        <v>0.70733182407756878</v>
      </c>
      <c r="L31" s="107">
        <f t="shared" si="44"/>
        <v>0.45620725308818955</v>
      </c>
      <c r="M31" s="107">
        <f t="shared" si="44"/>
        <v>0.34069696238723512</v>
      </c>
      <c r="N31" s="107">
        <f t="shared" si="44"/>
        <v>0.27275470636146082</v>
      </c>
      <c r="O31" s="107">
        <f t="shared" si="44"/>
        <v>0.22685466234735152</v>
      </c>
      <c r="P31" s="107">
        <f t="shared" si="44"/>
        <v>0.19287277494971544</v>
      </c>
      <c r="Q31" s="107">
        <f t="shared" si="44"/>
        <v>0.1659993027812392</v>
      </c>
      <c r="R31" s="107">
        <f t="shared" si="44"/>
        <v>0.1436607954673923</v>
      </c>
      <c r="S31" s="107">
        <f t="shared" si="44"/>
        <v>0.13817635057565214</v>
      </c>
      <c r="T31" s="107">
        <f t="shared" si="44"/>
        <v>0.13354168319904369</v>
      </c>
    </row>
    <row r="32" spans="2:30" s="55" customFormat="1" x14ac:dyDescent="0.2">
      <c r="B32" s="50" t="s">
        <v>20</v>
      </c>
      <c r="C32" s="52"/>
      <c r="D32" s="62">
        <f t="shared" ref="D32:T32" ca="1" si="45">D30/D7</f>
        <v>-7.319588748113641E-2</v>
      </c>
      <c r="E32" s="62">
        <f t="shared" si="45"/>
        <v>-3.7325325325325322E-2</v>
      </c>
      <c r="F32" s="62">
        <f t="shared" si="45"/>
        <v>5.5425237099804136E-3</v>
      </c>
      <c r="G32" s="62">
        <f t="shared" si="45"/>
        <v>-7.2582928325390386E-2</v>
      </c>
      <c r="H32" s="62">
        <f t="shared" si="45"/>
        <v>2.5578938815309944E-3</v>
      </c>
      <c r="I32" s="62">
        <f t="shared" si="45"/>
        <v>6.776565825430321E-2</v>
      </c>
      <c r="J32" s="62">
        <f t="shared" ref="J32" si="46">J30/J7</f>
        <v>0.11689632542213936</v>
      </c>
      <c r="K32" s="62">
        <f t="shared" si="45"/>
        <v>0.17058189445380023</v>
      </c>
      <c r="L32" s="62">
        <f t="shared" si="45"/>
        <v>0.21414016547340337</v>
      </c>
      <c r="M32" s="62">
        <f t="shared" si="45"/>
        <v>0.24964962554373202</v>
      </c>
      <c r="N32" s="62">
        <f t="shared" si="45"/>
        <v>0.27872169811593095</v>
      </c>
      <c r="O32" s="62">
        <f t="shared" si="45"/>
        <v>0.30261151754946986</v>
      </c>
      <c r="P32" s="62">
        <f t="shared" si="45"/>
        <v>0.32230092917051845</v>
      </c>
      <c r="Q32" s="62">
        <f t="shared" si="45"/>
        <v>0.33856095378249546</v>
      </c>
      <c r="R32" s="62">
        <f t="shared" si="45"/>
        <v>0.35199899065189799</v>
      </c>
      <c r="S32" s="62">
        <f t="shared" si="45"/>
        <v>0.36421538780590024</v>
      </c>
      <c r="T32" s="62">
        <f t="shared" si="45"/>
        <v>0.37532120340044783</v>
      </c>
      <c r="AB32" s="168"/>
      <c r="AD32" s="168"/>
    </row>
    <row r="33" spans="2:30" s="55" customFormat="1" x14ac:dyDescent="0.2">
      <c r="B33" s="50"/>
      <c r="C33" s="52"/>
      <c r="D33" s="62"/>
      <c r="E33" s="62"/>
      <c r="F33" s="62"/>
      <c r="G33" s="62"/>
      <c r="H33" s="62"/>
      <c r="I33" s="62"/>
      <c r="J33" s="62"/>
      <c r="K33" s="62"/>
      <c r="L33" s="62"/>
      <c r="M33" s="62"/>
      <c r="N33" s="62"/>
      <c r="O33" s="62"/>
      <c r="P33" s="62"/>
      <c r="Q33" s="62"/>
      <c r="R33" s="62"/>
      <c r="S33" s="62"/>
      <c r="T33" s="62"/>
      <c r="AB33" s="168"/>
      <c r="AD33" s="168"/>
    </row>
    <row r="34" spans="2:30" s="55" customFormat="1" x14ac:dyDescent="0.2">
      <c r="B34" s="296" t="s">
        <v>35</v>
      </c>
      <c r="C34" s="52"/>
      <c r="D34" s="62"/>
      <c r="E34" s="62"/>
      <c r="F34" s="62"/>
      <c r="G34" s="62"/>
      <c r="H34" s="62"/>
      <c r="I34" s="62"/>
      <c r="J34" s="62"/>
      <c r="K34" s="62"/>
      <c r="L34" s="62"/>
      <c r="M34" s="62"/>
      <c r="N34" s="62"/>
      <c r="O34" s="62"/>
      <c r="P34" s="62"/>
      <c r="Q34" s="62"/>
      <c r="R34" s="62"/>
      <c r="S34" s="62"/>
      <c r="T34" s="62"/>
      <c r="AB34" s="168"/>
      <c r="AD34" s="168"/>
    </row>
    <row r="35" spans="2:30" s="55" customFormat="1" x14ac:dyDescent="0.2">
      <c r="B35" s="50" t="s">
        <v>37</v>
      </c>
      <c r="C35" s="52"/>
      <c r="D35" s="52">
        <f ca="1">+D30</f>
        <v>-6.7419999999999938</v>
      </c>
      <c r="E35" s="52">
        <f t="shared" ref="E35:T35" si="47">+E30</f>
        <v>-4.6609999999999996</v>
      </c>
      <c r="F35" s="52">
        <f t="shared" si="47"/>
        <v>1.0420000000000278</v>
      </c>
      <c r="G35" s="52">
        <f t="shared" si="47"/>
        <v>-18.458999999999982</v>
      </c>
      <c r="H35" s="52">
        <f t="shared" si="47"/>
        <v>0.78700000000004877</v>
      </c>
      <c r="I35" s="52">
        <f t="shared" si="47"/>
        <v>25.436312328767116</v>
      </c>
      <c r="J35" s="52">
        <f t="shared" si="47"/>
        <v>51.753686299291658</v>
      </c>
      <c r="K35" s="52">
        <f t="shared" si="47"/>
        <v>88.360715632107912</v>
      </c>
      <c r="L35" s="52">
        <f t="shared" si="47"/>
        <v>128.67151499153852</v>
      </c>
      <c r="M35" s="52">
        <f t="shared" si="47"/>
        <v>172.50950929491927</v>
      </c>
      <c r="N35" s="52">
        <f t="shared" si="47"/>
        <v>219.56228984721469</v>
      </c>
      <c r="O35" s="52">
        <f t="shared" si="47"/>
        <v>269.37101897471592</v>
      </c>
      <c r="P35" s="52">
        <f t="shared" si="47"/>
        <v>321.32535489540186</v>
      </c>
      <c r="Q35" s="52">
        <f t="shared" si="47"/>
        <v>374.66513977397278</v>
      </c>
      <c r="R35" s="52">
        <f t="shared" si="47"/>
        <v>428.48983178780344</v>
      </c>
      <c r="S35" s="52">
        <f t="shared" si="47"/>
        <v>487.69699300301716</v>
      </c>
      <c r="T35" s="52">
        <f t="shared" si="47"/>
        <v>552.82487033975235</v>
      </c>
      <c r="AB35" s="168"/>
      <c r="AD35" s="168"/>
    </row>
    <row r="36" spans="2:30" s="55" customFormat="1" ht="13.5" x14ac:dyDescent="0.35">
      <c r="B36" s="50" t="s">
        <v>36</v>
      </c>
      <c r="C36" s="52"/>
      <c r="D36" s="297">
        <f ca="1">+-D56</f>
        <v>-1.4800000000000002</v>
      </c>
      <c r="E36" s="297">
        <f t="shared" ref="E36:T36" si="48">+-E56</f>
        <v>-1.415</v>
      </c>
      <c r="F36" s="297">
        <f t="shared" si="48"/>
        <v>-3.3080000000000003</v>
      </c>
      <c r="G36" s="297">
        <f t="shared" si="48"/>
        <v>-4.7700000000000005</v>
      </c>
      <c r="H36" s="297">
        <f t="shared" si="48"/>
        <v>-4.4829999999999997</v>
      </c>
      <c r="I36" s="297">
        <f t="shared" si="48"/>
        <v>-7.1870000000000003</v>
      </c>
      <c r="J36" s="297">
        <f t="shared" si="48"/>
        <v>-9.5838561623053504</v>
      </c>
      <c r="K36" s="297">
        <f t="shared" si="48"/>
        <v>-12.508101367431506</v>
      </c>
      <c r="L36" s="297">
        <f t="shared" si="48"/>
        <v>-15.923192829041096</v>
      </c>
      <c r="M36" s="297">
        <f t="shared" si="48"/>
        <v>-17.966168512767119</v>
      </c>
      <c r="N36" s="297">
        <f t="shared" si="48"/>
        <v>-20.087558410236163</v>
      </c>
      <c r="O36" s="297">
        <f t="shared" si="48"/>
        <v>-22.25386372898712</v>
      </c>
      <c r="P36" s="297">
        <f t="shared" si="48"/>
        <v>-24.425840828936263</v>
      </c>
      <c r="Q36" s="297">
        <f t="shared" si="48"/>
        <v>-26.55936325236172</v>
      </c>
      <c r="R36" s="297">
        <f t="shared" si="48"/>
        <v>-28.6066475030646</v>
      </c>
      <c r="S36" s="297">
        <f t="shared" si="48"/>
        <v>-30.797794971384448</v>
      </c>
      <c r="T36" s="297">
        <f t="shared" si="48"/>
        <v>-33.141105458337613</v>
      </c>
      <c r="AB36" s="168"/>
      <c r="AD36" s="168"/>
    </row>
    <row r="37" spans="2:30" x14ac:dyDescent="0.2">
      <c r="B37" s="260" t="s">
        <v>31</v>
      </c>
      <c r="C37" s="45"/>
      <c r="D37" s="52">
        <f ca="1">SUM(D35:D36)</f>
        <v>-8.2219999999999942</v>
      </c>
      <c r="E37" s="52">
        <f t="shared" ref="E37:T37" si="49">SUM(E35:E36)</f>
        <v>-6.0759999999999996</v>
      </c>
      <c r="F37" s="52">
        <f t="shared" si="49"/>
        <v>-2.2659999999999725</v>
      </c>
      <c r="G37" s="52">
        <f t="shared" si="49"/>
        <v>-23.228999999999981</v>
      </c>
      <c r="H37" s="52">
        <f t="shared" si="49"/>
        <v>-3.6959999999999509</v>
      </c>
      <c r="I37" s="52">
        <f t="shared" si="49"/>
        <v>18.249312328767115</v>
      </c>
      <c r="J37" s="52">
        <f t="shared" si="49"/>
        <v>42.169830136986306</v>
      </c>
      <c r="K37" s="52">
        <f t="shared" si="49"/>
        <v>75.852614264676404</v>
      </c>
      <c r="L37" s="52">
        <f t="shared" si="49"/>
        <v>112.74832216249742</v>
      </c>
      <c r="M37" s="52">
        <f t="shared" si="49"/>
        <v>154.54334078215214</v>
      </c>
      <c r="N37" s="52">
        <f t="shared" si="49"/>
        <v>199.47473143697852</v>
      </c>
      <c r="O37" s="52">
        <f t="shared" si="49"/>
        <v>247.11715524572881</v>
      </c>
      <c r="P37" s="52">
        <f t="shared" si="49"/>
        <v>296.8995140664656</v>
      </c>
      <c r="Q37" s="52">
        <f t="shared" si="49"/>
        <v>348.10577652161106</v>
      </c>
      <c r="R37" s="52">
        <f t="shared" si="49"/>
        <v>399.88318428473883</v>
      </c>
      <c r="S37" s="52">
        <f t="shared" si="49"/>
        <v>456.89919803163269</v>
      </c>
      <c r="T37" s="52">
        <f t="shared" si="49"/>
        <v>519.68376488141473</v>
      </c>
    </row>
    <row r="38" spans="2:30" x14ac:dyDescent="0.2">
      <c r="B38" s="298" t="s">
        <v>18</v>
      </c>
      <c r="C38" s="45"/>
      <c r="D38" s="86"/>
      <c r="E38" s="107">
        <f t="shared" ref="E38:T38" ca="1" si="50">E37/D37-1</f>
        <v>-0.26100705424470882</v>
      </c>
      <c r="F38" s="107">
        <f t="shared" si="50"/>
        <v>-0.62705727452271676</v>
      </c>
      <c r="G38" s="107">
        <f t="shared" si="50"/>
        <v>9.2511032656664884</v>
      </c>
      <c r="H38" s="107">
        <f t="shared" si="50"/>
        <v>-0.84088854449180106</v>
      </c>
      <c r="I38" s="107">
        <f t="shared" si="50"/>
        <v>-5.9375845045366225</v>
      </c>
      <c r="J38" s="107">
        <f t="shared" si="50"/>
        <v>1.3107626949050748</v>
      </c>
      <c r="K38" s="107">
        <f t="shared" si="50"/>
        <v>0.79874128063294259</v>
      </c>
      <c r="L38" s="107">
        <f t="shared" si="50"/>
        <v>0.48641313493927751</v>
      </c>
      <c r="M38" s="107">
        <f t="shared" si="50"/>
        <v>0.37069304285892657</v>
      </c>
      <c r="N38" s="107">
        <f t="shared" si="50"/>
        <v>0.29073650425457487</v>
      </c>
      <c r="O38" s="107">
        <f t="shared" si="50"/>
        <v>0.23883939316796288</v>
      </c>
      <c r="P38" s="107">
        <f t="shared" si="50"/>
        <v>0.20145245995258443</v>
      </c>
      <c r="Q38" s="107">
        <f t="shared" si="50"/>
        <v>0.17247001099396253</v>
      </c>
      <c r="R38" s="107">
        <f t="shared" si="50"/>
        <v>0.14874044401246334</v>
      </c>
      <c r="S38" s="107">
        <f t="shared" si="50"/>
        <v>0.1425816738177601</v>
      </c>
      <c r="T38" s="107">
        <f t="shared" si="50"/>
        <v>0.13741448249474764</v>
      </c>
    </row>
    <row r="39" spans="2:30" x14ac:dyDescent="0.2">
      <c r="B39" s="298" t="s">
        <v>400</v>
      </c>
      <c r="C39" s="45"/>
      <c r="D39" s="86"/>
      <c r="E39" s="106">
        <f ca="1">+E38</f>
        <v>-0.26100705424470882</v>
      </c>
      <c r="F39" s="106">
        <f t="shared" ref="F39:T39" si="51">+F38</f>
        <v>-0.62705727452271676</v>
      </c>
      <c r="G39" s="106">
        <f t="shared" si="51"/>
        <v>9.2511032656664884</v>
      </c>
      <c r="H39" s="106">
        <f t="shared" si="51"/>
        <v>-0.84088854449180106</v>
      </c>
      <c r="I39" s="106">
        <f t="shared" si="51"/>
        <v>-5.9375845045366225</v>
      </c>
      <c r="J39" s="106">
        <f t="shared" si="51"/>
        <v>1.3107626949050748</v>
      </c>
      <c r="K39" s="106">
        <f t="shared" si="51"/>
        <v>0.79874128063294259</v>
      </c>
      <c r="L39" s="106">
        <f t="shared" si="51"/>
        <v>0.48641313493927751</v>
      </c>
      <c r="M39" s="106">
        <f t="shared" si="51"/>
        <v>0.37069304285892657</v>
      </c>
      <c r="N39" s="106">
        <f t="shared" si="51"/>
        <v>0.29073650425457487</v>
      </c>
      <c r="O39" s="106">
        <f t="shared" si="51"/>
        <v>0.23883939316796288</v>
      </c>
      <c r="P39" s="106">
        <f t="shared" si="51"/>
        <v>0.20145245995258443</v>
      </c>
      <c r="Q39" s="106">
        <f t="shared" si="51"/>
        <v>0.17247001099396253</v>
      </c>
      <c r="R39" s="106">
        <f t="shared" si="51"/>
        <v>0.14874044401246334</v>
      </c>
      <c r="S39" s="106">
        <f t="shared" si="51"/>
        <v>0.1425816738177601</v>
      </c>
      <c r="T39" s="106">
        <f t="shared" si="51"/>
        <v>0.13741448249474764</v>
      </c>
    </row>
    <row r="40" spans="2:30" x14ac:dyDescent="0.2">
      <c r="B40" s="298" t="s">
        <v>20</v>
      </c>
      <c r="C40" s="45"/>
      <c r="D40" s="107">
        <f ca="1">+D37/D7</f>
        <v>-8.9263807011258342E-2</v>
      </c>
      <c r="E40" s="107">
        <f t="shared" ref="E40:T40" si="52">+E37/E7</f>
        <v>-4.8656656656656652E-2</v>
      </c>
      <c r="F40" s="107">
        <f t="shared" si="52"/>
        <v>-1.205312737698189E-2</v>
      </c>
      <c r="G40" s="107">
        <f t="shared" si="52"/>
        <v>-9.1339121408012008E-2</v>
      </c>
      <c r="H40" s="107">
        <f t="shared" si="52"/>
        <v>-1.2012675713008696E-2</v>
      </c>
      <c r="I40" s="107">
        <f t="shared" si="52"/>
        <v>4.8618551567660186E-2</v>
      </c>
      <c r="J40" s="107">
        <f t="shared" si="52"/>
        <v>9.5249218735496327E-2</v>
      </c>
      <c r="K40" s="107">
        <f t="shared" si="52"/>
        <v>0.14643478776715721</v>
      </c>
      <c r="L40" s="107">
        <f t="shared" si="52"/>
        <v>0.18764016547340337</v>
      </c>
      <c r="M40" s="107">
        <f t="shared" si="52"/>
        <v>0.22364962554373199</v>
      </c>
      <c r="N40" s="107">
        <f t="shared" si="52"/>
        <v>0.25322169811593093</v>
      </c>
      <c r="O40" s="107">
        <f t="shared" si="52"/>
        <v>0.27761151754946989</v>
      </c>
      <c r="P40" s="107">
        <f t="shared" si="52"/>
        <v>0.29780092917051842</v>
      </c>
      <c r="Q40" s="107">
        <f t="shared" si="52"/>
        <v>0.31456095378249543</v>
      </c>
      <c r="R40" s="107">
        <f t="shared" si="52"/>
        <v>0.32849899065189797</v>
      </c>
      <c r="S40" s="107">
        <f t="shared" si="52"/>
        <v>0.34121538780590027</v>
      </c>
      <c r="T40" s="107">
        <f t="shared" si="52"/>
        <v>0.35282120340044781</v>
      </c>
    </row>
    <row r="41" spans="2:30" x14ac:dyDescent="0.2">
      <c r="C41" s="45"/>
      <c r="D41" s="86"/>
      <c r="E41" s="86"/>
      <c r="F41" s="86"/>
      <c r="G41" s="45"/>
      <c r="H41" s="45"/>
      <c r="I41" s="45"/>
      <c r="J41" s="45"/>
      <c r="K41" s="45"/>
      <c r="L41" s="45"/>
      <c r="M41" s="45"/>
      <c r="N41" s="45"/>
      <c r="O41" s="45"/>
      <c r="P41" s="45"/>
      <c r="Q41" s="45"/>
      <c r="R41" s="45"/>
      <c r="S41" s="45"/>
      <c r="T41" s="45"/>
    </row>
    <row r="42" spans="2:30" ht="10.15" x14ac:dyDescent="0.2">
      <c r="B42" s="34" t="s">
        <v>38</v>
      </c>
      <c r="C42" s="45"/>
      <c r="D42" s="165">
        <f>-'Historical Financials'!AS93</f>
        <v>1.1629999999999998</v>
      </c>
      <c r="E42" s="165">
        <f>-'Historical Financials'!AT93</f>
        <v>3.399</v>
      </c>
      <c r="F42" s="165">
        <f>-'Historical Financials'!AU93</f>
        <v>5.1559999999999997</v>
      </c>
      <c r="G42" s="165">
        <f>-'Historical Financials'!AV93</f>
        <v>8.0239999999999991</v>
      </c>
      <c r="H42" s="165">
        <f>-'Historical Financials'!AW93</f>
        <v>10.173999999999999</v>
      </c>
      <c r="I42" s="165">
        <f>-'Historical Financials'!AX93</f>
        <v>13.725819178082192</v>
      </c>
      <c r="J42" s="165">
        <f>-'Historical Financials'!AY93</f>
        <v>13.281945205479451</v>
      </c>
      <c r="K42" s="45">
        <f t="shared" ref="K42:T42" si="53">+K43*K7</f>
        <v>15.280877958904108</v>
      </c>
      <c r="L42" s="45">
        <f t="shared" si="53"/>
        <v>17.425380831780821</v>
      </c>
      <c r="M42" s="45">
        <f t="shared" si="53"/>
        <v>19.693684715917804</v>
      </c>
      <c r="N42" s="45">
        <f t="shared" si="53"/>
        <v>22.056926881827945</v>
      </c>
      <c r="O42" s="45">
        <f t="shared" si="53"/>
        <v>24.479250101885832</v>
      </c>
      <c r="P42" s="45">
        <f t="shared" si="53"/>
        <v>26.918273566582819</v>
      </c>
      <c r="Q42" s="45">
        <f t="shared" si="53"/>
        <v>29.325963591149399</v>
      </c>
      <c r="R42" s="45">
        <f t="shared" si="53"/>
        <v>31.649907875731049</v>
      </c>
      <c r="S42" s="45">
        <f t="shared" si="53"/>
        <v>34.145381381317542</v>
      </c>
      <c r="T42" s="45">
        <f t="shared" si="53"/>
        <v>36.823450509264013</v>
      </c>
    </row>
    <row r="43" spans="2:30" s="55" customFormat="1" ht="10.15" x14ac:dyDescent="0.2">
      <c r="B43" s="49" t="s">
        <v>26</v>
      </c>
      <c r="C43" s="52"/>
      <c r="D43" s="62">
        <f t="shared" ref="D43:I43" si="54">+D42/D7</f>
        <v>1.2626344874007968E-2</v>
      </c>
      <c r="E43" s="62">
        <f t="shared" si="54"/>
        <v>2.7219219219219219E-2</v>
      </c>
      <c r="F43" s="62">
        <f t="shared" si="54"/>
        <v>2.742538603518066E-2</v>
      </c>
      <c r="G43" s="62">
        <f t="shared" si="54"/>
        <v>3.1551298384686767E-2</v>
      </c>
      <c r="H43" s="62">
        <f t="shared" si="54"/>
        <v>3.3067360039002194E-2</v>
      </c>
      <c r="I43" s="62">
        <f t="shared" si="54"/>
        <v>3.6567375005469679E-2</v>
      </c>
      <c r="J43" s="62">
        <f t="shared" ref="J43" si="55">+J42/J7</f>
        <v>2.9999999999999995E-2</v>
      </c>
      <c r="K43" s="80">
        <f t="shared" ref="K43:T43" si="56">+J43-0.05%</f>
        <v>2.9499999999999995E-2</v>
      </c>
      <c r="L43" s="80">
        <f t="shared" si="56"/>
        <v>2.8999999999999995E-2</v>
      </c>
      <c r="M43" s="80">
        <f t="shared" si="56"/>
        <v>2.8499999999999994E-2</v>
      </c>
      <c r="N43" s="80">
        <f t="shared" si="56"/>
        <v>2.7999999999999994E-2</v>
      </c>
      <c r="O43" s="80">
        <f t="shared" si="56"/>
        <v>2.7499999999999993E-2</v>
      </c>
      <c r="P43" s="80">
        <f t="shared" si="56"/>
        <v>2.6999999999999993E-2</v>
      </c>
      <c r="Q43" s="80">
        <f t="shared" si="56"/>
        <v>2.6499999999999992E-2</v>
      </c>
      <c r="R43" s="80">
        <f t="shared" si="56"/>
        <v>2.5999999999999992E-2</v>
      </c>
      <c r="S43" s="80">
        <f t="shared" si="56"/>
        <v>2.5499999999999991E-2</v>
      </c>
      <c r="T43" s="80">
        <f t="shared" si="56"/>
        <v>2.4999999999999991E-2</v>
      </c>
    </row>
    <row r="44" spans="2:30" x14ac:dyDescent="0.2">
      <c r="C44" s="45"/>
      <c r="D44" s="45"/>
      <c r="E44" s="45"/>
      <c r="F44" s="45"/>
      <c r="G44" s="45"/>
      <c r="H44" s="45"/>
      <c r="I44" s="45"/>
      <c r="J44" s="45"/>
      <c r="K44" s="45"/>
      <c r="L44" s="45"/>
      <c r="M44" s="45"/>
      <c r="N44" s="45"/>
      <c r="O44" s="45"/>
      <c r="P44" s="45"/>
      <c r="Q44" s="45"/>
      <c r="R44" s="45"/>
      <c r="S44" s="45"/>
      <c r="T44" s="45"/>
    </row>
    <row r="45" spans="2:30" x14ac:dyDescent="0.2">
      <c r="B45" s="34" t="s">
        <v>78</v>
      </c>
      <c r="C45" s="45"/>
      <c r="D45" s="45">
        <f t="shared" ref="D45:Q45" ca="1" si="57">D30-D42</f>
        <v>-7.904999999999994</v>
      </c>
      <c r="E45" s="45">
        <f t="shared" si="57"/>
        <v>-8.0599999999999987</v>
      </c>
      <c r="F45" s="45">
        <f t="shared" si="57"/>
        <v>-4.1139999999999723</v>
      </c>
      <c r="G45" s="45">
        <f t="shared" si="57"/>
        <v>-26.482999999999983</v>
      </c>
      <c r="H45" s="45">
        <f t="shared" ref="H45" si="58">H30-H42</f>
        <v>-9.3869999999999507</v>
      </c>
      <c r="I45" s="45">
        <f t="shared" si="57"/>
        <v>11.710493150684924</v>
      </c>
      <c r="J45" s="45">
        <f t="shared" si="57"/>
        <v>38.471741093812206</v>
      </c>
      <c r="K45" s="45">
        <f t="shared" si="57"/>
        <v>73.079837673203798</v>
      </c>
      <c r="L45" s="45">
        <f t="shared" si="57"/>
        <v>111.2461341597577</v>
      </c>
      <c r="M45" s="45">
        <f t="shared" si="57"/>
        <v>152.81582457900146</v>
      </c>
      <c r="N45" s="45">
        <f t="shared" si="57"/>
        <v>197.50536296538675</v>
      </c>
      <c r="O45" s="45">
        <f t="shared" si="57"/>
        <v>244.89176887283008</v>
      </c>
      <c r="P45" s="45">
        <f t="shared" si="57"/>
        <v>294.40708132881906</v>
      </c>
      <c r="Q45" s="45">
        <f t="shared" si="57"/>
        <v>345.33917618282339</v>
      </c>
      <c r="R45" s="45">
        <f t="shared" ref="R45:S45" si="59">R30-R42</f>
        <v>396.83992391207238</v>
      </c>
      <c r="S45" s="45">
        <f t="shared" si="59"/>
        <v>453.55161162169964</v>
      </c>
      <c r="T45" s="45">
        <f t="shared" ref="T45" si="60">T30-T42</f>
        <v>516.00141983048832</v>
      </c>
    </row>
    <row r="46" spans="2:30" s="55" customFormat="1" x14ac:dyDescent="0.2">
      <c r="B46" s="78" t="s">
        <v>18</v>
      </c>
      <c r="C46" s="52"/>
      <c r="D46" s="62"/>
      <c r="E46" s="107">
        <f t="shared" ref="E46:T46" ca="1" si="61">E45/D45-1</f>
        <v>1.9607843137255498E-2</v>
      </c>
      <c r="F46" s="107">
        <f t="shared" si="61"/>
        <v>-0.48957816377171548</v>
      </c>
      <c r="G46" s="107">
        <f t="shared" si="61"/>
        <v>5.4372873116189018</v>
      </c>
      <c r="H46" s="107">
        <f t="shared" si="61"/>
        <v>-0.64554619944870462</v>
      </c>
      <c r="I46" s="107">
        <f t="shared" si="61"/>
        <v>-2.2475224406823253</v>
      </c>
      <c r="J46" s="107">
        <f t="shared" si="61"/>
        <v>2.285236633400197</v>
      </c>
      <c r="K46" s="107">
        <f t="shared" si="61"/>
        <v>0.89957188303489488</v>
      </c>
      <c r="L46" s="107">
        <f t="shared" si="61"/>
        <v>0.52225480654766621</v>
      </c>
      <c r="M46" s="107">
        <f t="shared" si="61"/>
        <v>0.37367312341430758</v>
      </c>
      <c r="N46" s="107">
        <f t="shared" si="61"/>
        <v>0.29244051464893972</v>
      </c>
      <c r="O46" s="107">
        <f t="shared" si="61"/>
        <v>0.23992465417634201</v>
      </c>
      <c r="P46" s="107">
        <f t="shared" si="61"/>
        <v>0.20219263670598009</v>
      </c>
      <c r="Q46" s="107">
        <f t="shared" si="61"/>
        <v>0.17299887836977335</v>
      </c>
      <c r="R46" s="107">
        <f t="shared" si="61"/>
        <v>0.14913091615758178</v>
      </c>
      <c r="S46" s="107">
        <f t="shared" si="61"/>
        <v>0.14290822140716064</v>
      </c>
      <c r="T46" s="107">
        <f t="shared" si="61"/>
        <v>0.13769063235272361</v>
      </c>
    </row>
    <row r="47" spans="2:30" s="55" customFormat="1" x14ac:dyDescent="0.2">
      <c r="B47" s="49" t="s">
        <v>20</v>
      </c>
      <c r="C47" s="52"/>
      <c r="D47" s="62">
        <f t="shared" ref="D47:T47" ca="1" si="62">D45/D7</f>
        <v>-8.5822232355144384E-2</v>
      </c>
      <c r="E47" s="62">
        <f t="shared" si="62"/>
        <v>-6.454454454454453E-2</v>
      </c>
      <c r="F47" s="62">
        <f t="shared" si="62"/>
        <v>-2.1882862325200252E-2</v>
      </c>
      <c r="G47" s="62">
        <f t="shared" si="62"/>
        <v>-0.10413422671007716</v>
      </c>
      <c r="H47" s="62">
        <f t="shared" si="62"/>
        <v>-3.0509466157471195E-2</v>
      </c>
      <c r="I47" s="62">
        <f t="shared" si="62"/>
        <v>3.1198283248833534E-2</v>
      </c>
      <c r="J47" s="62">
        <f t="shared" si="62"/>
        <v>8.6896325422139362E-2</v>
      </c>
      <c r="K47" s="62">
        <f t="shared" si="62"/>
        <v>0.14108189445380023</v>
      </c>
      <c r="L47" s="62">
        <f t="shared" si="62"/>
        <v>0.1851401654734034</v>
      </c>
      <c r="M47" s="62">
        <f t="shared" si="62"/>
        <v>0.22114962554373202</v>
      </c>
      <c r="N47" s="62">
        <f t="shared" si="62"/>
        <v>0.25072169811593092</v>
      </c>
      <c r="O47" s="62">
        <f t="shared" si="62"/>
        <v>0.27511151754946989</v>
      </c>
      <c r="P47" s="62">
        <f t="shared" si="62"/>
        <v>0.29530092917051848</v>
      </c>
      <c r="Q47" s="62">
        <f t="shared" si="62"/>
        <v>0.31206095378249549</v>
      </c>
      <c r="R47" s="62">
        <f t="shared" si="62"/>
        <v>0.32599899065189797</v>
      </c>
      <c r="S47" s="62">
        <f t="shared" si="62"/>
        <v>0.33871538780590027</v>
      </c>
      <c r="T47" s="62">
        <f t="shared" si="62"/>
        <v>0.35032120340044781</v>
      </c>
      <c r="U47" s="34"/>
    </row>
    <row r="48" spans="2:30" x14ac:dyDescent="0.2">
      <c r="B48" s="63"/>
      <c r="C48" s="45"/>
      <c r="D48" s="87"/>
      <c r="E48" s="45"/>
      <c r="F48" s="45"/>
      <c r="G48" s="45"/>
      <c r="H48" s="45"/>
      <c r="I48" s="45"/>
      <c r="J48" s="45"/>
      <c r="K48" s="45"/>
      <c r="L48" s="45"/>
      <c r="M48" s="45"/>
      <c r="N48" s="45"/>
      <c r="O48" s="45"/>
      <c r="P48" s="45"/>
      <c r="Q48" s="45"/>
      <c r="R48" s="45"/>
      <c r="S48" s="45"/>
      <c r="T48" s="45"/>
    </row>
    <row r="49" spans="2:23" x14ac:dyDescent="0.2">
      <c r="B49" s="34" t="s">
        <v>27</v>
      </c>
      <c r="C49" s="45"/>
      <c r="D49" s="165">
        <f>-'Historical Financials'!AS84</f>
        <v>1.4800000000000002</v>
      </c>
      <c r="E49" s="165">
        <f>-'Historical Financials'!AT84</f>
        <v>0.28999999999999998</v>
      </c>
      <c r="F49" s="165">
        <f>-'Historical Financials'!AU84</f>
        <v>0.52200000000000002</v>
      </c>
      <c r="G49" s="165">
        <f>-'Historical Financials'!AV84</f>
        <v>-3.4560000000000004</v>
      </c>
      <c r="H49" s="165">
        <f>-'Historical Financials'!AW84</f>
        <v>-12.313000000000001</v>
      </c>
      <c r="I49" s="165">
        <f>-'Historical Financials'!AX84</f>
        <v>-10.265619846942638</v>
      </c>
      <c r="J49" s="45">
        <f t="shared" ref="J49:T49" si="63">+MAX((J50)*AVERAGE(I68:J68),0)</f>
        <v>0</v>
      </c>
      <c r="K49" s="45">
        <f t="shared" si="63"/>
        <v>0</v>
      </c>
      <c r="L49" s="45">
        <f t="shared" si="63"/>
        <v>0</v>
      </c>
      <c r="M49" s="45">
        <f t="shared" si="63"/>
        <v>0</v>
      </c>
      <c r="N49" s="45">
        <f t="shared" si="63"/>
        <v>0</v>
      </c>
      <c r="O49" s="45">
        <f t="shared" si="63"/>
        <v>0</v>
      </c>
      <c r="P49" s="45">
        <f t="shared" si="63"/>
        <v>0</v>
      </c>
      <c r="Q49" s="45">
        <f t="shared" si="63"/>
        <v>0</v>
      </c>
      <c r="R49" s="45">
        <f t="shared" si="63"/>
        <v>0</v>
      </c>
      <c r="S49" s="45">
        <f t="shared" si="63"/>
        <v>0</v>
      </c>
      <c r="T49" s="45">
        <f t="shared" si="63"/>
        <v>0</v>
      </c>
      <c r="U49" s="77"/>
      <c r="V49" s="77"/>
    </row>
    <row r="50" spans="2:23" s="55" customFormat="1" x14ac:dyDescent="0.2">
      <c r="B50" s="78" t="s">
        <v>58</v>
      </c>
      <c r="C50" s="52"/>
      <c r="D50" s="88" t="s">
        <v>59</v>
      </c>
      <c r="E50" s="88" t="s">
        <v>59</v>
      </c>
      <c r="F50" s="88" t="s">
        <v>59</v>
      </c>
      <c r="G50" s="88" t="s">
        <v>59</v>
      </c>
      <c r="H50" s="88" t="s">
        <v>59</v>
      </c>
      <c r="I50" s="88" t="s">
        <v>59</v>
      </c>
      <c r="J50" s="80">
        <v>0</v>
      </c>
      <c r="K50" s="80">
        <v>0</v>
      </c>
      <c r="L50" s="80">
        <v>0</v>
      </c>
      <c r="M50" s="80">
        <v>0</v>
      </c>
      <c r="N50" s="80">
        <v>0</v>
      </c>
      <c r="O50" s="80">
        <v>0</v>
      </c>
      <c r="P50" s="80">
        <v>0</v>
      </c>
      <c r="Q50" s="80">
        <v>0</v>
      </c>
      <c r="R50" s="80">
        <v>0</v>
      </c>
      <c r="S50" s="80">
        <v>0</v>
      </c>
      <c r="T50" s="80">
        <v>0</v>
      </c>
    </row>
    <row r="51" spans="2:23" x14ac:dyDescent="0.2">
      <c r="C51" s="45"/>
      <c r="D51" s="45"/>
      <c r="E51" s="45"/>
      <c r="F51" s="45"/>
      <c r="G51" s="45"/>
      <c r="H51" s="45"/>
      <c r="I51" s="45"/>
      <c r="J51" s="45"/>
      <c r="K51" s="45"/>
      <c r="L51" s="45"/>
      <c r="M51" s="45"/>
      <c r="N51" s="45"/>
      <c r="O51" s="45"/>
      <c r="P51" s="45"/>
      <c r="Q51" s="45"/>
      <c r="R51" s="45"/>
      <c r="S51" s="45"/>
      <c r="T51" s="45"/>
    </row>
    <row r="52" spans="2:23" x14ac:dyDescent="0.2">
      <c r="B52" s="34" t="s">
        <v>28</v>
      </c>
      <c r="C52" s="45"/>
      <c r="D52" s="45">
        <f t="shared" ref="D52:Q52" ca="1" si="64">+MAX((D30-D56-D49)*D53,0)</f>
        <v>0</v>
      </c>
      <c r="E52" s="45">
        <f t="shared" si="64"/>
        <v>0</v>
      </c>
      <c r="F52" s="45">
        <f t="shared" si="64"/>
        <v>0</v>
      </c>
      <c r="G52" s="45">
        <f t="shared" si="64"/>
        <v>0</v>
      </c>
      <c r="H52" s="45">
        <f t="shared" si="64"/>
        <v>1.8095700000000106</v>
      </c>
      <c r="I52" s="45">
        <f t="shared" si="64"/>
        <v>5.9881357568990481</v>
      </c>
      <c r="J52" s="45">
        <f t="shared" si="64"/>
        <v>8.8556643287671246</v>
      </c>
      <c r="K52" s="45">
        <f t="shared" si="64"/>
        <v>15.929048995582045</v>
      </c>
      <c r="L52" s="45">
        <f t="shared" si="64"/>
        <v>23.677147654124457</v>
      </c>
      <c r="M52" s="45">
        <f t="shared" si="64"/>
        <v>32.45410156425195</v>
      </c>
      <c r="N52" s="45">
        <f t="shared" si="64"/>
        <v>41.889693601765487</v>
      </c>
      <c r="O52" s="45">
        <f t="shared" si="64"/>
        <v>51.894602601603047</v>
      </c>
      <c r="P52" s="45">
        <f t="shared" si="64"/>
        <v>62.348897953957774</v>
      </c>
      <c r="Q52" s="45">
        <f t="shared" si="64"/>
        <v>73.102213069538323</v>
      </c>
      <c r="R52" s="45">
        <f t="shared" ref="R52:S52" si="65">+MAX((R30-R56-R49)*R53,0)</f>
        <v>83.975468699795158</v>
      </c>
      <c r="S52" s="45">
        <f t="shared" si="65"/>
        <v>95.948831586642868</v>
      </c>
      <c r="T52" s="45">
        <f t="shared" ref="T52" si="66">+MAX((T30-T56-T49)*T53,0)</f>
        <v>109.13359062509709</v>
      </c>
    </row>
    <row r="53" spans="2:23" x14ac:dyDescent="0.2">
      <c r="B53" s="78" t="s">
        <v>58</v>
      </c>
      <c r="C53" s="45"/>
      <c r="D53" s="80">
        <v>0.21</v>
      </c>
      <c r="E53" s="62">
        <f t="shared" ref="E53:T53" si="67">D53</f>
        <v>0.21</v>
      </c>
      <c r="F53" s="62">
        <f t="shared" si="67"/>
        <v>0.21</v>
      </c>
      <c r="G53" s="62">
        <f t="shared" si="67"/>
        <v>0.21</v>
      </c>
      <c r="H53" s="62">
        <f t="shared" si="67"/>
        <v>0.21</v>
      </c>
      <c r="I53" s="62">
        <f t="shared" si="67"/>
        <v>0.21</v>
      </c>
      <c r="J53" s="62">
        <f t="shared" si="67"/>
        <v>0.21</v>
      </c>
      <c r="K53" s="62">
        <f t="shared" si="67"/>
        <v>0.21</v>
      </c>
      <c r="L53" s="62">
        <f t="shared" si="67"/>
        <v>0.21</v>
      </c>
      <c r="M53" s="62">
        <f t="shared" si="67"/>
        <v>0.21</v>
      </c>
      <c r="N53" s="62">
        <f t="shared" si="67"/>
        <v>0.21</v>
      </c>
      <c r="O53" s="62">
        <f t="shared" si="67"/>
        <v>0.21</v>
      </c>
      <c r="P53" s="62">
        <f t="shared" si="67"/>
        <v>0.21</v>
      </c>
      <c r="Q53" s="62">
        <f t="shared" si="67"/>
        <v>0.21</v>
      </c>
      <c r="R53" s="62">
        <f t="shared" si="67"/>
        <v>0.21</v>
      </c>
      <c r="S53" s="62">
        <f t="shared" si="67"/>
        <v>0.21</v>
      </c>
      <c r="T53" s="62">
        <f t="shared" si="67"/>
        <v>0.21</v>
      </c>
    </row>
    <row r="54" spans="2:23" outlineLevel="1" x14ac:dyDescent="0.2">
      <c r="C54" s="45"/>
      <c r="D54" s="45"/>
      <c r="E54" s="45"/>
      <c r="F54" s="45"/>
      <c r="G54" s="45"/>
      <c r="H54" s="45"/>
      <c r="I54" s="45"/>
      <c r="J54" s="45"/>
      <c r="K54" s="45"/>
      <c r="L54" s="45"/>
      <c r="M54" s="45"/>
      <c r="N54" s="45"/>
      <c r="O54" s="45"/>
      <c r="P54" s="45"/>
      <c r="Q54" s="45"/>
      <c r="R54" s="45"/>
      <c r="S54" s="45"/>
      <c r="T54" s="45"/>
    </row>
    <row r="55" spans="2:23" outlineLevel="1" x14ac:dyDescent="0.2">
      <c r="B55" s="51" t="s">
        <v>35</v>
      </c>
      <c r="C55" s="45"/>
      <c r="D55" s="45"/>
      <c r="E55" s="45"/>
      <c r="F55" s="45"/>
      <c r="G55" s="45"/>
      <c r="H55" s="45"/>
      <c r="I55" s="45"/>
      <c r="J55" s="45"/>
      <c r="K55" s="45"/>
      <c r="L55" s="45"/>
      <c r="M55" s="45"/>
      <c r="N55" s="45"/>
      <c r="O55" s="45"/>
      <c r="P55" s="45"/>
      <c r="Q55" s="45"/>
      <c r="R55" s="45"/>
      <c r="S55" s="45"/>
      <c r="T55" s="45"/>
    </row>
    <row r="56" spans="2:23" s="55" customFormat="1" ht="10.15" outlineLevel="1" x14ac:dyDescent="0.2">
      <c r="B56" s="49" t="s">
        <v>36</v>
      </c>
      <c r="C56" s="52"/>
      <c r="D56" s="167">
        <f ca="1">+'Historical Financials'!AS80</f>
        <v>1.4800000000000002</v>
      </c>
      <c r="E56" s="167">
        <f>+'Historical Financials'!AT80</f>
        <v>1.415</v>
      </c>
      <c r="F56" s="167">
        <f>+'Historical Financials'!AU80</f>
        <v>3.3080000000000003</v>
      </c>
      <c r="G56" s="167">
        <f>+'Historical Financials'!AV80</f>
        <v>4.7700000000000005</v>
      </c>
      <c r="H56" s="167">
        <f>+'Historical Financials'!AW80</f>
        <v>4.4829999999999997</v>
      </c>
      <c r="I56" s="167">
        <f>+'Historical Financials'!AX80</f>
        <v>7.1870000000000003</v>
      </c>
      <c r="J56" s="52">
        <f t="shared" ref="J56:T56" si="68">+J57*J7</f>
        <v>9.5838561623053504</v>
      </c>
      <c r="K56" s="52">
        <f t="shared" si="68"/>
        <v>12.508101367431506</v>
      </c>
      <c r="L56" s="52">
        <f t="shared" si="68"/>
        <v>15.923192829041096</v>
      </c>
      <c r="M56" s="52">
        <f t="shared" si="68"/>
        <v>17.966168512767119</v>
      </c>
      <c r="N56" s="52">
        <f t="shared" si="68"/>
        <v>20.087558410236163</v>
      </c>
      <c r="O56" s="52">
        <f t="shared" si="68"/>
        <v>22.25386372898712</v>
      </c>
      <c r="P56" s="52">
        <f t="shared" si="68"/>
        <v>24.425840828936263</v>
      </c>
      <c r="Q56" s="52">
        <f t="shared" si="68"/>
        <v>26.55936325236172</v>
      </c>
      <c r="R56" s="52">
        <f t="shared" si="68"/>
        <v>28.6066475030646</v>
      </c>
      <c r="S56" s="52">
        <f t="shared" si="68"/>
        <v>30.797794971384448</v>
      </c>
      <c r="T56" s="52">
        <f t="shared" si="68"/>
        <v>33.141105458337613</v>
      </c>
    </row>
    <row r="57" spans="2:23" s="55" customFormat="1" ht="10.15" outlineLevel="1" x14ac:dyDescent="0.2">
      <c r="B57" s="50" t="s">
        <v>26</v>
      </c>
      <c r="C57" s="52"/>
      <c r="D57" s="62">
        <f t="shared" ref="D57:I57" ca="1" si="69">+D56/D7</f>
        <v>1.6067919530121925E-2</v>
      </c>
      <c r="E57" s="62">
        <f t="shared" si="69"/>
        <v>1.1331331331331332E-2</v>
      </c>
      <c r="F57" s="62">
        <f t="shared" si="69"/>
        <v>1.7595651086962306E-2</v>
      </c>
      <c r="G57" s="62">
        <f t="shared" si="69"/>
        <v>1.8756193082621622E-2</v>
      </c>
      <c r="H57" s="62">
        <f t="shared" si="69"/>
        <v>1.4570569594539692E-2</v>
      </c>
      <c r="I57" s="62">
        <f t="shared" si="69"/>
        <v>1.9147106686643024E-2</v>
      </c>
      <c r="J57" s="80">
        <f>+MIN(I57+0.25%,J43-0.25%)</f>
        <v>2.1647106686643023E-2</v>
      </c>
      <c r="K57" s="80">
        <f t="shared" ref="K57:T57" si="70">+MIN(J57+0.25%,K43-0.25%)</f>
        <v>2.4147106686643022E-2</v>
      </c>
      <c r="L57" s="80">
        <f t="shared" si="70"/>
        <v>2.6499999999999996E-2</v>
      </c>
      <c r="M57" s="80">
        <f t="shared" si="70"/>
        <v>2.5999999999999995E-2</v>
      </c>
      <c r="N57" s="80">
        <f t="shared" si="70"/>
        <v>2.5499999999999995E-2</v>
      </c>
      <c r="O57" s="80">
        <f t="shared" si="70"/>
        <v>2.4999999999999994E-2</v>
      </c>
      <c r="P57" s="80">
        <f t="shared" si="70"/>
        <v>2.4499999999999994E-2</v>
      </c>
      <c r="Q57" s="80">
        <f t="shared" si="70"/>
        <v>2.3999999999999994E-2</v>
      </c>
      <c r="R57" s="80">
        <f t="shared" si="70"/>
        <v>2.3499999999999993E-2</v>
      </c>
      <c r="S57" s="80">
        <f t="shared" si="70"/>
        <v>2.2999999999999993E-2</v>
      </c>
      <c r="T57" s="80">
        <f t="shared" si="70"/>
        <v>2.2499999999999992E-2</v>
      </c>
    </row>
    <row r="58" spans="2:23" x14ac:dyDescent="0.2">
      <c r="C58" s="45"/>
      <c r="D58" s="45"/>
      <c r="E58" s="45"/>
      <c r="F58" s="45"/>
      <c r="G58" s="45"/>
      <c r="H58" s="45"/>
      <c r="I58" s="45"/>
      <c r="J58" s="45"/>
      <c r="K58" s="45"/>
      <c r="L58" s="45"/>
      <c r="M58" s="45"/>
      <c r="N58" s="45"/>
      <c r="O58" s="45"/>
      <c r="P58" s="45"/>
      <c r="Q58" s="45"/>
      <c r="R58" s="45"/>
      <c r="S58" s="45"/>
      <c r="T58" s="45"/>
    </row>
    <row r="59" spans="2:23" x14ac:dyDescent="0.2">
      <c r="B59" s="34" t="s">
        <v>40</v>
      </c>
      <c r="C59" s="45"/>
      <c r="D59" s="45">
        <f t="shared" ref="D59:Q59" ca="1" si="71">D45-D49-D52</f>
        <v>-9.3849999999999945</v>
      </c>
      <c r="E59" s="45">
        <f t="shared" si="71"/>
        <v>-8.3499999999999979</v>
      </c>
      <c r="F59" s="45">
        <f t="shared" si="71"/>
        <v>-4.6359999999999726</v>
      </c>
      <c r="G59" s="45">
        <f t="shared" si="71"/>
        <v>-23.026999999999983</v>
      </c>
      <c r="H59" s="45">
        <f t="shared" si="71"/>
        <v>1.1164300000000393</v>
      </c>
      <c r="I59" s="45">
        <f t="shared" si="71"/>
        <v>15.987977240728512</v>
      </c>
      <c r="J59" s="45">
        <f t="shared" si="71"/>
        <v>29.616076765045079</v>
      </c>
      <c r="K59" s="45">
        <f t="shared" si="71"/>
        <v>57.150788677621755</v>
      </c>
      <c r="L59" s="45">
        <f t="shared" si="71"/>
        <v>87.568986505633248</v>
      </c>
      <c r="M59" s="45">
        <f t="shared" si="71"/>
        <v>120.36172301474951</v>
      </c>
      <c r="N59" s="45">
        <f t="shared" si="71"/>
        <v>155.61566936362127</v>
      </c>
      <c r="O59" s="45">
        <f t="shared" si="71"/>
        <v>192.99716627122703</v>
      </c>
      <c r="P59" s="45">
        <f t="shared" si="71"/>
        <v>232.0581833748613</v>
      </c>
      <c r="Q59" s="45">
        <f t="shared" si="71"/>
        <v>272.23696311328507</v>
      </c>
      <c r="R59" s="45">
        <f t="shared" ref="R59:S59" si="72">R45-R49-R52</f>
        <v>312.86445521227722</v>
      </c>
      <c r="S59" s="45">
        <f t="shared" si="72"/>
        <v>357.60278003505675</v>
      </c>
      <c r="T59" s="45">
        <f t="shared" ref="T59" si="73">T45-T49-T52</f>
        <v>406.86782920539122</v>
      </c>
      <c r="V59" s="34">
        <v>21.231755657479766</v>
      </c>
      <c r="W59" s="34">
        <f>+I59/V59-1</f>
        <v>-0.24697808798039345</v>
      </c>
    </row>
    <row r="60" spans="2:23" x14ac:dyDescent="0.2">
      <c r="B60" s="49" t="s">
        <v>18</v>
      </c>
      <c r="C60" s="45"/>
      <c r="D60" s="62"/>
      <c r="E60" s="107">
        <f t="shared" ref="E60:T60" ca="1" si="74">E59/D59-1</f>
        <v>-0.11028236547682446</v>
      </c>
      <c r="F60" s="107">
        <f t="shared" si="74"/>
        <v>-0.44479041916167983</v>
      </c>
      <c r="G60" s="107">
        <f t="shared" si="74"/>
        <v>3.9669974115617173</v>
      </c>
      <c r="H60" s="107">
        <f t="shared" si="74"/>
        <v>-1.0484835193468554</v>
      </c>
      <c r="I60" s="107">
        <f t="shared" si="74"/>
        <v>13.320626676753534</v>
      </c>
      <c r="J60" s="107">
        <f t="shared" si="74"/>
        <v>0.85239673031305774</v>
      </c>
      <c r="K60" s="107">
        <f t="shared" si="74"/>
        <v>0.92972179033095381</v>
      </c>
      <c r="L60" s="107">
        <f t="shared" si="74"/>
        <v>0.53224458545262721</v>
      </c>
      <c r="M60" s="107">
        <f t="shared" si="74"/>
        <v>0.37447888593533896</v>
      </c>
      <c r="N60" s="107">
        <f t="shared" si="74"/>
        <v>0.29289998070691969</v>
      </c>
      <c r="O60" s="107">
        <f t="shared" si="74"/>
        <v>0.24021679218085579</v>
      </c>
      <c r="P60" s="107">
        <f t="shared" si="74"/>
        <v>0.20239166127828101</v>
      </c>
      <c r="Q60" s="107">
        <f t="shared" si="74"/>
        <v>0.17314097332874456</v>
      </c>
      <c r="R60" s="107">
        <f t="shared" si="74"/>
        <v>0.14923576737845834</v>
      </c>
      <c r="S60" s="107">
        <f t="shared" si="74"/>
        <v>0.14299586954492716</v>
      </c>
      <c r="T60" s="107">
        <f t="shared" si="74"/>
        <v>0.13776472645292315</v>
      </c>
    </row>
    <row r="61" spans="2:23" x14ac:dyDescent="0.2">
      <c r="C61" s="45"/>
      <c r="D61" s="45"/>
      <c r="E61" s="45"/>
      <c r="F61" s="45"/>
      <c r="G61" s="45"/>
      <c r="H61" s="45"/>
      <c r="I61" s="45"/>
      <c r="J61" s="45"/>
      <c r="K61" s="45"/>
      <c r="L61" s="45"/>
      <c r="M61" s="45"/>
      <c r="N61" s="45"/>
      <c r="O61" s="45"/>
      <c r="P61" s="45"/>
      <c r="Q61" s="45"/>
      <c r="R61" s="45"/>
      <c r="S61" s="45"/>
      <c r="T61" s="45"/>
    </row>
    <row r="62" spans="2:23" x14ac:dyDescent="0.2">
      <c r="B62" s="34" t="s">
        <v>24</v>
      </c>
      <c r="C62" s="45"/>
      <c r="D62" s="45">
        <f>+-D29</f>
        <v>0.503</v>
      </c>
      <c r="E62" s="45">
        <f>+-E29</f>
        <v>1.079</v>
      </c>
      <c r="F62" s="45">
        <f>+-F29</f>
        <v>2.742</v>
      </c>
      <c r="G62" s="45">
        <f>+-G29</f>
        <v>7.3929999999999989</v>
      </c>
      <c r="H62" s="45">
        <f>+-H29</f>
        <v>15.337</v>
      </c>
      <c r="I62" s="165">
        <f>+'Historical Financials'!AX103</f>
        <v>12.281000000000001</v>
      </c>
      <c r="J62" s="54">
        <v>0</v>
      </c>
      <c r="K62" s="54">
        <v>0</v>
      </c>
      <c r="L62" s="54">
        <v>0</v>
      </c>
      <c r="M62" s="54">
        <v>0</v>
      </c>
      <c r="N62" s="54">
        <v>0</v>
      </c>
      <c r="O62" s="54">
        <v>0</v>
      </c>
      <c r="P62" s="54">
        <v>0</v>
      </c>
      <c r="Q62" s="54">
        <v>0</v>
      </c>
      <c r="R62" s="54">
        <v>0</v>
      </c>
      <c r="S62" s="54">
        <v>0</v>
      </c>
      <c r="T62" s="54">
        <v>0</v>
      </c>
    </row>
    <row r="63" spans="2:23" ht="13.5" x14ac:dyDescent="0.35">
      <c r="B63" s="34" t="s">
        <v>41</v>
      </c>
      <c r="C63" s="45"/>
      <c r="D63" s="48">
        <f ca="1">+D64-D62-D59</f>
        <v>9.5939999999999959</v>
      </c>
      <c r="E63" s="48">
        <f>+E64-E62-E59</f>
        <v>9.7239999999999984</v>
      </c>
      <c r="F63" s="48">
        <f>+F64-F62-F59</f>
        <v>20.498999999999974</v>
      </c>
      <c r="G63" s="48">
        <f>+G64-G62-G59</f>
        <v>-2.0140000000000278</v>
      </c>
      <c r="H63" s="48">
        <f>+H64-H62-H59</f>
        <v>-18.641430000000039</v>
      </c>
      <c r="I63" s="166">
        <f>+'Historical Financials'!AX104</f>
        <v>-0.69742000000000193</v>
      </c>
      <c r="J63" s="56">
        <v>0</v>
      </c>
      <c r="K63" s="56">
        <v>0</v>
      </c>
      <c r="L63" s="56">
        <v>0</v>
      </c>
      <c r="M63" s="56">
        <v>0</v>
      </c>
      <c r="N63" s="56">
        <v>0</v>
      </c>
      <c r="O63" s="56">
        <v>0</v>
      </c>
      <c r="P63" s="56">
        <v>0</v>
      </c>
      <c r="Q63" s="56">
        <v>0</v>
      </c>
      <c r="R63" s="56">
        <v>0</v>
      </c>
      <c r="S63" s="56">
        <v>0</v>
      </c>
      <c r="T63" s="56">
        <v>0</v>
      </c>
    </row>
    <row r="64" spans="2:23" x14ac:dyDescent="0.2">
      <c r="B64" s="57" t="s">
        <v>42</v>
      </c>
      <c r="C64" s="45"/>
      <c r="D64" s="165">
        <f>+'Historical Financials'!AS105</f>
        <v>0.71200000000000196</v>
      </c>
      <c r="E64" s="165">
        <f>+'Historical Financials'!AT105</f>
        <v>2.4530000000000012</v>
      </c>
      <c r="F64" s="165">
        <f>+'Historical Financials'!AU105</f>
        <v>18.605</v>
      </c>
      <c r="G64" s="165">
        <f>+'Historical Financials'!AV105</f>
        <v>-17.64800000000001</v>
      </c>
      <c r="H64" s="165">
        <f>+'Historical Financials'!AW105</f>
        <v>-2.1879999999999997</v>
      </c>
      <c r="I64" s="45">
        <f t="shared" ref="I64:P64" si="75">+I59+SUM(I62:I63)</f>
        <v>27.571557240728509</v>
      </c>
      <c r="J64" s="45">
        <f t="shared" si="75"/>
        <v>29.616076765045079</v>
      </c>
      <c r="K64" s="45">
        <f t="shared" si="75"/>
        <v>57.150788677621755</v>
      </c>
      <c r="L64" s="45">
        <f t="shared" si="75"/>
        <v>87.568986505633248</v>
      </c>
      <c r="M64" s="45">
        <f t="shared" si="75"/>
        <v>120.36172301474951</v>
      </c>
      <c r="N64" s="45">
        <f t="shared" si="75"/>
        <v>155.61566936362127</v>
      </c>
      <c r="O64" s="45">
        <f t="shared" si="75"/>
        <v>192.99716627122703</v>
      </c>
      <c r="P64" s="45">
        <f t="shared" si="75"/>
        <v>232.0581833748613</v>
      </c>
      <c r="Q64" s="45">
        <f t="shared" ref="Q64:R64" si="76">+Q59+SUM(Q62:Q63)</f>
        <v>272.23696311328507</v>
      </c>
      <c r="R64" s="45">
        <f t="shared" si="76"/>
        <v>312.86445521227722</v>
      </c>
      <c r="S64" s="45">
        <f t="shared" ref="S64:T64" si="77">+S59+SUM(S62:S63)</f>
        <v>357.60278003505675</v>
      </c>
      <c r="T64" s="45">
        <f t="shared" si="77"/>
        <v>406.86782920539122</v>
      </c>
    </row>
    <row r="65" spans="2:20" x14ac:dyDescent="0.2">
      <c r="B65" s="57"/>
      <c r="C65" s="45"/>
      <c r="D65" s="165"/>
      <c r="E65" s="165"/>
      <c r="F65" s="165"/>
      <c r="G65" s="45"/>
      <c r="H65" s="45"/>
      <c r="I65" s="45"/>
      <c r="J65" s="45"/>
      <c r="K65" s="45"/>
      <c r="L65" s="45"/>
      <c r="M65" s="45"/>
      <c r="N65" s="45"/>
      <c r="O65" s="45"/>
      <c r="P65" s="45"/>
      <c r="Q65" s="45"/>
      <c r="R65" s="45"/>
      <c r="S65" s="45"/>
      <c r="T65" s="45"/>
    </row>
    <row r="66" spans="2:20" x14ac:dyDescent="0.2">
      <c r="B66" s="49" t="s">
        <v>243</v>
      </c>
      <c r="C66" s="45"/>
      <c r="D66" s="167">
        <f>+'Historical Financials'!AS108</f>
        <v>0</v>
      </c>
      <c r="E66" s="167">
        <f>+'Historical Financials'!AT108</f>
        <v>-2.6850000000000001</v>
      </c>
      <c r="F66" s="167">
        <f>+'Historical Financials'!AU108</f>
        <v>-0.35</v>
      </c>
      <c r="G66" s="167">
        <f>+'Historical Financials'!AV108</f>
        <v>-13.993</v>
      </c>
      <c r="H66" s="167">
        <f>+'Historical Financials'!AW108</f>
        <v>-5.0659999999999998</v>
      </c>
      <c r="I66" s="167">
        <f>+'Historical Financials'!AX108</f>
        <v>-19.026</v>
      </c>
      <c r="J66" s="142">
        <v>0</v>
      </c>
      <c r="K66" s="142">
        <v>0</v>
      </c>
      <c r="L66" s="142">
        <v>0</v>
      </c>
      <c r="M66" s="142">
        <v>0</v>
      </c>
      <c r="N66" s="142">
        <v>0</v>
      </c>
      <c r="O66" s="142">
        <v>0</v>
      </c>
      <c r="P66" s="142">
        <v>0</v>
      </c>
      <c r="Q66" s="142">
        <v>0</v>
      </c>
      <c r="R66" s="142">
        <v>0</v>
      </c>
      <c r="S66" s="142">
        <v>0</v>
      </c>
      <c r="T66" s="142">
        <v>0</v>
      </c>
    </row>
    <row r="67" spans="2:20" x14ac:dyDescent="0.2">
      <c r="C67" s="45"/>
      <c r="D67" s="45"/>
      <c r="E67" s="45"/>
      <c r="F67" s="45"/>
      <c r="G67" s="45"/>
      <c r="H67" s="45"/>
      <c r="I67" s="45"/>
      <c r="J67" s="45"/>
      <c r="K67" s="45"/>
      <c r="L67" s="45"/>
      <c r="M67" s="45"/>
      <c r="N67" s="45"/>
      <c r="O67" s="45"/>
      <c r="P67" s="45"/>
      <c r="Q67" s="45"/>
      <c r="R67" s="45"/>
      <c r="S67" s="45"/>
      <c r="T67" s="45"/>
    </row>
    <row r="68" spans="2:20" x14ac:dyDescent="0.2">
      <c r="B68" s="44" t="s">
        <v>79</v>
      </c>
      <c r="C68" s="45"/>
      <c r="D68" s="165">
        <f>+'Historical Financials'!AS111</f>
        <v>0</v>
      </c>
      <c r="E68" s="165">
        <f>+'Historical Financials'!AT111</f>
        <v>0</v>
      </c>
      <c r="F68" s="165">
        <f>+'Historical Financials'!AU111</f>
        <v>0</v>
      </c>
      <c r="G68" s="165">
        <f>+'Historical Financials'!AV111</f>
        <v>0</v>
      </c>
      <c r="H68" s="165">
        <f>+'Historical Financials'!AW111</f>
        <v>0</v>
      </c>
      <c r="I68" s="165">
        <f>+'Historical Financials'!AX111</f>
        <v>0</v>
      </c>
      <c r="J68" s="45">
        <f t="shared" ref="J68" si="78">+J70+J69</f>
        <v>0</v>
      </c>
      <c r="K68" s="45">
        <f t="shared" ref="K68:Q68" si="79">+K70+K69</f>
        <v>0</v>
      </c>
      <c r="L68" s="45">
        <f t="shared" si="79"/>
        <v>0</v>
      </c>
      <c r="M68" s="45">
        <f t="shared" si="79"/>
        <v>0</v>
      </c>
      <c r="N68" s="45">
        <f t="shared" si="79"/>
        <v>0</v>
      </c>
      <c r="O68" s="45">
        <f>+O70+O69</f>
        <v>0</v>
      </c>
      <c r="P68" s="45">
        <f t="shared" si="79"/>
        <v>0</v>
      </c>
      <c r="Q68" s="45">
        <f t="shared" si="79"/>
        <v>0</v>
      </c>
      <c r="R68" s="45">
        <f t="shared" ref="R68:S68" si="80">+R70+R69</f>
        <v>0</v>
      </c>
      <c r="S68" s="45">
        <f t="shared" si="80"/>
        <v>0</v>
      </c>
      <c r="T68" s="45">
        <f t="shared" ref="T68" si="81">+T70+T69</f>
        <v>0</v>
      </c>
    </row>
    <row r="69" spans="2:20" ht="13.5" x14ac:dyDescent="0.35">
      <c r="B69" s="34" t="s">
        <v>80</v>
      </c>
      <c r="C69" s="45"/>
      <c r="D69" s="166">
        <f>+'Historical Financials'!AS112</f>
        <v>37.435000000000002</v>
      </c>
      <c r="E69" s="166">
        <f>+'Historical Financials'!AT112</f>
        <v>35.530999999999999</v>
      </c>
      <c r="F69" s="166">
        <f>+'Historical Financials'!AU112</f>
        <v>539.33000000000004</v>
      </c>
      <c r="G69" s="166">
        <f>+'Historical Financials'!AV112</f>
        <v>237.53899999999999</v>
      </c>
      <c r="H69" s="166">
        <f>+'Historical Financials'!AW112</f>
        <v>238.56900000000002</v>
      </c>
      <c r="I69" s="166">
        <f>+'Historical Financials'!AX112</f>
        <v>231.04155724072854</v>
      </c>
      <c r="J69" s="56">
        <v>0</v>
      </c>
      <c r="K69" s="76">
        <f t="shared" ref="K69:T69" si="82">+J69</f>
        <v>0</v>
      </c>
      <c r="L69" s="76">
        <f t="shared" si="82"/>
        <v>0</v>
      </c>
      <c r="M69" s="76">
        <f t="shared" si="82"/>
        <v>0</v>
      </c>
      <c r="N69" s="76">
        <f t="shared" si="82"/>
        <v>0</v>
      </c>
      <c r="O69" s="76">
        <f t="shared" si="82"/>
        <v>0</v>
      </c>
      <c r="P69" s="76">
        <f t="shared" si="82"/>
        <v>0</v>
      </c>
      <c r="Q69" s="76">
        <f t="shared" si="82"/>
        <v>0</v>
      </c>
      <c r="R69" s="76">
        <f t="shared" si="82"/>
        <v>0</v>
      </c>
      <c r="S69" s="76">
        <f t="shared" si="82"/>
        <v>0</v>
      </c>
      <c r="T69" s="76">
        <f t="shared" si="82"/>
        <v>0</v>
      </c>
    </row>
    <row r="70" spans="2:20" x14ac:dyDescent="0.2">
      <c r="B70" s="57" t="s">
        <v>60</v>
      </c>
      <c r="C70" s="60"/>
      <c r="D70" s="53">
        <f t="shared" ref="D70:I70" si="83">+D68-D69</f>
        <v>-37.435000000000002</v>
      </c>
      <c r="E70" s="53">
        <f t="shared" si="83"/>
        <v>-35.530999999999999</v>
      </c>
      <c r="F70" s="53">
        <f t="shared" si="83"/>
        <v>-539.33000000000004</v>
      </c>
      <c r="G70" s="53">
        <f t="shared" si="83"/>
        <v>-237.53899999999999</v>
      </c>
      <c r="H70" s="53">
        <f t="shared" si="83"/>
        <v>-238.56900000000002</v>
      </c>
      <c r="I70" s="53">
        <f t="shared" si="83"/>
        <v>-231.04155724072854</v>
      </c>
      <c r="J70" s="45">
        <f t="shared" ref="J70:Q70" si="84">+J71*J24</f>
        <v>0</v>
      </c>
      <c r="K70" s="45">
        <f t="shared" si="84"/>
        <v>0</v>
      </c>
      <c r="L70" s="45">
        <f t="shared" si="84"/>
        <v>0</v>
      </c>
      <c r="M70" s="45">
        <f t="shared" si="84"/>
        <v>0</v>
      </c>
      <c r="N70" s="45">
        <f t="shared" si="84"/>
        <v>0</v>
      </c>
      <c r="O70" s="45">
        <f t="shared" si="84"/>
        <v>0</v>
      </c>
      <c r="P70" s="45">
        <f t="shared" si="84"/>
        <v>0</v>
      </c>
      <c r="Q70" s="45">
        <f t="shared" si="84"/>
        <v>0</v>
      </c>
      <c r="R70" s="45">
        <f t="shared" ref="R70:S70" si="85">+R71*R24</f>
        <v>0</v>
      </c>
      <c r="S70" s="45">
        <f t="shared" si="85"/>
        <v>0</v>
      </c>
      <c r="T70" s="45">
        <f t="shared" ref="T70" si="86">+T71*T24</f>
        <v>0</v>
      </c>
    </row>
    <row r="71" spans="2:20" s="55" customFormat="1" x14ac:dyDescent="0.2">
      <c r="B71" s="90" t="s">
        <v>61</v>
      </c>
      <c r="C71" s="52"/>
      <c r="D71" s="88" t="s">
        <v>59</v>
      </c>
      <c r="E71" s="88" t="s">
        <v>59</v>
      </c>
      <c r="F71" s="88" t="s">
        <v>59</v>
      </c>
      <c r="G71" s="88" t="s">
        <v>59</v>
      </c>
      <c r="H71" s="88" t="s">
        <v>59</v>
      </c>
      <c r="I71" s="88" t="s">
        <v>59</v>
      </c>
      <c r="J71" s="91">
        <v>0</v>
      </c>
      <c r="K71" s="92">
        <f t="shared" ref="K71:T71" si="87">J71</f>
        <v>0</v>
      </c>
      <c r="L71" s="92">
        <f t="shared" si="87"/>
        <v>0</v>
      </c>
      <c r="M71" s="92">
        <f t="shared" si="87"/>
        <v>0</v>
      </c>
      <c r="N71" s="92">
        <f t="shared" si="87"/>
        <v>0</v>
      </c>
      <c r="O71" s="92">
        <f t="shared" si="87"/>
        <v>0</v>
      </c>
      <c r="P71" s="92">
        <f t="shared" si="87"/>
        <v>0</v>
      </c>
      <c r="Q71" s="92">
        <f t="shared" si="87"/>
        <v>0</v>
      </c>
      <c r="R71" s="92">
        <f t="shared" si="87"/>
        <v>0</v>
      </c>
      <c r="S71" s="92">
        <f t="shared" si="87"/>
        <v>0</v>
      </c>
      <c r="T71" s="92">
        <f t="shared" si="87"/>
        <v>0</v>
      </c>
    </row>
    <row r="72" spans="2:20" x14ac:dyDescent="0.2">
      <c r="B72" s="61"/>
      <c r="C72" s="45"/>
      <c r="D72" s="45"/>
      <c r="E72" s="45"/>
      <c r="F72" s="45"/>
      <c r="G72" s="45"/>
      <c r="H72" s="45"/>
      <c r="I72" s="45"/>
      <c r="J72" s="45"/>
      <c r="K72" s="45"/>
      <c r="L72" s="45"/>
      <c r="M72" s="45"/>
      <c r="N72" s="45"/>
      <c r="O72" s="45"/>
      <c r="P72" s="45"/>
      <c r="Q72" s="45"/>
      <c r="R72" s="45"/>
      <c r="S72" s="45"/>
      <c r="T72" s="45"/>
    </row>
    <row r="73" spans="2:20" x14ac:dyDescent="0.2">
      <c r="B73" s="34" t="s">
        <v>62</v>
      </c>
      <c r="C73" s="45"/>
      <c r="D73" s="54"/>
      <c r="E73" s="45"/>
      <c r="F73" s="45"/>
      <c r="G73" s="45"/>
      <c r="H73" s="45"/>
      <c r="I73" s="45"/>
      <c r="J73" s="45">
        <f t="shared" ref="J73:T73" si="88">J64+(J70-I70)+J66</f>
        <v>260.65763400577362</v>
      </c>
      <c r="K73" s="45">
        <f t="shared" si="88"/>
        <v>57.150788677621755</v>
      </c>
      <c r="L73" s="45">
        <f t="shared" si="88"/>
        <v>87.568986505633248</v>
      </c>
      <c r="M73" s="45">
        <f t="shared" si="88"/>
        <v>120.36172301474951</v>
      </c>
      <c r="N73" s="45">
        <f t="shared" si="88"/>
        <v>155.61566936362127</v>
      </c>
      <c r="O73" s="45">
        <f t="shared" si="88"/>
        <v>192.99716627122703</v>
      </c>
      <c r="P73" s="45">
        <f t="shared" si="88"/>
        <v>232.0581833748613</v>
      </c>
      <c r="Q73" s="45">
        <f t="shared" si="88"/>
        <v>272.23696311328507</v>
      </c>
      <c r="R73" s="45">
        <f t="shared" si="88"/>
        <v>312.86445521227722</v>
      </c>
      <c r="S73" s="45">
        <f t="shared" si="88"/>
        <v>357.60278003505675</v>
      </c>
      <c r="T73" s="45">
        <f t="shared" si="88"/>
        <v>406.86782920539122</v>
      </c>
    </row>
    <row r="74" spans="2:20" x14ac:dyDescent="0.2">
      <c r="C74" s="45"/>
      <c r="D74" s="45"/>
      <c r="E74" s="45"/>
      <c r="F74" s="45"/>
      <c r="G74" s="45"/>
      <c r="H74" s="45"/>
      <c r="I74" s="45"/>
      <c r="J74" s="45"/>
      <c r="K74" s="45"/>
      <c r="L74" s="45"/>
      <c r="M74" s="45"/>
      <c r="N74" s="45"/>
      <c r="O74" s="45"/>
      <c r="P74" s="45"/>
      <c r="Q74" s="45"/>
      <c r="R74" s="45"/>
      <c r="S74" s="45"/>
      <c r="T74" s="45"/>
    </row>
    <row r="75" spans="2:20" x14ac:dyDescent="0.2">
      <c r="B75" s="34" t="s">
        <v>63</v>
      </c>
      <c r="C75" s="45"/>
      <c r="D75" s="45"/>
      <c r="E75" s="45"/>
      <c r="F75" s="45"/>
      <c r="G75" s="45"/>
      <c r="H75" s="45"/>
      <c r="I75" s="45"/>
      <c r="J75" s="45">
        <f t="shared" ref="J75:T75" si="89">I75+J73</f>
        <v>260.65763400577362</v>
      </c>
      <c r="K75" s="45">
        <f t="shared" si="89"/>
        <v>317.80842268339535</v>
      </c>
      <c r="L75" s="45">
        <f t="shared" si="89"/>
        <v>405.37740918902858</v>
      </c>
      <c r="M75" s="45">
        <f t="shared" si="89"/>
        <v>525.73913220377813</v>
      </c>
      <c r="N75" s="45">
        <f t="shared" si="89"/>
        <v>681.35480156739936</v>
      </c>
      <c r="O75" s="45">
        <f t="shared" si="89"/>
        <v>874.35196783862636</v>
      </c>
      <c r="P75" s="45">
        <f t="shared" si="89"/>
        <v>1106.4101512134876</v>
      </c>
      <c r="Q75" s="45">
        <f t="shared" si="89"/>
        <v>1378.6471143267727</v>
      </c>
      <c r="R75" s="45">
        <f t="shared" si="89"/>
        <v>1691.51156953905</v>
      </c>
      <c r="S75" s="45">
        <f t="shared" si="89"/>
        <v>2049.1143495741067</v>
      </c>
      <c r="T75" s="45">
        <f t="shared" si="89"/>
        <v>2455.9821787794981</v>
      </c>
    </row>
    <row r="76" spans="2:20" s="55" customFormat="1" x14ac:dyDescent="0.2">
      <c r="B76" s="49" t="s">
        <v>64</v>
      </c>
      <c r="C76" s="52"/>
      <c r="D76" s="62"/>
      <c r="E76" s="62"/>
      <c r="F76" s="62"/>
      <c r="G76" s="62"/>
      <c r="H76" s="62"/>
      <c r="I76" s="62"/>
      <c r="J76" s="62">
        <f t="shared" ref="J76:Q76" si="90">J75/$D$99</f>
        <v>0.11148549656620553</v>
      </c>
      <c r="K76" s="62">
        <f t="shared" si="90"/>
        <v>0.13592937705786151</v>
      </c>
      <c r="L76" s="62">
        <f t="shared" si="90"/>
        <v>0.17338338058865252</v>
      </c>
      <c r="M76" s="62">
        <f t="shared" si="90"/>
        <v>0.2248631176354724</v>
      </c>
      <c r="N76" s="93">
        <f t="shared" si="90"/>
        <v>0.2914212686701031</v>
      </c>
      <c r="O76" s="62">
        <f t="shared" si="90"/>
        <v>0.3739678052397617</v>
      </c>
      <c r="P76" s="62">
        <f t="shared" si="90"/>
        <v>0.4732210724785218</v>
      </c>
      <c r="Q76" s="62">
        <f t="shared" si="90"/>
        <v>0.58965914701305899</v>
      </c>
      <c r="R76" s="62">
        <f t="shared" ref="R76:S76" si="91">R75/$D$99</f>
        <v>0.72347394695282785</v>
      </c>
      <c r="S76" s="62">
        <f t="shared" si="91"/>
        <v>0.87642371056796442</v>
      </c>
      <c r="T76" s="62">
        <f t="shared" ref="T76" si="92">T75/$D$99</f>
        <v>1.0504445565285798</v>
      </c>
    </row>
    <row r="77" spans="2:20" ht="10.15" x14ac:dyDescent="0.2">
      <c r="C77" s="45"/>
      <c r="D77" s="45"/>
      <c r="E77" s="45"/>
      <c r="F77" s="45"/>
      <c r="G77" s="45"/>
      <c r="H77" s="45"/>
      <c r="I77" s="45"/>
      <c r="J77" s="45"/>
      <c r="K77" s="45"/>
      <c r="L77" s="45"/>
      <c r="M77" s="45"/>
      <c r="N77" s="45"/>
      <c r="O77" s="45"/>
      <c r="P77" s="45"/>
      <c r="Q77" s="45"/>
      <c r="R77" s="45"/>
      <c r="S77" s="45"/>
      <c r="T77" s="45"/>
    </row>
    <row r="78" spans="2:20" ht="10.15" x14ac:dyDescent="0.2">
      <c r="B78" s="63" t="s">
        <v>65</v>
      </c>
      <c r="C78" s="45"/>
      <c r="D78" s="45"/>
      <c r="E78" s="45"/>
      <c r="F78" s="45"/>
      <c r="G78" s="45"/>
      <c r="H78" s="45"/>
      <c r="I78" s="272"/>
      <c r="J78" s="45"/>
      <c r="K78" s="45"/>
      <c r="L78" s="45"/>
      <c r="M78" s="45"/>
      <c r="N78" s="45"/>
      <c r="O78" s="45"/>
      <c r="P78" s="45"/>
      <c r="Q78" s="45"/>
      <c r="R78" s="45"/>
      <c r="S78" s="45"/>
      <c r="T78" s="45"/>
    </row>
    <row r="79" spans="2:20" ht="10.15" x14ac:dyDescent="0.2">
      <c r="B79" s="58" t="s">
        <v>81</v>
      </c>
      <c r="C79" s="45"/>
      <c r="D79" s="64">
        <f>+$D$101/D7</f>
        <v>22.869738570606565</v>
      </c>
      <c r="E79" s="64">
        <f>+$D$101/E7</f>
        <v>16.868938938938939</v>
      </c>
      <c r="F79" s="64">
        <f>+$D$101/F7</f>
        <v>11.204774176733101</v>
      </c>
      <c r="G79" s="64">
        <f>+$D$101/G7</f>
        <v>8.2830366551848886</v>
      </c>
      <c r="H79" s="64">
        <f>+$D$101/H7</f>
        <v>6.8465385552937352</v>
      </c>
      <c r="I79" s="64">
        <f t="shared" ref="I79:T79" si="93">+($D$99+$H$70-I75+I70-$H70)/I7</f>
        <v>5.6133210424979136</v>
      </c>
      <c r="J79" s="64">
        <f t="shared" si="93"/>
        <v>4.692196249546047</v>
      </c>
      <c r="K79" s="64">
        <f t="shared" si="93"/>
        <v>3.9000935558884544</v>
      </c>
      <c r="L79" s="64">
        <f t="shared" si="93"/>
        <v>3.2164138864212304</v>
      </c>
      <c r="M79" s="64">
        <f t="shared" si="93"/>
        <v>2.6226984361867394</v>
      </c>
      <c r="N79" s="64">
        <f t="shared" si="93"/>
        <v>2.1030675218101154</v>
      </c>
      <c r="O79" s="64">
        <f t="shared" si="93"/>
        <v>1.6443086018528352</v>
      </c>
      <c r="P79" s="64">
        <f t="shared" si="93"/>
        <v>1.2353699461810363</v>
      </c>
      <c r="Q79" s="64">
        <f t="shared" si="93"/>
        <v>0.86694274397222137</v>
      </c>
      <c r="R79" s="64">
        <f t="shared" si="93"/>
        <v>0.53111556463247456</v>
      </c>
      <c r="S79" s="64">
        <f t="shared" si="93"/>
        <v>0.21577217511740659</v>
      </c>
      <c r="T79" s="64">
        <f t="shared" si="93"/>
        <v>-8.0072227852347966E-2</v>
      </c>
    </row>
    <row r="80" spans="2:20" ht="10.15" x14ac:dyDescent="0.2">
      <c r="B80" s="66" t="s">
        <v>322</v>
      </c>
      <c r="C80" s="45"/>
      <c r="D80" s="64">
        <f>+$D$101/D11</f>
        <v>30.275500158095948</v>
      </c>
      <c r="E80" s="64">
        <f>+$D$101/E11</f>
        <v>22.166309769340852</v>
      </c>
      <c r="F80" s="64">
        <f>+$D$101/F11</f>
        <v>14.395604113988927</v>
      </c>
      <c r="G80" s="64">
        <f>+$D$101/G11</f>
        <v>10.141243855823067</v>
      </c>
      <c r="H80" s="64">
        <f>+$D$101/H11</f>
        <v>8.1715722404329174</v>
      </c>
      <c r="I80" s="64">
        <f t="shared" ref="I80:T80" si="94">+($D$99+$H$70-I75+I70-$H70)/I11</f>
        <v>6.6749021522193006</v>
      </c>
      <c r="J80" s="64">
        <f t="shared" si="94"/>
        <v>5.5594742293199619</v>
      </c>
      <c r="K80" s="64">
        <f t="shared" si="94"/>
        <v>4.6209639287777904</v>
      </c>
      <c r="L80" s="64">
        <f t="shared" si="94"/>
        <v>3.810916927039373</v>
      </c>
      <c r="M80" s="64">
        <f t="shared" si="94"/>
        <v>3.1074626021169904</v>
      </c>
      <c r="N80" s="64">
        <f t="shared" si="94"/>
        <v>2.4917861632821277</v>
      </c>
      <c r="O80" s="64">
        <f t="shared" si="94"/>
        <v>1.9482329405839283</v>
      </c>
      <c r="P80" s="64">
        <f t="shared" si="94"/>
        <v>1.4637084670391427</v>
      </c>
      <c r="Q80" s="64">
        <f t="shared" si="94"/>
        <v>1.0271833459386512</v>
      </c>
      <c r="R80" s="64">
        <f t="shared" si="94"/>
        <v>0.62928384435127327</v>
      </c>
      <c r="S80" s="64">
        <f t="shared" si="94"/>
        <v>0.25565423592109787</v>
      </c>
      <c r="T80" s="64">
        <f t="shared" si="94"/>
        <v>-9.4872307881928894E-2</v>
      </c>
    </row>
    <row r="81" spans="2:32" ht="10.15" x14ac:dyDescent="0.2">
      <c r="B81" s="66" t="s">
        <v>82</v>
      </c>
      <c r="C81" s="45"/>
      <c r="D81" s="64">
        <f ca="1">+$D$101/D30</f>
        <v>-312.4456763571643</v>
      </c>
      <c r="E81" s="64">
        <f t="shared" ref="E81:G81" si="95">+$D$101/E30</f>
        <v>-451.94352070371167</v>
      </c>
      <c r="F81" s="64">
        <f t="shared" si="95"/>
        <v>2021.6014875239384</v>
      </c>
      <c r="G81" s="64">
        <f t="shared" si="95"/>
        <v>-114.11824855084252</v>
      </c>
      <c r="H81" s="64">
        <f t="shared" ref="H81" si="96">+$D$101/H30</f>
        <v>2676.6311944089825</v>
      </c>
      <c r="I81" s="64">
        <f>+($D$99+$H$70-I75+I70-$H70)/I30</f>
        <v>82.834302611403615</v>
      </c>
      <c r="J81" s="64">
        <f t="shared" ref="J81:S81" si="97">+($D$99+$H$70-J75+J70-$H70)/J30</f>
        <v>40.139809635601921</v>
      </c>
      <c r="K81" s="64">
        <f t="shared" si="97"/>
        <v>22.863467241798872</v>
      </c>
      <c r="L81" s="64">
        <f t="shared" si="97"/>
        <v>15.020133562102414</v>
      </c>
      <c r="M81" s="64">
        <f t="shared" si="97"/>
        <v>10.505517204259984</v>
      </c>
      <c r="N81" s="64">
        <f t="shared" si="97"/>
        <v>7.5454029450386377</v>
      </c>
      <c r="O81" s="64">
        <f t="shared" si="97"/>
        <v>5.433727754873142</v>
      </c>
      <c r="P81" s="64">
        <f t="shared" si="97"/>
        <v>3.8329704768782848</v>
      </c>
      <c r="Q81" s="64">
        <f t="shared" si="97"/>
        <v>2.5606696055363156</v>
      </c>
      <c r="R81" s="64">
        <f t="shared" si="97"/>
        <v>1.5088553624794625</v>
      </c>
      <c r="S81" s="64">
        <f t="shared" si="97"/>
        <v>0.59243014529742255</v>
      </c>
      <c r="T81" s="64">
        <f t="shared" ref="T81" si="98">+($D$99+$H$70-T75+T70-$H70)/T30</f>
        <v>-0.21334320343984176</v>
      </c>
    </row>
    <row r="82" spans="2:32" ht="10.15" x14ac:dyDescent="0.2">
      <c r="B82" s="66" t="s">
        <v>83</v>
      </c>
      <c r="C82" s="45"/>
      <c r="D82" s="64">
        <f ca="1">+$D$101/D45</f>
        <v>-266.4780202403544</v>
      </c>
      <c r="E82" s="64">
        <f t="shared" ref="E82:G82" si="99">+$D$101/E45</f>
        <v>-261.35344292803973</v>
      </c>
      <c r="F82" s="64">
        <f t="shared" si="99"/>
        <v>-512.03421244531216</v>
      </c>
      <c r="G82" s="64">
        <f t="shared" si="99"/>
        <v>-79.541923120492442</v>
      </c>
      <c r="H82" s="64">
        <f t="shared" ref="H82" si="100">+$D$101/H45</f>
        <v>-224.40702567380538</v>
      </c>
      <c r="I82" s="64">
        <f>+($D$99+$H$70-I75+I70-$H70)/I45</f>
        <v>179.92403613130824</v>
      </c>
      <c r="J82" s="64">
        <f t="shared" ref="J82:S82" si="101">+($D$99+$H$70-J75+J70-$H70)/J45</f>
        <v>53.9976371469279</v>
      </c>
      <c r="K82" s="64">
        <f t="shared" si="101"/>
        <v>27.644181919924595</v>
      </c>
      <c r="L82" s="64">
        <f t="shared" si="101"/>
        <v>17.372858440505659</v>
      </c>
      <c r="M82" s="64">
        <f t="shared" si="101"/>
        <v>11.859384476633918</v>
      </c>
      <c r="N82" s="64">
        <f t="shared" si="101"/>
        <v>8.3880555118036906</v>
      </c>
      <c r="O82" s="64">
        <f t="shared" si="101"/>
        <v>5.9768802720415364</v>
      </c>
      <c r="P82" s="64">
        <f t="shared" si="101"/>
        <v>4.1834272233789171</v>
      </c>
      <c r="Q82" s="64">
        <f t="shared" si="101"/>
        <v>2.7781198944116383</v>
      </c>
      <c r="R82" s="64">
        <f t="shared" si="101"/>
        <v>1.6291938928105461</v>
      </c>
      <c r="S82" s="64">
        <f t="shared" si="101"/>
        <v>0.63703092001552086</v>
      </c>
      <c r="T82" s="64">
        <f t="shared" ref="T82" si="102">+($D$99+$H$70-T75+T70-$H70)/T45</f>
        <v>-0.22856803149542279</v>
      </c>
    </row>
    <row r="83" spans="2:32" ht="10.15" x14ac:dyDescent="0.2">
      <c r="B83" s="58" t="s">
        <v>84</v>
      </c>
      <c r="C83" s="45"/>
      <c r="D83" s="64">
        <f ca="1">($D$99)/(D30-D56-D49-D52)</f>
        <v>-240.98544114615558</v>
      </c>
      <c r="E83" s="64">
        <f t="shared" ref="E83:G83" si="103">($D$99)/(E30-E56-E49-E52)</f>
        <v>-367.26998900408421</v>
      </c>
      <c r="F83" s="64">
        <f t="shared" si="103"/>
        <v>-838.60859038738272</v>
      </c>
      <c r="G83" s="64">
        <f t="shared" si="103"/>
        <v>-118.24410812724433</v>
      </c>
      <c r="H83" s="64">
        <f t="shared" ref="H83" si="104">($D$99)/(H30-H56-H49-H52)</f>
        <v>343.45424778513865</v>
      </c>
      <c r="I83" s="64">
        <f t="shared" ref="I83:S83" si="105">($D$99-I$75)/(I30-I56-I49-I52)</f>
        <v>103.78931413645884</v>
      </c>
      <c r="J83" s="64">
        <f t="shared" si="105"/>
        <v>62.357350562315453</v>
      </c>
      <c r="K83" s="64">
        <f t="shared" si="105"/>
        <v>33.713486810147153</v>
      </c>
      <c r="L83" s="64">
        <f t="shared" si="105"/>
        <v>21.697966277847783</v>
      </c>
      <c r="M83" s="64">
        <f t="shared" si="105"/>
        <v>14.844073313960909</v>
      </c>
      <c r="N83" s="64">
        <f t="shared" si="105"/>
        <v>10.512964753449502</v>
      </c>
      <c r="O83" s="64">
        <f t="shared" si="105"/>
        <v>7.4975394099551336</v>
      </c>
      <c r="P83" s="64">
        <f t="shared" si="105"/>
        <v>5.2510226542987688</v>
      </c>
      <c r="Q83" s="64">
        <f t="shared" si="105"/>
        <v>3.4886589236521997</v>
      </c>
      <c r="R83" s="64">
        <f t="shared" si="105"/>
        <v>2.0465760998075604</v>
      </c>
      <c r="S83" s="64">
        <f t="shared" si="105"/>
        <v>0.800460194213231</v>
      </c>
      <c r="T83" s="64">
        <f t="shared" ref="T83" si="106">($D$99-T$75)/(T30-T56-T49-T52)</f>
        <v>-0.28727652836377543</v>
      </c>
    </row>
    <row r="84" spans="2:32" ht="10.15" x14ac:dyDescent="0.2">
      <c r="B84" s="66" t="s">
        <v>66</v>
      </c>
      <c r="C84" s="45"/>
      <c r="D84" s="64">
        <f ca="1">($D$99)/D59</f>
        <v>-249.12527970165172</v>
      </c>
      <c r="E84" s="64">
        <f t="shared" ref="E84:G84" si="107">($D$99)/E59</f>
        <v>-280.00488023952107</v>
      </c>
      <c r="F84" s="64">
        <f t="shared" si="107"/>
        <v>-504.32285375323858</v>
      </c>
      <c r="G84" s="64">
        <f t="shared" si="107"/>
        <v>-101.53475268163469</v>
      </c>
      <c r="H84" s="64">
        <f t="shared" ref="H84" si="108">($D$99)/H59</f>
        <v>2094.2116836701966</v>
      </c>
      <c r="I84" s="64">
        <f t="shared" ref="I84:S84" si="109">($D$99-I$75)/I59</f>
        <v>146.23743296581429</v>
      </c>
      <c r="J84" s="64">
        <f t="shared" si="109"/>
        <v>70.143764566618628</v>
      </c>
      <c r="K84" s="64">
        <f t="shared" si="109"/>
        <v>35.349159199051563</v>
      </c>
      <c r="L84" s="64">
        <f t="shared" si="109"/>
        <v>22.070180527744771</v>
      </c>
      <c r="M84" s="64">
        <f t="shared" si="109"/>
        <v>15.057125906831166</v>
      </c>
      <c r="N84" s="64">
        <f t="shared" si="109"/>
        <v>10.646009847256996</v>
      </c>
      <c r="O84" s="64">
        <f t="shared" si="109"/>
        <v>7.5839910525131247</v>
      </c>
      <c r="P84" s="64">
        <f t="shared" si="109"/>
        <v>5.307421530560573</v>
      </c>
      <c r="Q84" s="64">
        <f t="shared" si="109"/>
        <v>3.524112320023193</v>
      </c>
      <c r="R84" s="64">
        <f t="shared" si="109"/>
        <v>2.0664833274917176</v>
      </c>
      <c r="S84" s="64">
        <f t="shared" si="109"/>
        <v>0.80795345158549725</v>
      </c>
      <c r="T84" s="64">
        <f t="shared" ref="T84" si="110">($D$99-T$75)/T59</f>
        <v>-0.28987651594336278</v>
      </c>
      <c r="V84" s="65"/>
      <c r="W84" s="65"/>
      <c r="X84" s="65"/>
      <c r="Y84" s="65"/>
      <c r="Z84" s="65"/>
      <c r="AA84" s="65"/>
    </row>
    <row r="85" spans="2:32" ht="10.15" x14ac:dyDescent="0.2">
      <c r="B85" s="58"/>
      <c r="C85" s="45"/>
      <c r="D85" s="64"/>
      <c r="E85" s="64"/>
      <c r="F85" s="64"/>
      <c r="G85" s="64"/>
      <c r="H85" s="64"/>
      <c r="I85" s="64"/>
      <c r="J85" s="64"/>
      <c r="K85" s="64"/>
      <c r="L85" s="64"/>
      <c r="M85" s="64"/>
      <c r="N85" s="64"/>
      <c r="O85" s="64"/>
      <c r="P85" s="64"/>
      <c r="Q85" s="64"/>
      <c r="R85" s="64"/>
      <c r="S85" s="64"/>
      <c r="T85" s="64"/>
      <c r="V85" s="65"/>
      <c r="W85" s="65"/>
      <c r="X85" s="65"/>
      <c r="Y85" s="65"/>
      <c r="Z85" s="65"/>
      <c r="AA85" s="65"/>
    </row>
    <row r="86" spans="2:32" ht="10.15" x14ac:dyDescent="0.2">
      <c r="B86" s="66" t="s">
        <v>321</v>
      </c>
      <c r="C86" s="45"/>
      <c r="D86" s="94">
        <f>+$D$101/(D7*0.35*(1-D53))</f>
        <v>82.711531900927909</v>
      </c>
      <c r="E86" s="94">
        <f>+$D$101/(E7*0.35*(1-E53))</f>
        <v>61.008820755656195</v>
      </c>
      <c r="F86" s="94">
        <f>+$D$101/(F7*0.35*(1-F53))</f>
        <v>40.523595575888258</v>
      </c>
      <c r="G86" s="94">
        <f>+$D$101/(G7*0.35*(1-G53))</f>
        <v>29.956732930144259</v>
      </c>
      <c r="H86" s="94">
        <f>+($D$99+$H$70)/(H7*0.35*(1-H53))</f>
        <v>24.67872339518917</v>
      </c>
      <c r="I86" s="64">
        <f t="shared" ref="I86:T86" si="111">+($D$99+$H$70-I75+I70-$H70)/(I7*0.35*(1-I53))</f>
        <v>20.301341925851403</v>
      </c>
      <c r="J86" s="64">
        <f t="shared" si="111"/>
        <v>16.969968352788598</v>
      </c>
      <c r="K86" s="64">
        <f t="shared" si="111"/>
        <v>14.105220816956436</v>
      </c>
      <c r="L86" s="64">
        <f t="shared" si="111"/>
        <v>11.632599950890526</v>
      </c>
      <c r="M86" s="64">
        <f t="shared" si="111"/>
        <v>9.4853469663173211</v>
      </c>
      <c r="N86" s="64">
        <f t="shared" si="111"/>
        <v>7.6060308202897478</v>
      </c>
      <c r="O86" s="64">
        <f t="shared" si="111"/>
        <v>5.9468665528131481</v>
      </c>
      <c r="P86" s="64">
        <f t="shared" si="111"/>
        <v>4.4678840729874727</v>
      </c>
      <c r="Q86" s="64">
        <f t="shared" si="111"/>
        <v>3.1354167955595709</v>
      </c>
      <c r="R86" s="64">
        <f t="shared" si="111"/>
        <v>1.9208519516545191</v>
      </c>
      <c r="S86" s="64">
        <f t="shared" si="111"/>
        <v>0.78036953026186828</v>
      </c>
      <c r="T86" s="64">
        <f t="shared" si="111"/>
        <v>-0.2895921441314574</v>
      </c>
      <c r="V86" s="65"/>
      <c r="W86" s="65"/>
      <c r="X86" s="65"/>
      <c r="Y86" s="65"/>
      <c r="Z86" s="65"/>
      <c r="AA86" s="65"/>
    </row>
    <row r="87" spans="2:32" ht="10.15" x14ac:dyDescent="0.2">
      <c r="B87" s="58" t="s">
        <v>85</v>
      </c>
      <c r="C87" s="45"/>
      <c r="D87" s="94">
        <f>+$D$101/(D7*0.45*(1-D53))</f>
        <v>64.331191478499463</v>
      </c>
      <c r="E87" s="94">
        <f>+$D$101/(E7*0.45*(1-E53))</f>
        <v>47.451305032177039</v>
      </c>
      <c r="F87" s="94">
        <f>+$D$101/(F7*0.45*(1-F53))</f>
        <v>31.518352114579745</v>
      </c>
      <c r="G87" s="94">
        <f>+$D$101/(G7*0.45*(1-G53))</f>
        <v>23.299681167889979</v>
      </c>
      <c r="H87" s="94">
        <f>+($D$99+$H$70)/(H7*0.45*(1-H53))</f>
        <v>19.194562640702689</v>
      </c>
      <c r="I87" s="64">
        <f t="shared" ref="I87:T87" si="112">+($D$99+$H$70-I75+I70-$H70)/(I7*0.45*(1-I53))</f>
        <v>15.789932608995537</v>
      </c>
      <c r="J87" s="64">
        <f t="shared" si="112"/>
        <v>13.198864274391132</v>
      </c>
      <c r="K87" s="64">
        <f t="shared" si="112"/>
        <v>10.970727302077227</v>
      </c>
      <c r="L87" s="64">
        <f t="shared" si="112"/>
        <v>9.04757773958152</v>
      </c>
      <c r="M87" s="64">
        <f t="shared" si="112"/>
        <v>7.377492084913472</v>
      </c>
      <c r="N87" s="64">
        <f t="shared" si="112"/>
        <v>5.9158017491142481</v>
      </c>
      <c r="O87" s="64">
        <f t="shared" si="112"/>
        <v>4.6253406521880036</v>
      </c>
      <c r="P87" s="64">
        <f t="shared" si="112"/>
        <v>3.4750209456569237</v>
      </c>
      <c r="Q87" s="64">
        <f t="shared" si="112"/>
        <v>2.4386575076574442</v>
      </c>
      <c r="R87" s="64">
        <f t="shared" si="112"/>
        <v>1.4939959623979591</v>
      </c>
      <c r="S87" s="64">
        <f t="shared" si="112"/>
        <v>0.60695407909256416</v>
      </c>
      <c r="T87" s="64">
        <f t="shared" si="112"/>
        <v>-0.22523833432446688</v>
      </c>
      <c r="V87" s="65"/>
      <c r="W87" s="65"/>
      <c r="X87" s="65"/>
      <c r="Y87" s="65"/>
      <c r="Z87" s="65"/>
      <c r="AA87" s="65"/>
    </row>
    <row r="88" spans="2:32" ht="10.15" x14ac:dyDescent="0.2">
      <c r="C88" s="45"/>
      <c r="D88" s="45"/>
      <c r="E88" s="45"/>
      <c r="F88" s="45"/>
      <c r="G88" s="45"/>
      <c r="H88" s="45"/>
      <c r="I88" s="272"/>
      <c r="J88" s="45"/>
      <c r="K88" s="45"/>
      <c r="L88" s="45"/>
    </row>
    <row r="89" spans="2:32" ht="10.15" x14ac:dyDescent="0.2">
      <c r="B89" s="63" t="s">
        <v>67</v>
      </c>
      <c r="C89" s="45"/>
      <c r="D89" s="45"/>
      <c r="E89" s="45"/>
      <c r="F89" s="45"/>
      <c r="G89" s="45"/>
      <c r="H89" s="45"/>
      <c r="I89" s="272"/>
      <c r="J89" s="45"/>
      <c r="K89" s="45"/>
      <c r="L89" s="45"/>
      <c r="AF89" s="34">
        <f>8/3</f>
        <v>2.6666666666666665</v>
      </c>
    </row>
    <row r="90" spans="2:32" ht="12" x14ac:dyDescent="0.35">
      <c r="B90" s="34" t="s">
        <v>68</v>
      </c>
      <c r="C90" s="45"/>
      <c r="D90" s="45"/>
      <c r="E90" s="45"/>
      <c r="F90" s="45"/>
      <c r="G90" s="45"/>
      <c r="H90" s="45"/>
      <c r="I90" s="45"/>
      <c r="J90" s="45"/>
      <c r="K90" s="67"/>
      <c r="L90" s="67"/>
      <c r="M90" s="67"/>
      <c r="N90" s="67"/>
      <c r="O90" s="67"/>
      <c r="P90" s="67"/>
      <c r="Q90" s="67"/>
      <c r="R90" s="67"/>
      <c r="S90" s="67">
        <v>15</v>
      </c>
    </row>
    <row r="91" spans="2:32" ht="10.15" x14ac:dyDescent="0.2">
      <c r="B91" s="34" t="s">
        <v>69</v>
      </c>
      <c r="C91" s="45"/>
      <c r="D91" s="45"/>
      <c r="E91" s="45"/>
      <c r="F91" s="45"/>
      <c r="G91" s="45"/>
      <c r="H91" s="45"/>
      <c r="I91" s="45"/>
      <c r="J91" s="45"/>
      <c r="K91" s="45"/>
      <c r="L91" s="45"/>
      <c r="M91" s="45"/>
      <c r="N91" s="45"/>
      <c r="O91" s="45"/>
      <c r="P91" s="45"/>
      <c r="Q91" s="45"/>
      <c r="R91" s="45"/>
      <c r="S91" s="45">
        <f>S90*(T59)</f>
        <v>6103.0174380808685</v>
      </c>
    </row>
    <row r="92" spans="2:32" ht="12" x14ac:dyDescent="0.35">
      <c r="C92" s="45"/>
      <c r="D92" s="45"/>
      <c r="E92" s="45"/>
      <c r="F92" s="45"/>
      <c r="G92" s="45"/>
      <c r="H92" s="45"/>
      <c r="I92" s="45"/>
      <c r="J92" s="45"/>
      <c r="K92" s="45"/>
      <c r="L92" s="45"/>
      <c r="M92" s="68"/>
      <c r="N92" s="68"/>
      <c r="O92" s="68"/>
      <c r="P92" s="68"/>
      <c r="Q92" s="68"/>
      <c r="R92" s="68"/>
      <c r="S92" s="68"/>
      <c r="T92" s="68" t="s">
        <v>25</v>
      </c>
    </row>
    <row r="93" spans="2:32" ht="10.15" x14ac:dyDescent="0.2">
      <c r="B93" s="34" t="s">
        <v>70</v>
      </c>
      <c r="C93" s="45"/>
      <c r="D93" s="45"/>
      <c r="E93" s="45"/>
      <c r="F93" s="45"/>
      <c r="G93" s="45"/>
      <c r="H93" s="45"/>
      <c r="I93" s="45">
        <f>-D99</f>
        <v>-2338.0407500000001</v>
      </c>
      <c r="J93" s="45">
        <f>+J73</f>
        <v>260.65763400577362</v>
      </c>
      <c r="K93" s="45">
        <f t="shared" ref="K93:R93" si="113">K73</f>
        <v>57.150788677621755</v>
      </c>
      <c r="L93" s="45">
        <f t="shared" si="113"/>
        <v>87.568986505633248</v>
      </c>
      <c r="M93" s="45">
        <f t="shared" si="113"/>
        <v>120.36172301474951</v>
      </c>
      <c r="N93" s="45">
        <f t="shared" si="113"/>
        <v>155.61566936362127</v>
      </c>
      <c r="O93" s="45">
        <f t="shared" si="113"/>
        <v>192.99716627122703</v>
      </c>
      <c r="P93" s="45">
        <f t="shared" si="113"/>
        <v>232.0581833748613</v>
      </c>
      <c r="Q93" s="45">
        <f t="shared" si="113"/>
        <v>272.23696311328507</v>
      </c>
      <c r="R93" s="45">
        <f t="shared" si="113"/>
        <v>312.86445521227722</v>
      </c>
      <c r="S93" s="45">
        <f>S91+S73</f>
        <v>6460.6202181159251</v>
      </c>
      <c r="T93" s="45">
        <f>+SUM(J93:S93)</f>
        <v>8152.1317876549747</v>
      </c>
    </row>
    <row r="94" spans="2:32" ht="10.15" x14ac:dyDescent="0.2">
      <c r="C94" s="45"/>
      <c r="D94" s="45"/>
      <c r="E94" s="45"/>
      <c r="F94" s="45"/>
      <c r="G94" s="45"/>
      <c r="H94" s="45"/>
      <c r="I94" s="45"/>
      <c r="J94" s="45"/>
      <c r="L94" s="69"/>
      <c r="M94" s="69"/>
      <c r="N94" s="69"/>
      <c r="O94" s="69"/>
      <c r="P94" s="69"/>
      <c r="Q94" s="69"/>
      <c r="R94" s="69"/>
      <c r="S94" s="69" t="s">
        <v>71</v>
      </c>
      <c r="T94" s="64">
        <f>+T93/-I93</f>
        <v>3.4867363999771923</v>
      </c>
    </row>
    <row r="95" spans="2:32" ht="10.15" x14ac:dyDescent="0.2">
      <c r="B95" s="70" t="s">
        <v>72</v>
      </c>
      <c r="C95" s="71"/>
      <c r="D95" s="71"/>
      <c r="E95" s="72">
        <f>XIRR(I93:S93,I6:S6)</f>
        <v>0.14976617693901062</v>
      </c>
      <c r="F95" s="45"/>
      <c r="G95" s="45"/>
      <c r="H95" s="45"/>
      <c r="I95" s="45"/>
      <c r="J95" s="45"/>
      <c r="K95" s="45"/>
      <c r="L95" s="45"/>
    </row>
    <row r="96" spans="2:32" ht="10.15" x14ac:dyDescent="0.2">
      <c r="C96" s="45"/>
      <c r="D96" s="45"/>
      <c r="E96" s="45"/>
      <c r="F96" s="45"/>
      <c r="G96" s="45"/>
      <c r="H96" s="45"/>
      <c r="I96" s="45"/>
      <c r="J96" s="45"/>
      <c r="K96" s="45"/>
      <c r="L96" s="45"/>
    </row>
    <row r="97" spans="2:32" ht="10.15" x14ac:dyDescent="0.2">
      <c r="B97" s="73" t="s">
        <v>73</v>
      </c>
      <c r="C97" s="40"/>
      <c r="D97" s="40"/>
      <c r="E97" s="74"/>
      <c r="F97" s="45"/>
      <c r="G97" s="45"/>
      <c r="H97" s="45"/>
      <c r="I97" s="45"/>
      <c r="J97" s="45"/>
      <c r="K97" s="45"/>
      <c r="L97" s="45"/>
    </row>
    <row r="98" spans="2:32" ht="12" x14ac:dyDescent="0.35">
      <c r="C98" s="45"/>
      <c r="D98" s="68" t="s">
        <v>74</v>
      </c>
      <c r="E98" s="68" t="s">
        <v>318</v>
      </c>
      <c r="F98" s="45"/>
      <c r="G98" s="45"/>
      <c r="H98" s="45"/>
      <c r="I98" s="45"/>
      <c r="J98" s="45"/>
      <c r="K98" s="45"/>
      <c r="L98" s="45"/>
      <c r="AB98" s="34">
        <f>+$E$99/H83</f>
        <v>4.5741172518058391E-2</v>
      </c>
      <c r="AC98" s="34">
        <f t="shared" ref="AC98:AD98" si="114">+$E$99/I83</f>
        <v>0.15136433004408334</v>
      </c>
      <c r="AD98" s="34">
        <f t="shared" si="114"/>
        <v>0.25193501420976117</v>
      </c>
    </row>
    <row r="99" spans="2:32" ht="10.15" x14ac:dyDescent="0.2">
      <c r="B99" s="44" t="s">
        <v>86</v>
      </c>
      <c r="C99" s="45"/>
      <c r="D99" s="45">
        <f>E99*E$103</f>
        <v>2338.0407500000001</v>
      </c>
      <c r="E99" s="75">
        <v>15.71</v>
      </c>
      <c r="F99" s="237"/>
      <c r="G99" s="45"/>
      <c r="H99" s="45"/>
      <c r="I99" s="45"/>
      <c r="J99" s="45"/>
      <c r="K99" s="45"/>
      <c r="L99" s="45"/>
      <c r="W99" s="77">
        <f>+'Historical Financials'!AR101/'Simple Model - Case 1'!$E$103</f>
        <v>-6.5177221568956847E-2</v>
      </c>
      <c r="X99" s="34">
        <f t="shared" ref="X99:AF99" ca="1" si="115">+$E$99/D84</f>
        <v>-6.3060641693263864E-2</v>
      </c>
      <c r="Y99" s="34">
        <f t="shared" si="115"/>
        <v>-5.6106164958844261E-2</v>
      </c>
      <c r="Z99" s="34">
        <f t="shared" si="115"/>
        <v>-3.1150680329245572E-2</v>
      </c>
      <c r="AA99" s="34">
        <f t="shared" si="115"/>
        <v>-0.15472534856374925</v>
      </c>
      <c r="AB99" s="34">
        <f t="shared" si="115"/>
        <v>7.5016294305394887E-3</v>
      </c>
      <c r="AC99" s="34">
        <f t="shared" si="115"/>
        <v>0.10742803454210322</v>
      </c>
      <c r="AD99" s="34">
        <f t="shared" si="115"/>
        <v>0.22396858932599092</v>
      </c>
      <c r="AE99" s="34">
        <f t="shared" si="115"/>
        <v>0.4444235833598415</v>
      </c>
      <c r="AF99" s="34">
        <f t="shared" si="115"/>
        <v>0.71182018562334426</v>
      </c>
    </row>
    <row r="100" spans="2:32" ht="12" x14ac:dyDescent="0.35">
      <c r="B100" s="44" t="s">
        <v>60</v>
      </c>
      <c r="C100" s="45"/>
      <c r="D100" s="166">
        <f>+'Historical Financials'!AG113</f>
        <v>-231.53200000000001</v>
      </c>
      <c r="E100" s="46">
        <f>D100/E$103</f>
        <v>-1.555733243742651</v>
      </c>
      <c r="F100" s="45"/>
      <c r="G100" s="45"/>
      <c r="H100" s="45"/>
      <c r="I100" s="45"/>
      <c r="J100" s="45"/>
      <c r="K100" s="45"/>
      <c r="L100" s="45"/>
    </row>
    <row r="101" spans="2:32" ht="10.15" x14ac:dyDescent="0.2">
      <c r="B101" s="57" t="s">
        <v>75</v>
      </c>
      <c r="C101" s="45"/>
      <c r="D101" s="45">
        <f>D99+D100</f>
        <v>2106.50875</v>
      </c>
      <c r="E101" s="77">
        <f>D101/E$103</f>
        <v>14.15426675625735</v>
      </c>
      <c r="F101" s="45"/>
      <c r="G101" s="45"/>
      <c r="H101" s="45"/>
      <c r="I101" s="45"/>
      <c r="J101" s="45"/>
      <c r="K101" s="45"/>
      <c r="L101" s="45"/>
    </row>
    <row r="102" spans="2:32" ht="10.15" x14ac:dyDescent="0.2">
      <c r="C102" s="45"/>
      <c r="D102" s="45"/>
      <c r="E102" s="45"/>
      <c r="F102" s="45"/>
      <c r="G102" s="45"/>
      <c r="H102" s="45"/>
      <c r="I102" s="45"/>
      <c r="J102" s="45"/>
      <c r="K102" s="45"/>
      <c r="L102" s="45"/>
    </row>
    <row r="103" spans="2:32" s="55" customFormat="1" ht="10.15" x14ac:dyDescent="0.2">
      <c r="B103" s="49" t="s">
        <v>87</v>
      </c>
      <c r="C103" s="52"/>
      <c r="D103" s="52"/>
      <c r="E103" s="167">
        <f>+'Historical Financials'!AG88</f>
        <v>148.82499999999999</v>
      </c>
      <c r="F103" s="52"/>
      <c r="G103" s="52"/>
      <c r="H103" s="52"/>
      <c r="I103" s="52"/>
      <c r="J103" s="52"/>
      <c r="K103" s="52"/>
      <c r="L103" s="52"/>
    </row>
    <row r="104" spans="2:32" s="55" customFormat="1" ht="10.15" x14ac:dyDescent="0.2">
      <c r="B104" s="49"/>
      <c r="C104" s="52"/>
      <c r="D104" s="52"/>
      <c r="E104" s="89"/>
      <c r="F104" s="52"/>
      <c r="G104" s="52"/>
      <c r="H104" s="52"/>
      <c r="I104" s="52"/>
      <c r="J104" s="52"/>
      <c r="K104" s="52"/>
      <c r="L104" s="52"/>
    </row>
    <row r="105" spans="2:32" ht="10.15" x14ac:dyDescent="0.2">
      <c r="C105" s="45"/>
      <c r="D105" s="45"/>
      <c r="E105" s="45"/>
      <c r="F105" s="45"/>
      <c r="G105" s="45"/>
      <c r="H105" s="45"/>
      <c r="I105" s="45"/>
      <c r="J105" s="45"/>
      <c r="K105" s="45"/>
      <c r="L105" s="45"/>
    </row>
    <row r="106" spans="2:32" ht="10.15" x14ac:dyDescent="0.2">
      <c r="C106" s="45"/>
      <c r="D106" s="45"/>
      <c r="E106" s="45"/>
      <c r="F106" s="45"/>
      <c r="G106" s="45"/>
      <c r="H106" s="45"/>
      <c r="I106" s="45"/>
      <c r="J106" s="45"/>
      <c r="K106" s="45"/>
      <c r="L106" s="45"/>
    </row>
    <row r="107" spans="2:32" ht="10.15" x14ac:dyDescent="0.2">
      <c r="B107" s="44"/>
      <c r="C107" s="45"/>
      <c r="D107" s="59"/>
      <c r="E107" s="45"/>
      <c r="F107" s="45"/>
      <c r="G107" s="45"/>
      <c r="H107" s="45"/>
      <c r="I107" s="45"/>
      <c r="J107" s="45"/>
      <c r="K107" s="45"/>
      <c r="L107" s="45"/>
    </row>
    <row r="108" spans="2:32" ht="10.15" x14ac:dyDescent="0.2">
      <c r="B108" s="44"/>
      <c r="C108" s="45"/>
      <c r="D108" s="45"/>
      <c r="E108" s="45"/>
      <c r="F108" s="45"/>
      <c r="G108" s="45"/>
      <c r="H108" s="45"/>
      <c r="I108" s="45"/>
      <c r="J108" s="45"/>
      <c r="K108" s="45"/>
      <c r="L108" s="45"/>
    </row>
    <row r="109" spans="2:32" ht="10.15" x14ac:dyDescent="0.2">
      <c r="B109" s="44"/>
      <c r="C109" s="45"/>
      <c r="D109" s="45"/>
      <c r="E109" s="45"/>
      <c r="F109" s="237"/>
      <c r="G109" s="45"/>
      <c r="H109" s="45"/>
      <c r="I109" s="237"/>
      <c r="J109" s="45"/>
      <c r="K109" s="45"/>
      <c r="L109" s="45"/>
    </row>
    <row r="110" spans="2:32" ht="10.15" x14ac:dyDescent="0.2">
      <c r="B110" s="44"/>
      <c r="C110" s="45"/>
      <c r="D110" s="45"/>
      <c r="E110" s="45"/>
      <c r="F110" s="45"/>
      <c r="G110" s="45"/>
      <c r="H110" s="45"/>
      <c r="I110" s="45"/>
      <c r="J110" s="45"/>
      <c r="K110" s="45"/>
      <c r="L110" s="45"/>
    </row>
    <row r="111" spans="2:32" ht="12" x14ac:dyDescent="0.35">
      <c r="B111" s="44"/>
      <c r="C111" s="45"/>
      <c r="D111" s="48"/>
      <c r="E111" s="45"/>
      <c r="F111" s="45"/>
      <c r="G111" s="45"/>
      <c r="H111" s="45"/>
      <c r="I111" s="45"/>
      <c r="J111" s="45"/>
      <c r="K111" s="45"/>
      <c r="L111" s="45"/>
    </row>
    <row r="112" spans="2:32" ht="10.15" x14ac:dyDescent="0.2">
      <c r="B112" s="47"/>
      <c r="C112" s="45"/>
      <c r="D112" s="45"/>
      <c r="E112" s="95"/>
      <c r="F112" s="45"/>
      <c r="G112" s="45"/>
      <c r="H112" s="45"/>
      <c r="I112" s="45"/>
      <c r="J112" s="45"/>
      <c r="K112" s="45"/>
      <c r="L112" s="45"/>
    </row>
    <row r="113" spans="2:12" ht="10.15" x14ac:dyDescent="0.2">
      <c r="B113" s="47"/>
      <c r="C113" s="45"/>
      <c r="D113" s="45"/>
      <c r="E113" s="45"/>
      <c r="F113" s="45"/>
      <c r="G113" s="45"/>
      <c r="H113" s="45"/>
      <c r="I113" s="45"/>
      <c r="J113" s="45"/>
      <c r="K113" s="45"/>
      <c r="L113" s="45"/>
    </row>
    <row r="114" spans="2:12" ht="10.15" x14ac:dyDescent="0.2">
      <c r="B114" s="44"/>
      <c r="D114" s="59"/>
      <c r="E114" s="96"/>
    </row>
    <row r="115" spans="2:12" ht="10.15" x14ac:dyDescent="0.2">
      <c r="B115" s="44"/>
      <c r="D115" s="59"/>
    </row>
    <row r="116" spans="2:12" ht="10.15" x14ac:dyDescent="0.2">
      <c r="B116" s="44"/>
      <c r="D116" s="59"/>
    </row>
    <row r="117" spans="2:12" ht="10.15" x14ac:dyDescent="0.2">
      <c r="B117" s="44"/>
      <c r="D117" s="59"/>
    </row>
  </sheetData>
  <pageMargins left="0.3" right="0.3" top="0.3" bottom="0.4" header="0.3" footer="0.3"/>
  <pageSetup scale="67" orientation="portrait" r:id="rId1"/>
  <headerFooter>
    <oddFooter>&amp;C&amp;10Page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4D6A5-D090-4F2D-B78C-9018AD6CF94A}">
  <dimension ref="A2:BD444"/>
  <sheetViews>
    <sheetView view="pageBreakPreview" zoomScale="115" zoomScaleNormal="85" zoomScaleSheetLayoutView="115" workbookViewId="0">
      <pane xSplit="3" ySplit="6" topLeftCell="AB82" activePane="bottomRight" state="frozen"/>
      <selection activeCell="K9" sqref="K9"/>
      <selection pane="topRight" activeCell="K9" sqref="K9"/>
      <selection pane="bottomLeft" activeCell="K9" sqref="K9"/>
      <selection pane="bottomRight" activeCell="BB105" sqref="BB105"/>
    </sheetView>
  </sheetViews>
  <sheetFormatPr defaultRowHeight="11.25" outlineLevelRow="1" outlineLevelCol="1" x14ac:dyDescent="0.2"/>
  <cols>
    <col min="1" max="1" width="2.83203125" style="1" customWidth="1"/>
    <col min="2" max="2" width="25.83203125" customWidth="1"/>
    <col min="3" max="3" width="2.83203125" customWidth="1"/>
    <col min="4" max="15" width="9.1640625" hidden="1" customWidth="1" outlineLevel="1"/>
    <col min="16" max="16" width="9.1640625" customWidth="1" collapsed="1"/>
    <col min="17" max="21" width="9.1640625" customWidth="1"/>
    <col min="26" max="27" width="9.1640625" customWidth="1"/>
    <col min="40" max="40" width="2.83203125" customWidth="1"/>
    <col min="41" max="41" width="9.1640625" customWidth="1"/>
    <col min="47" max="49" width="9.1640625" customWidth="1"/>
  </cols>
  <sheetData>
    <row r="2" spans="1:52" s="3" customFormat="1" ht="10.15" x14ac:dyDescent="0.2">
      <c r="A2" s="2"/>
      <c r="B2" s="3" t="s">
        <v>0</v>
      </c>
      <c r="AY2" s="30">
        <f ca="1">+TODAY()</f>
        <v>45796</v>
      </c>
      <c r="AZ2" s="30"/>
    </row>
    <row r="3" spans="1:52" s="5" customFormat="1" ht="10.15" x14ac:dyDescent="0.2">
      <c r="A3" s="4"/>
      <c r="B3" s="5" t="s">
        <v>180</v>
      </c>
    </row>
    <row r="4" spans="1:52" ht="10.15" x14ac:dyDescent="0.2">
      <c r="B4" s="6" t="s">
        <v>2</v>
      </c>
    </row>
    <row r="5" spans="1:52" ht="10.15" x14ac:dyDescent="0.2">
      <c r="B5" s="6"/>
      <c r="D5" s="31" t="s">
        <v>44</v>
      </c>
      <c r="E5" s="31"/>
      <c r="F5" s="31"/>
      <c r="G5" s="31"/>
      <c r="H5" s="31" t="s">
        <v>44</v>
      </c>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O5" s="31" t="s">
        <v>45</v>
      </c>
      <c r="AP5" s="31"/>
      <c r="AQ5" s="32"/>
      <c r="AR5" s="32"/>
      <c r="AS5" s="32"/>
      <c r="AT5" s="32"/>
      <c r="AU5" s="32"/>
      <c r="AV5" s="32"/>
      <c r="AW5" s="32"/>
      <c r="AX5" s="32"/>
      <c r="AY5" s="32"/>
      <c r="AZ5" s="274"/>
    </row>
    <row r="6" spans="1:52" s="108" customFormat="1" ht="12" x14ac:dyDescent="0.35">
      <c r="A6" s="214"/>
      <c r="D6" s="7" t="s">
        <v>92</v>
      </c>
      <c r="E6" s="7" t="s">
        <v>93</v>
      </c>
      <c r="F6" s="7" t="s">
        <v>94</v>
      </c>
      <c r="G6" s="7" t="s">
        <v>95</v>
      </c>
      <c r="H6" s="7" t="s">
        <v>96</v>
      </c>
      <c r="I6" s="7" t="s">
        <v>97</v>
      </c>
      <c r="J6" s="7" t="s">
        <v>98</v>
      </c>
      <c r="K6" s="7" t="s">
        <v>99</v>
      </c>
      <c r="L6" s="7" t="s">
        <v>3</v>
      </c>
      <c r="M6" s="7" t="s">
        <v>4</v>
      </c>
      <c r="N6" s="7" t="s">
        <v>5</v>
      </c>
      <c r="O6" s="7" t="s">
        <v>6</v>
      </c>
      <c r="P6" s="7" t="s">
        <v>7</v>
      </c>
      <c r="Q6" s="7" t="s">
        <v>8</v>
      </c>
      <c r="R6" s="7" t="s">
        <v>9</v>
      </c>
      <c r="S6" s="7" t="s">
        <v>10</v>
      </c>
      <c r="T6" s="7" t="s">
        <v>187</v>
      </c>
      <c r="U6" s="7" t="s">
        <v>191</v>
      </c>
      <c r="V6" s="7" t="s">
        <v>193</v>
      </c>
      <c r="W6" s="7" t="s">
        <v>201</v>
      </c>
      <c r="X6" s="7" t="s">
        <v>245</v>
      </c>
      <c r="Y6" s="7" t="s">
        <v>251</v>
      </c>
      <c r="Z6" s="7" t="s">
        <v>269</v>
      </c>
      <c r="AA6" s="7" t="s">
        <v>297</v>
      </c>
      <c r="AB6" s="7" t="s">
        <v>311</v>
      </c>
      <c r="AC6" s="7" t="s">
        <v>325</v>
      </c>
      <c r="AD6" s="7" t="s">
        <v>326</v>
      </c>
      <c r="AE6" s="7" t="s">
        <v>332</v>
      </c>
      <c r="AF6" s="7" t="s">
        <v>355</v>
      </c>
      <c r="AG6" s="7" t="s">
        <v>356</v>
      </c>
      <c r="AH6" s="7" t="s">
        <v>328</v>
      </c>
      <c r="AI6" s="7" t="s">
        <v>329</v>
      </c>
      <c r="AJ6" s="7" t="s">
        <v>398</v>
      </c>
      <c r="AK6" s="7" t="s">
        <v>399</v>
      </c>
      <c r="AL6" s="7" t="s">
        <v>396</v>
      </c>
      <c r="AM6" s="7" t="s">
        <v>397</v>
      </c>
      <c r="AO6" s="7" t="s">
        <v>11</v>
      </c>
      <c r="AP6" s="7" t="s">
        <v>12</v>
      </c>
      <c r="AQ6" s="7" t="s">
        <v>13</v>
      </c>
      <c r="AR6" s="7" t="s">
        <v>14</v>
      </c>
      <c r="AS6" s="7" t="s">
        <v>15</v>
      </c>
      <c r="AT6" s="7" t="s">
        <v>16</v>
      </c>
      <c r="AU6" s="7" t="s">
        <v>218</v>
      </c>
      <c r="AV6" s="7" t="s">
        <v>305</v>
      </c>
      <c r="AW6" s="7" t="s">
        <v>327</v>
      </c>
      <c r="AX6" s="7" t="s">
        <v>48</v>
      </c>
      <c r="AY6" s="7" t="s">
        <v>49</v>
      </c>
      <c r="AZ6" s="7"/>
    </row>
    <row r="7" spans="1:52" ht="10.15" hidden="1" outlineLevel="1" x14ac:dyDescent="0.2">
      <c r="B7" t="s">
        <v>264</v>
      </c>
      <c r="D7" s="218">
        <v>42736</v>
      </c>
      <c r="E7" s="219">
        <f>+D8+1</f>
        <v>42826</v>
      </c>
      <c r="F7" s="219">
        <f t="shared" ref="F7:AA7" si="0">+E8+1</f>
        <v>42917</v>
      </c>
      <c r="G7" s="219">
        <f t="shared" si="0"/>
        <v>43009</v>
      </c>
      <c r="H7" s="219">
        <f t="shared" si="0"/>
        <v>43101</v>
      </c>
      <c r="I7" s="219">
        <f t="shared" si="0"/>
        <v>43191</v>
      </c>
      <c r="J7" s="219">
        <f t="shared" si="0"/>
        <v>43282</v>
      </c>
      <c r="K7" s="219">
        <f t="shared" si="0"/>
        <v>43374</v>
      </c>
      <c r="L7" s="219">
        <f t="shared" si="0"/>
        <v>43466</v>
      </c>
      <c r="M7" s="219">
        <f t="shared" si="0"/>
        <v>43556</v>
      </c>
      <c r="N7" s="219">
        <f t="shared" si="0"/>
        <v>43647</v>
      </c>
      <c r="O7" s="219">
        <f t="shared" si="0"/>
        <v>43739</v>
      </c>
      <c r="P7" s="219">
        <f t="shared" si="0"/>
        <v>43831</v>
      </c>
      <c r="Q7" s="219">
        <f t="shared" si="0"/>
        <v>43922</v>
      </c>
      <c r="R7" s="219">
        <f t="shared" si="0"/>
        <v>44013</v>
      </c>
      <c r="S7" s="219">
        <f t="shared" si="0"/>
        <v>44105</v>
      </c>
      <c r="T7" s="219">
        <f t="shared" si="0"/>
        <v>44197</v>
      </c>
      <c r="U7" s="219">
        <f t="shared" si="0"/>
        <v>44287</v>
      </c>
      <c r="V7" s="219">
        <f t="shared" si="0"/>
        <v>44378</v>
      </c>
      <c r="W7" s="219">
        <f t="shared" si="0"/>
        <v>44470</v>
      </c>
      <c r="X7" s="219">
        <f t="shared" si="0"/>
        <v>44562</v>
      </c>
      <c r="Y7" s="219">
        <f t="shared" si="0"/>
        <v>44652</v>
      </c>
      <c r="Z7" s="219">
        <f t="shared" si="0"/>
        <v>44743</v>
      </c>
      <c r="AA7" s="219">
        <f t="shared" si="0"/>
        <v>44835</v>
      </c>
      <c r="AB7" s="219">
        <f t="shared" ref="AB7" si="1">+AA8+1</f>
        <v>44927</v>
      </c>
      <c r="AC7" s="219">
        <f t="shared" ref="AC7" si="2">+AB8+1</f>
        <v>45017</v>
      </c>
      <c r="AD7" s="219">
        <f t="shared" ref="AD7" si="3">+AC8+1</f>
        <v>45108</v>
      </c>
      <c r="AE7" s="219">
        <f t="shared" ref="AE7" si="4">+AD8+1</f>
        <v>45200</v>
      </c>
      <c r="AF7" s="219">
        <f t="shared" ref="AF7" si="5">+AE8+1</f>
        <v>45292</v>
      </c>
      <c r="AG7" s="219">
        <f t="shared" ref="AG7" si="6">+AF8+1</f>
        <v>45383</v>
      </c>
      <c r="AH7" s="219">
        <f t="shared" ref="AH7" si="7">+AG8+1</f>
        <v>45474</v>
      </c>
      <c r="AI7" s="219">
        <f t="shared" ref="AI7" si="8">+AH8+1</f>
        <v>45566</v>
      </c>
      <c r="AJ7" s="219">
        <f t="shared" ref="AJ7" si="9">+AI8+1</f>
        <v>45658</v>
      </c>
      <c r="AK7" s="219">
        <f t="shared" ref="AK7" si="10">+AJ8+1</f>
        <v>45748</v>
      </c>
      <c r="AL7" s="219">
        <f t="shared" ref="AL7" si="11">+AK8+1</f>
        <v>45839</v>
      </c>
      <c r="AM7" s="219">
        <f t="shared" ref="AM7" si="12">+AL8+1</f>
        <v>45931</v>
      </c>
      <c r="AO7" s="218">
        <v>42005</v>
      </c>
      <c r="AP7" s="219">
        <f t="shared" ref="AP7:AY7" si="13">+AO8+1</f>
        <v>42370</v>
      </c>
      <c r="AQ7" s="219">
        <f t="shared" si="13"/>
        <v>42736</v>
      </c>
      <c r="AR7" s="219">
        <f t="shared" si="13"/>
        <v>43101</v>
      </c>
      <c r="AS7" s="219">
        <f t="shared" si="13"/>
        <v>43466</v>
      </c>
      <c r="AT7" s="219">
        <f t="shared" si="13"/>
        <v>43831</v>
      </c>
      <c r="AU7" s="219">
        <f t="shared" si="13"/>
        <v>44197</v>
      </c>
      <c r="AV7" s="219">
        <f t="shared" si="13"/>
        <v>44562</v>
      </c>
      <c r="AW7" s="219">
        <f t="shared" si="13"/>
        <v>44927</v>
      </c>
      <c r="AX7" s="219">
        <f t="shared" si="13"/>
        <v>45292</v>
      </c>
      <c r="AY7" s="219">
        <f t="shared" si="13"/>
        <v>45658</v>
      </c>
      <c r="AZ7" s="219"/>
    </row>
    <row r="8" spans="1:52" ht="10.15" hidden="1" outlineLevel="1" x14ac:dyDescent="0.2">
      <c r="B8" t="s">
        <v>223</v>
      </c>
      <c r="D8" s="218">
        <v>42825</v>
      </c>
      <c r="E8" s="218">
        <v>42916</v>
      </c>
      <c r="F8" s="218">
        <v>43008</v>
      </c>
      <c r="G8" s="218">
        <v>43100</v>
      </c>
      <c r="H8" s="218">
        <v>43190</v>
      </c>
      <c r="I8" s="218">
        <v>43281</v>
      </c>
      <c r="J8" s="218">
        <v>43373</v>
      </c>
      <c r="K8" s="218">
        <v>43465</v>
      </c>
      <c r="L8" s="218">
        <v>43555</v>
      </c>
      <c r="M8" s="218">
        <v>43646</v>
      </c>
      <c r="N8" s="218">
        <v>43738</v>
      </c>
      <c r="O8" s="218">
        <v>43830</v>
      </c>
      <c r="P8" s="218">
        <v>43921</v>
      </c>
      <c r="Q8" s="218">
        <v>44012</v>
      </c>
      <c r="R8" s="218">
        <v>44104</v>
      </c>
      <c r="S8" s="218">
        <v>44196</v>
      </c>
      <c r="T8" s="218">
        <v>44286</v>
      </c>
      <c r="U8" s="218">
        <v>44377</v>
      </c>
      <c r="V8" s="218">
        <v>44469</v>
      </c>
      <c r="W8" s="218">
        <v>44561</v>
      </c>
      <c r="X8" s="218">
        <v>44651</v>
      </c>
      <c r="Y8" s="218">
        <v>44742</v>
      </c>
      <c r="Z8" s="218">
        <v>44834</v>
      </c>
      <c r="AA8" s="218">
        <v>44926</v>
      </c>
      <c r="AB8" s="218">
        <v>45016</v>
      </c>
      <c r="AC8" s="218">
        <v>45107</v>
      </c>
      <c r="AD8" s="218">
        <v>45199</v>
      </c>
      <c r="AE8" s="218">
        <v>45291</v>
      </c>
      <c r="AF8" s="218">
        <v>45382</v>
      </c>
      <c r="AG8" s="218">
        <v>45473</v>
      </c>
      <c r="AH8" s="218">
        <v>45565</v>
      </c>
      <c r="AI8" s="218">
        <v>45657</v>
      </c>
      <c r="AJ8" s="218">
        <v>45747</v>
      </c>
      <c r="AK8" s="218">
        <v>45838</v>
      </c>
      <c r="AL8" s="218">
        <v>45930</v>
      </c>
      <c r="AM8" s="218">
        <v>46022</v>
      </c>
      <c r="AO8" s="218">
        <v>42369</v>
      </c>
      <c r="AP8" s="218">
        <v>42735</v>
      </c>
      <c r="AQ8" s="218">
        <v>43100</v>
      </c>
      <c r="AR8" s="218">
        <v>43465</v>
      </c>
      <c r="AS8" s="218">
        <v>43830</v>
      </c>
      <c r="AT8" s="218">
        <v>44196</v>
      </c>
      <c r="AU8" s="218">
        <v>44561</v>
      </c>
      <c r="AV8" s="218">
        <v>44926</v>
      </c>
      <c r="AW8" s="218">
        <v>45291</v>
      </c>
      <c r="AX8" s="218">
        <v>45657</v>
      </c>
      <c r="AY8" s="218">
        <v>46022</v>
      </c>
      <c r="AZ8" s="218"/>
    </row>
    <row r="9" spans="1:52" ht="10.15" collapsed="1" x14ac:dyDescent="0.2">
      <c r="V9" s="221"/>
      <c r="W9" s="221"/>
      <c r="X9" s="221"/>
      <c r="Y9" s="221"/>
      <c r="Z9" s="221"/>
      <c r="AA9" s="221"/>
      <c r="AB9" s="221"/>
      <c r="AC9" s="221"/>
      <c r="AF9" s="221"/>
      <c r="AG9" s="221"/>
    </row>
    <row r="10" spans="1:52" ht="10.15" x14ac:dyDescent="0.2">
      <c r="B10" s="9" t="s">
        <v>1</v>
      </c>
      <c r="C10" s="8"/>
      <c r="AE10" s="16"/>
      <c r="AF10" s="16"/>
      <c r="AG10" s="16"/>
      <c r="AH10" s="16"/>
      <c r="AI10" s="16"/>
      <c r="AJ10" s="16"/>
      <c r="AK10" s="16"/>
      <c r="AL10" s="16"/>
      <c r="AM10" s="16"/>
    </row>
    <row r="11" spans="1:52" ht="10.15" x14ac:dyDescent="0.2">
      <c r="U11" s="16"/>
      <c r="W11" s="16"/>
      <c r="X11" s="145"/>
      <c r="Y11" s="16"/>
      <c r="Z11" s="16"/>
      <c r="AA11" s="16"/>
      <c r="AB11" s="145"/>
      <c r="AE11" s="16"/>
      <c r="AF11" s="145"/>
      <c r="AG11" s="16"/>
      <c r="AH11" s="16"/>
      <c r="AI11" s="16"/>
      <c r="AJ11" s="16"/>
      <c r="AK11" s="16"/>
      <c r="AL11" s="16"/>
      <c r="AM11" s="16"/>
      <c r="AV11" s="16"/>
    </row>
    <row r="12" spans="1:52" s="3" customFormat="1" ht="10.15" x14ac:dyDescent="0.2">
      <c r="A12" s="2"/>
      <c r="B12" s="3" t="s">
        <v>17</v>
      </c>
      <c r="D12" s="130" t="str">
        <f t="shared" ref="D12:K12" si="14">+D187</f>
        <v>n/a</v>
      </c>
      <c r="E12" s="130" t="str">
        <f t="shared" si="14"/>
        <v>n/a</v>
      </c>
      <c r="F12" s="130" t="str">
        <f t="shared" si="14"/>
        <v>n/a</v>
      </c>
      <c r="G12" s="130" t="str">
        <f t="shared" si="14"/>
        <v>n/a</v>
      </c>
      <c r="H12" s="223">
        <f t="shared" si="14"/>
        <v>13.1</v>
      </c>
      <c r="I12" s="223">
        <f t="shared" si="14"/>
        <v>15.1</v>
      </c>
      <c r="J12" s="223">
        <f t="shared" si="14"/>
        <v>16.8</v>
      </c>
      <c r="K12" s="223">
        <f t="shared" si="14"/>
        <v>18.521000000000001</v>
      </c>
      <c r="L12" s="221">
        <f>+L187</f>
        <v>20.370999999999999</v>
      </c>
      <c r="M12" s="221">
        <f t="shared" ref="M12:S12" si="15">+M187</f>
        <v>22.123999999999999</v>
      </c>
      <c r="N12" s="221">
        <f t="shared" si="15"/>
        <v>23.831</v>
      </c>
      <c r="O12" s="221">
        <f t="shared" si="15"/>
        <v>25.783000000000001</v>
      </c>
      <c r="P12" s="221">
        <f t="shared" si="15"/>
        <v>27.786999999999999</v>
      </c>
      <c r="Q12" s="221">
        <f t="shared" si="15"/>
        <v>28.452000000000002</v>
      </c>
      <c r="R12" s="221">
        <f t="shared" si="15"/>
        <v>32.195999999999998</v>
      </c>
      <c r="S12" s="221">
        <f t="shared" si="15"/>
        <v>36.44</v>
      </c>
      <c r="T12" s="221">
        <f t="shared" ref="T12:U12" si="16">+T187</f>
        <v>39.997999999999998</v>
      </c>
      <c r="U12" s="221">
        <f t="shared" si="16"/>
        <v>45.005000000000003</v>
      </c>
      <c r="V12" s="221">
        <f t="shared" ref="V12" si="17">+V187</f>
        <v>49.252000000000002</v>
      </c>
      <c r="W12" s="221">
        <f t="shared" ref="W12:X12" si="18">+W187</f>
        <v>53.746000000000002</v>
      </c>
      <c r="X12" s="221">
        <f t="shared" si="18"/>
        <v>57.128</v>
      </c>
      <c r="Y12" s="221">
        <f t="shared" ref="Y12:Z12" si="19">+Y187</f>
        <v>62.61</v>
      </c>
      <c r="Z12" s="221">
        <f t="shared" si="19"/>
        <v>65.793000000000006</v>
      </c>
      <c r="AA12" s="221">
        <f t="shared" ref="AA12:AB12" si="20">+AA187</f>
        <v>68.784999999999997</v>
      </c>
      <c r="AB12" s="221">
        <f t="shared" si="20"/>
        <v>70.87</v>
      </c>
      <c r="AC12" s="221">
        <f t="shared" ref="AC12:AD12" si="21">+AC187</f>
        <v>74.692999999999998</v>
      </c>
      <c r="AD12" s="221">
        <f t="shared" si="21"/>
        <v>78.718000000000004</v>
      </c>
      <c r="AE12" s="221">
        <f t="shared" ref="AE12:AF12" si="22">+AE187</f>
        <v>83.394000000000005</v>
      </c>
      <c r="AF12" s="221">
        <f t="shared" si="22"/>
        <v>85.811999999999998</v>
      </c>
      <c r="AG12" s="221">
        <f t="shared" ref="AG12" si="23">+AG187</f>
        <v>90.950999999999993</v>
      </c>
      <c r="AH12" s="221">
        <f t="shared" ref="AH12:AI12" si="24">+AH187</f>
        <v>97.343561643835628</v>
      </c>
      <c r="AI12" s="221">
        <f t="shared" si="24"/>
        <v>101.25041095890411</v>
      </c>
      <c r="AJ12" s="221">
        <f t="shared" ref="AJ12:AM12" si="25">+AJ187</f>
        <v>102.9945205479452</v>
      </c>
      <c r="AK12" s="221">
        <f t="shared" si="25"/>
        <v>108.50191780821918</v>
      </c>
      <c r="AL12" s="221">
        <f t="shared" si="25"/>
        <v>113.72712328767123</v>
      </c>
      <c r="AM12" s="221">
        <f t="shared" si="25"/>
        <v>117.50794520547946</v>
      </c>
      <c r="AN12" s="222"/>
      <c r="AO12" s="234">
        <v>13</v>
      </c>
      <c r="AP12" s="234">
        <v>21</v>
      </c>
      <c r="AQ12" s="221">
        <f t="shared" ref="AQ12:AW12" si="26">+AQ187</f>
        <v>38.406999999999996</v>
      </c>
      <c r="AR12" s="221">
        <f t="shared" si="26"/>
        <v>63.521000000000001</v>
      </c>
      <c r="AS12" s="221">
        <f t="shared" si="26"/>
        <v>92.108999999999995</v>
      </c>
      <c r="AT12" s="221">
        <f t="shared" si="26"/>
        <v>124.875</v>
      </c>
      <c r="AU12" s="221">
        <f t="shared" si="26"/>
        <v>188.001</v>
      </c>
      <c r="AV12" s="221">
        <f t="shared" si="26"/>
        <v>254.316</v>
      </c>
      <c r="AW12" s="221">
        <f t="shared" si="26"/>
        <v>307.67500000000001</v>
      </c>
      <c r="AX12" s="222">
        <f>+SUM(AF12:AI12)</f>
        <v>375.35697260273975</v>
      </c>
      <c r="AY12" s="222">
        <f>+SUM(AJ12:AM12)</f>
        <v>442.73150684931511</v>
      </c>
      <c r="AZ12" s="222"/>
    </row>
    <row r="13" spans="1:52" ht="10.15" x14ac:dyDescent="0.2">
      <c r="B13" s="13" t="s">
        <v>18</v>
      </c>
      <c r="H13" s="120" t="str">
        <f t="shared" ref="H13:O13" si="27">IFERROR(H12/D12-1,"n/a")</f>
        <v>n/a</v>
      </c>
      <c r="I13" s="120" t="str">
        <f t="shared" si="27"/>
        <v>n/a</v>
      </c>
      <c r="J13" s="120" t="str">
        <f t="shared" si="27"/>
        <v>n/a</v>
      </c>
      <c r="K13" s="120" t="str">
        <f t="shared" si="27"/>
        <v>n/a</v>
      </c>
      <c r="L13" s="15">
        <f t="shared" si="27"/>
        <v>0.55503816793893135</v>
      </c>
      <c r="M13" s="15">
        <f t="shared" si="27"/>
        <v>0.46516556291390732</v>
      </c>
      <c r="N13" s="15">
        <f t="shared" si="27"/>
        <v>0.41851190476190459</v>
      </c>
      <c r="O13" s="15">
        <f t="shared" si="27"/>
        <v>0.392095459208466</v>
      </c>
      <c r="P13" s="15">
        <f>IFERROR(P12/L12-1,"n/a")</f>
        <v>0.364046929458544</v>
      </c>
      <c r="Q13" s="15">
        <f t="shared" ref="Q13:U13" si="28">IFERROR(Q12/M12-1,"n/a")</f>
        <v>0.28602422708371011</v>
      </c>
      <c r="R13" s="15">
        <f t="shared" si="28"/>
        <v>0.35101338592589482</v>
      </c>
      <c r="S13" s="15">
        <f t="shared" si="28"/>
        <v>0.41333436760656239</v>
      </c>
      <c r="T13" s="15">
        <f t="shared" si="28"/>
        <v>0.43945010256594808</v>
      </c>
      <c r="U13" s="15">
        <f t="shared" si="28"/>
        <v>0.58178686911289179</v>
      </c>
      <c r="V13" s="15">
        <f t="shared" ref="V13:AG13" si="29">IFERROR(V12/R12-1,"n/a")</f>
        <v>0.52975524909926719</v>
      </c>
      <c r="W13" s="15">
        <f t="shared" si="29"/>
        <v>0.47491767288693754</v>
      </c>
      <c r="X13" s="15">
        <f t="shared" si="29"/>
        <v>0.42827141357067866</v>
      </c>
      <c r="Y13" s="15">
        <f t="shared" si="29"/>
        <v>0.39117875791578705</v>
      </c>
      <c r="Z13" s="15">
        <f t="shared" si="29"/>
        <v>0.33584422967595229</v>
      </c>
      <c r="AA13" s="15">
        <f t="shared" si="29"/>
        <v>0.27981617236631551</v>
      </c>
      <c r="AB13" s="15">
        <f t="shared" si="29"/>
        <v>0.24054754236101394</v>
      </c>
      <c r="AC13" s="15">
        <f t="shared" si="29"/>
        <v>0.19298834052068359</v>
      </c>
      <c r="AD13" s="15">
        <f t="shared" si="29"/>
        <v>0.19644947030839144</v>
      </c>
      <c r="AE13" s="15">
        <f t="shared" si="29"/>
        <v>0.212386421458167</v>
      </c>
      <c r="AF13" s="15">
        <f t="shared" si="29"/>
        <v>0.21083674333286284</v>
      </c>
      <c r="AG13" s="15">
        <f t="shared" si="29"/>
        <v>0.21766430589211838</v>
      </c>
      <c r="AH13" s="15">
        <f t="shared" ref="AH13" si="30">IFERROR(AH12/AD12-1,"n/a")</f>
        <v>0.23661121527269025</v>
      </c>
      <c r="AI13" s="15">
        <f t="shared" ref="AI13" si="31">IFERROR(AI12/AE12-1,"n/a")</f>
        <v>0.21412105138144355</v>
      </c>
      <c r="AJ13" s="15">
        <f t="shared" ref="AJ13" si="32">IFERROR(AJ12/AF12-1,"n/a")</f>
        <v>0.20023447242746006</v>
      </c>
      <c r="AK13" s="15">
        <f t="shared" ref="AK13" si="33">IFERROR(AK12/AG12-1,"n/a")</f>
        <v>0.19297113619662443</v>
      </c>
      <c r="AL13" s="15">
        <f t="shared" ref="AL13" si="34">IFERROR(AL12/AH12-1,"n/a")</f>
        <v>0.16830657690315887</v>
      </c>
      <c r="AM13" s="15">
        <f t="shared" ref="AM13" si="35">IFERROR(AM12/AI12-1,"n/a")</f>
        <v>0.16056758775205382</v>
      </c>
      <c r="AP13" s="15">
        <f t="shared" ref="AP13:AY13" si="36">IFERROR(AP12/AO12-1,"n/a")</f>
        <v>0.61538461538461542</v>
      </c>
      <c r="AQ13" s="15">
        <f t="shared" si="36"/>
        <v>0.82890476190476181</v>
      </c>
      <c r="AR13" s="15">
        <f t="shared" si="36"/>
        <v>0.65389121774676506</v>
      </c>
      <c r="AS13" s="15">
        <f t="shared" si="36"/>
        <v>0.45005588702948618</v>
      </c>
      <c r="AT13" s="15">
        <f t="shared" si="36"/>
        <v>0.35573071035403725</v>
      </c>
      <c r="AU13" s="15">
        <f t="shared" si="36"/>
        <v>0.50551351351351359</v>
      </c>
      <c r="AV13" s="15">
        <f t="shared" si="36"/>
        <v>0.35273748543890715</v>
      </c>
      <c r="AW13" s="15">
        <f t="shared" si="36"/>
        <v>0.20981377498859688</v>
      </c>
      <c r="AX13" s="15">
        <f t="shared" si="36"/>
        <v>0.21997878476554722</v>
      </c>
      <c r="AY13" s="15">
        <f t="shared" si="36"/>
        <v>0.1794945589511705</v>
      </c>
      <c r="AZ13" s="15"/>
    </row>
    <row r="14" spans="1:52" ht="10.15" x14ac:dyDescent="0.2">
      <c r="B14" s="13" t="s">
        <v>383</v>
      </c>
      <c r="H14" s="120"/>
      <c r="I14" s="120"/>
      <c r="J14" s="120"/>
      <c r="K14" s="120"/>
      <c r="L14" s="15">
        <f>+L189</f>
        <v>0.55503816793893135</v>
      </c>
      <c r="M14" s="15">
        <f t="shared" ref="M14:AI14" si="37">+M189</f>
        <v>0.46516556291390732</v>
      </c>
      <c r="N14" s="15">
        <f t="shared" si="37"/>
        <v>0.41851190476190459</v>
      </c>
      <c r="O14" s="15">
        <f t="shared" si="37"/>
        <v>0.392095459208466</v>
      </c>
      <c r="P14" s="15">
        <f t="shared" si="37"/>
        <v>0.364046929458544</v>
      </c>
      <c r="Q14" s="15">
        <f t="shared" si="37"/>
        <v>0.28602422708371011</v>
      </c>
      <c r="R14" s="15">
        <f t="shared" si="37"/>
        <v>0.35101338592589482</v>
      </c>
      <c r="S14" s="15">
        <f t="shared" si="37"/>
        <v>0.41333436760656239</v>
      </c>
      <c r="T14" s="15">
        <f t="shared" si="37"/>
        <v>0.43945010256594808</v>
      </c>
      <c r="U14" s="15">
        <f t="shared" si="37"/>
        <v>0.58178686911289179</v>
      </c>
      <c r="V14" s="15">
        <f t="shared" si="37"/>
        <v>0.52975524909926719</v>
      </c>
      <c r="W14" s="15">
        <f t="shared" si="37"/>
        <v>0.47491767288693754</v>
      </c>
      <c r="X14" s="15">
        <f t="shared" si="37"/>
        <v>0.42827141357067866</v>
      </c>
      <c r="Y14" s="15">
        <f t="shared" si="37"/>
        <v>0.39117875791578705</v>
      </c>
      <c r="Z14" s="15">
        <f t="shared" si="37"/>
        <v>0.33584422967595229</v>
      </c>
      <c r="AA14" s="15">
        <f t="shared" si="37"/>
        <v>0.27981617236631551</v>
      </c>
      <c r="AB14" s="15">
        <f t="shared" si="37"/>
        <v>0.24054754236101394</v>
      </c>
      <c r="AC14" s="15">
        <f t="shared" si="37"/>
        <v>0.19298834052068359</v>
      </c>
      <c r="AD14" s="15">
        <f t="shared" si="37"/>
        <v>0.19644947030839144</v>
      </c>
      <c r="AE14" s="15">
        <f t="shared" si="37"/>
        <v>0.212386421458167</v>
      </c>
      <c r="AF14" s="15">
        <f t="shared" si="37"/>
        <v>0.21083674333286284</v>
      </c>
      <c r="AG14" s="15">
        <f t="shared" si="37"/>
        <v>0.20080864338023641</v>
      </c>
      <c r="AH14" s="15">
        <f t="shared" si="37"/>
        <v>0.20616767573339118</v>
      </c>
      <c r="AI14" s="15">
        <f t="shared" si="37"/>
        <v>0.18416631297645694</v>
      </c>
      <c r="AJ14" s="15">
        <f t="shared" ref="AJ14:AM14" si="38">+AJ189</f>
        <v>0.17112379496340546</v>
      </c>
      <c r="AK14" s="15">
        <f t="shared" si="38"/>
        <v>0.17934791650090418</v>
      </c>
      <c r="AL14" s="15">
        <f t="shared" si="38"/>
        <v>0.16830657690315887</v>
      </c>
      <c r="AM14" s="15">
        <f t="shared" si="38"/>
        <v>0.16056758775205382</v>
      </c>
      <c r="AP14" s="120">
        <f>+AP13</f>
        <v>0.61538461538461542</v>
      </c>
      <c r="AQ14" s="120">
        <f>+AQ13</f>
        <v>0.82890476190476181</v>
      </c>
      <c r="AR14" s="15">
        <f t="shared" ref="AR14:AX14" si="39">+AR189</f>
        <v>0.65389121774676506</v>
      </c>
      <c r="AS14" s="15">
        <f t="shared" si="39"/>
        <v>0.45005588702948618</v>
      </c>
      <c r="AT14" s="15">
        <f t="shared" si="39"/>
        <v>0.35573071035403725</v>
      </c>
      <c r="AU14" s="15">
        <f t="shared" si="39"/>
        <v>0.50551351351351359</v>
      </c>
      <c r="AV14" s="15">
        <f t="shared" si="39"/>
        <v>0.35273748543890715</v>
      </c>
      <c r="AW14" s="15">
        <f t="shared" si="39"/>
        <v>0.20981377498859688</v>
      </c>
      <c r="AX14" s="15">
        <f t="shared" si="39"/>
        <v>0.19997878476554723</v>
      </c>
      <c r="AY14" s="15">
        <f t="shared" ref="AY14" si="40">+AY189</f>
        <v>0.16953846067177056</v>
      </c>
      <c r="AZ14" s="15"/>
    </row>
    <row r="15" spans="1:52" ht="10.15" x14ac:dyDescent="0.2">
      <c r="B15" s="13" t="s">
        <v>214</v>
      </c>
      <c r="H15" s="120" t="str">
        <f>+IFERROR(H12/G12-1,"n/a")</f>
        <v>n/a</v>
      </c>
      <c r="I15" s="120">
        <f t="shared" ref="I15:AI15" si="41">+IFERROR(I12/H12-1,"n/a")</f>
        <v>0.15267175572519087</v>
      </c>
      <c r="J15" s="120">
        <f t="shared" si="41"/>
        <v>0.11258278145695377</v>
      </c>
      <c r="K15" s="120">
        <f t="shared" si="41"/>
        <v>0.10244047619047625</v>
      </c>
      <c r="L15" s="120">
        <f t="shared" si="41"/>
        <v>9.988661519356401E-2</v>
      </c>
      <c r="M15" s="120">
        <f t="shared" si="41"/>
        <v>8.6053703794610081E-2</v>
      </c>
      <c r="N15" s="120">
        <f t="shared" si="41"/>
        <v>7.7156029651057612E-2</v>
      </c>
      <c r="O15" s="120">
        <f t="shared" si="41"/>
        <v>8.1910117074398991E-2</v>
      </c>
      <c r="P15" s="120">
        <f t="shared" si="41"/>
        <v>7.7725633169142272E-2</v>
      </c>
      <c r="Q15" s="120">
        <f t="shared" si="41"/>
        <v>2.3932054557886939E-2</v>
      </c>
      <c r="R15" s="120">
        <f t="shared" si="41"/>
        <v>0.13159004639392657</v>
      </c>
      <c r="S15" s="120">
        <f t="shared" si="41"/>
        <v>0.13181761709529138</v>
      </c>
      <c r="T15" s="120">
        <f t="shared" si="41"/>
        <v>9.7639956092206326E-2</v>
      </c>
      <c r="U15" s="120">
        <f t="shared" si="41"/>
        <v>0.1251812590629533</v>
      </c>
      <c r="V15" s="120">
        <f t="shared" si="41"/>
        <v>9.4367292523052981E-2</v>
      </c>
      <c r="W15" s="120">
        <f t="shared" si="41"/>
        <v>9.1245025582717521E-2</v>
      </c>
      <c r="X15" s="120">
        <f t="shared" si="41"/>
        <v>6.292561306887956E-2</v>
      </c>
      <c r="Y15" s="120">
        <f t="shared" si="41"/>
        <v>9.5959949586892579E-2</v>
      </c>
      <c r="Z15" s="120">
        <f t="shared" si="41"/>
        <v>5.0838524197412749E-2</v>
      </c>
      <c r="AA15" s="120">
        <f t="shared" si="41"/>
        <v>4.547596248841046E-2</v>
      </c>
      <c r="AB15" s="120">
        <f t="shared" si="41"/>
        <v>3.0311841244457405E-2</v>
      </c>
      <c r="AC15" s="120">
        <f t="shared" si="41"/>
        <v>5.3943840835332102E-2</v>
      </c>
      <c r="AD15" s="120">
        <f t="shared" si="41"/>
        <v>5.3887245123371841E-2</v>
      </c>
      <c r="AE15" s="120">
        <f t="shared" si="41"/>
        <v>5.9401915699077712E-2</v>
      </c>
      <c r="AF15" s="120">
        <f t="shared" si="41"/>
        <v>2.8994891718828519E-2</v>
      </c>
      <c r="AG15" s="120">
        <f t="shared" si="41"/>
        <v>5.9886729128793226E-2</v>
      </c>
      <c r="AH15" s="120">
        <f t="shared" si="41"/>
        <v>7.0285776339299666E-2</v>
      </c>
      <c r="AI15" s="120">
        <f t="shared" si="41"/>
        <v>4.0134645261522328E-2</v>
      </c>
      <c r="AJ15" s="120">
        <f t="shared" ref="AJ15" si="42">+IFERROR(AJ12/AI12-1,"n/a")</f>
        <v>1.7225703802318248E-2</v>
      </c>
      <c r="AK15" s="120">
        <f t="shared" ref="AK15" si="43">+IFERROR(AK12/AJ12-1,"n/a")</f>
        <v>5.3472720985289879E-2</v>
      </c>
      <c r="AL15" s="120">
        <f t="shared" ref="AL15" si="44">+IFERROR(AL12/AK12-1,"n/a")</f>
        <v>4.8157724628312915E-2</v>
      </c>
      <c r="AM15" s="120">
        <f t="shared" ref="AM15" si="45">+IFERROR(AM12/AL12-1,"n/a")</f>
        <v>3.3244680851063801E-2</v>
      </c>
      <c r="AP15" s="120">
        <f t="shared" ref="AP15:AY15" si="46">+IFERROR(AP12/AO12-1,"n/a")</f>
        <v>0.61538461538461542</v>
      </c>
      <c r="AQ15" s="120">
        <f t="shared" si="46"/>
        <v>0.82890476190476181</v>
      </c>
      <c r="AR15" s="120">
        <f t="shared" si="46"/>
        <v>0.65389121774676506</v>
      </c>
      <c r="AS15" s="120">
        <f t="shared" si="46"/>
        <v>0.45005588702948618</v>
      </c>
      <c r="AT15" s="120">
        <f t="shared" si="46"/>
        <v>0.35573071035403725</v>
      </c>
      <c r="AU15" s="120">
        <f t="shared" si="46"/>
        <v>0.50551351351351359</v>
      </c>
      <c r="AV15" s="120">
        <f t="shared" si="46"/>
        <v>0.35273748543890715</v>
      </c>
      <c r="AW15" s="120">
        <f t="shared" si="46"/>
        <v>0.20981377498859688</v>
      </c>
      <c r="AX15" s="120">
        <f t="shared" si="46"/>
        <v>0.21997878476554722</v>
      </c>
      <c r="AY15" s="120">
        <f t="shared" si="46"/>
        <v>0.1794945589511705</v>
      </c>
      <c r="AZ15" s="120"/>
    </row>
    <row r="16" spans="1:52" ht="10.15" x14ac:dyDescent="0.2">
      <c r="B16" s="13" t="s">
        <v>384</v>
      </c>
      <c r="H16" s="120"/>
      <c r="I16" s="120"/>
      <c r="J16" s="120"/>
      <c r="K16" s="120"/>
      <c r="L16" s="120">
        <f>+L191</f>
        <v>9.988661519356401E-2</v>
      </c>
      <c r="M16" s="120">
        <f t="shared" ref="M16:AI16" si="47">+M191</f>
        <v>8.6053703794610081E-2</v>
      </c>
      <c r="N16" s="120">
        <f t="shared" si="47"/>
        <v>7.7156029651057612E-2</v>
      </c>
      <c r="O16" s="120">
        <f t="shared" si="47"/>
        <v>8.1910117074398991E-2</v>
      </c>
      <c r="P16" s="120">
        <f t="shared" si="47"/>
        <v>7.7725633169142272E-2</v>
      </c>
      <c r="Q16" s="120">
        <f t="shared" si="47"/>
        <v>2.3932054557886939E-2</v>
      </c>
      <c r="R16" s="120">
        <f t="shared" si="47"/>
        <v>0.13159004639392657</v>
      </c>
      <c r="S16" s="120">
        <f t="shared" si="47"/>
        <v>0.13181761709529138</v>
      </c>
      <c r="T16" s="120">
        <f t="shared" si="47"/>
        <v>9.7639956092206326E-2</v>
      </c>
      <c r="U16" s="120">
        <f t="shared" si="47"/>
        <v>0.1251812590629533</v>
      </c>
      <c r="V16" s="120">
        <f t="shared" si="47"/>
        <v>9.4367292523052981E-2</v>
      </c>
      <c r="W16" s="120">
        <f t="shared" si="47"/>
        <v>9.1245025582717521E-2</v>
      </c>
      <c r="X16" s="120">
        <f t="shared" si="47"/>
        <v>6.292561306887956E-2</v>
      </c>
      <c r="Y16" s="120">
        <f t="shared" si="47"/>
        <v>9.5959949586892579E-2</v>
      </c>
      <c r="Z16" s="120">
        <f t="shared" si="47"/>
        <v>5.0838524197412749E-2</v>
      </c>
      <c r="AA16" s="120">
        <f t="shared" si="47"/>
        <v>4.547596248841046E-2</v>
      </c>
      <c r="AB16" s="120">
        <f t="shared" si="47"/>
        <v>3.0311841244457405E-2</v>
      </c>
      <c r="AC16" s="120">
        <f t="shared" si="47"/>
        <v>5.3943840835332102E-2</v>
      </c>
      <c r="AD16" s="120">
        <f t="shared" si="47"/>
        <v>5.3887245123371841E-2</v>
      </c>
      <c r="AE16" s="120">
        <f t="shared" si="47"/>
        <v>5.9401915699077712E-2</v>
      </c>
      <c r="AF16" s="120">
        <f t="shared" si="47"/>
        <v>2.8994891718828519E-2</v>
      </c>
      <c r="AG16" s="120">
        <f t="shared" si="47"/>
        <v>4.5215121428238518E-2</v>
      </c>
      <c r="AH16" s="120">
        <f t="shared" si="47"/>
        <v>5.7779541713462189E-2</v>
      </c>
      <c r="AI16" s="120">
        <f t="shared" si="47"/>
        <v>4.0134645261522328E-2</v>
      </c>
      <c r="AJ16" s="120">
        <f t="shared" ref="AJ16:AM16" si="48">+AJ191</f>
        <v>1.7225703802318248E-2</v>
      </c>
      <c r="AK16" s="120">
        <f t="shared" si="48"/>
        <v>5.3472720985289879E-2</v>
      </c>
      <c r="AL16" s="120">
        <f t="shared" si="48"/>
        <v>4.8157724628312915E-2</v>
      </c>
      <c r="AM16" s="120">
        <f t="shared" si="48"/>
        <v>3.3244680851063801E-2</v>
      </c>
      <c r="AP16" s="120">
        <f>+AP15</f>
        <v>0.61538461538461542</v>
      </c>
      <c r="AQ16" s="120">
        <f>+AQ15</f>
        <v>0.82890476190476181</v>
      </c>
      <c r="AR16" s="120">
        <f t="shared" ref="AR16:AX16" si="49">+AR191</f>
        <v>0.65389121774676506</v>
      </c>
      <c r="AS16" s="120">
        <f t="shared" si="49"/>
        <v>0.45005588702948618</v>
      </c>
      <c r="AT16" s="120">
        <f t="shared" si="49"/>
        <v>0.35573071035403725</v>
      </c>
      <c r="AU16" s="120">
        <f t="shared" si="49"/>
        <v>0.50551351351351359</v>
      </c>
      <c r="AV16" s="120">
        <f t="shared" si="49"/>
        <v>0.35273748543890715</v>
      </c>
      <c r="AW16" s="120">
        <f t="shared" si="49"/>
        <v>0.20981377498859688</v>
      </c>
      <c r="AX16" s="120">
        <f t="shared" si="49"/>
        <v>0.19997878476554723</v>
      </c>
      <c r="AY16" s="120">
        <f t="shared" ref="AY16" si="50">+AY191</f>
        <v>0.16953846067177056</v>
      </c>
      <c r="AZ16" s="120"/>
    </row>
    <row r="17" spans="1:52" ht="10.15" x14ac:dyDescent="0.2">
      <c r="B17" s="13" t="s">
        <v>19</v>
      </c>
      <c r="E17" s="126" t="str">
        <f t="shared" ref="E17:L17" si="51">+IFERROR(E12-D12,"n/a")</f>
        <v>n/a</v>
      </c>
      <c r="F17" s="126" t="str">
        <f t="shared" si="51"/>
        <v>n/a</v>
      </c>
      <c r="G17" s="126" t="str">
        <f t="shared" si="51"/>
        <v>n/a</v>
      </c>
      <c r="H17" s="126" t="str">
        <f t="shared" si="51"/>
        <v>n/a</v>
      </c>
      <c r="I17" s="126">
        <f t="shared" si="51"/>
        <v>2</v>
      </c>
      <c r="J17" s="97">
        <f t="shared" si="51"/>
        <v>1.7000000000000011</v>
      </c>
      <c r="K17" s="97">
        <f t="shared" si="51"/>
        <v>1.7210000000000001</v>
      </c>
      <c r="L17" s="97">
        <f t="shared" si="51"/>
        <v>1.8499999999999979</v>
      </c>
      <c r="M17" s="97">
        <f t="shared" ref="M17" si="52">+IFERROR(M12-L12,"n/a")</f>
        <v>1.7530000000000001</v>
      </c>
      <c r="N17" s="97">
        <f t="shared" ref="N17" si="53">+IFERROR(N12-M12,"n/a")</f>
        <v>1.7070000000000007</v>
      </c>
      <c r="O17" s="97">
        <f t="shared" ref="O17" si="54">+IFERROR(O12-N12,"n/a")</f>
        <v>1.9520000000000017</v>
      </c>
      <c r="P17" s="97">
        <f t="shared" ref="P17" si="55">+IFERROR(P12-O12,"n/a")</f>
        <v>2.0039999999999978</v>
      </c>
      <c r="Q17" s="97">
        <f t="shared" ref="Q17" si="56">+IFERROR(Q12-P12,"n/a")</f>
        <v>0.6650000000000027</v>
      </c>
      <c r="R17" s="97">
        <f t="shared" ref="R17" si="57">+IFERROR(R12-Q12,"n/a")</f>
        <v>3.7439999999999962</v>
      </c>
      <c r="S17" s="97">
        <f t="shared" ref="S17" si="58">+IFERROR(S12-R12,"n/a")</f>
        <v>4.2439999999999998</v>
      </c>
      <c r="T17" s="97">
        <f t="shared" ref="T17" si="59">+IFERROR(T12-S12,"n/a")</f>
        <v>3.5579999999999998</v>
      </c>
      <c r="U17" s="97">
        <f t="shared" ref="U17" si="60">+IFERROR(U12-T12,"n/a")</f>
        <v>5.007000000000005</v>
      </c>
      <c r="V17" s="97">
        <f t="shared" ref="V17" si="61">+IFERROR(V12-U12,"n/a")</f>
        <v>4.2469999999999999</v>
      </c>
      <c r="W17" s="97">
        <f t="shared" ref="W17" si="62">+IFERROR(W12-V12,"n/a")</f>
        <v>4.4939999999999998</v>
      </c>
      <c r="X17" s="97">
        <f t="shared" ref="X17" si="63">+IFERROR(X12-W12,"n/a")</f>
        <v>3.3819999999999979</v>
      </c>
      <c r="Y17" s="97">
        <f t="shared" ref="Y17" si="64">+IFERROR(Y12-X12,"n/a")</f>
        <v>5.4819999999999993</v>
      </c>
      <c r="Z17" s="97">
        <f t="shared" ref="Z17" si="65">+IFERROR(Z12-Y12,"n/a")</f>
        <v>3.1830000000000069</v>
      </c>
      <c r="AA17" s="97">
        <f t="shared" ref="AA17" si="66">+IFERROR(AA12-Z12,"n/a")</f>
        <v>2.9919999999999902</v>
      </c>
      <c r="AB17" s="97">
        <f t="shared" ref="AB17" si="67">+IFERROR(AB12-AA12,"n/a")</f>
        <v>2.085000000000008</v>
      </c>
      <c r="AC17" s="97">
        <f t="shared" ref="AC17" si="68">+IFERROR(AC12-AB12,"n/a")</f>
        <v>3.8229999999999933</v>
      </c>
      <c r="AD17" s="97">
        <f t="shared" ref="AD17" si="69">+IFERROR(AD12-AC12,"n/a")</f>
        <v>4.0250000000000057</v>
      </c>
      <c r="AE17" s="97">
        <f t="shared" ref="AE17" si="70">+IFERROR(AE12-AD12,"n/a")</f>
        <v>4.6760000000000019</v>
      </c>
      <c r="AF17" s="97">
        <f t="shared" ref="AF17" si="71">+IFERROR(AF12-AE12,"n/a")</f>
        <v>2.4179999999999922</v>
      </c>
      <c r="AG17" s="97">
        <f t="shared" ref="AG17" si="72">+IFERROR(AG12-AF12,"n/a")</f>
        <v>5.1389999999999958</v>
      </c>
      <c r="AH17" s="97">
        <f t="shared" ref="AH17" si="73">+IFERROR(AH12-AG12,"n/a")</f>
        <v>6.3925616438356343</v>
      </c>
      <c r="AI17" s="97">
        <f t="shared" ref="AI17" si="74">+IFERROR(AI12-AH12,"n/a")</f>
        <v>3.9068493150684844</v>
      </c>
      <c r="AJ17" s="97">
        <f t="shared" ref="AJ17" si="75">+IFERROR(AJ12-AI12,"n/a")</f>
        <v>1.7441095890410878</v>
      </c>
      <c r="AK17" s="97">
        <f t="shared" ref="AK17" si="76">+IFERROR(AK12-AJ12,"n/a")</f>
        <v>5.5073972602739758</v>
      </c>
      <c r="AL17" s="97">
        <f t="shared" ref="AL17" si="77">+IFERROR(AL12-AK12,"n/a")</f>
        <v>5.2252054794520575</v>
      </c>
      <c r="AM17" s="97">
        <f t="shared" ref="AM17" si="78">+IFERROR(AM12-AL12,"n/a")</f>
        <v>3.7808219178082254</v>
      </c>
      <c r="AP17" s="126">
        <f t="shared" ref="AP17:AY17" si="79">+IFERROR(AP12-AO12,"n/a")</f>
        <v>8</v>
      </c>
      <c r="AQ17" s="126">
        <f t="shared" si="79"/>
        <v>17.406999999999996</v>
      </c>
      <c r="AR17" s="126">
        <f t="shared" si="79"/>
        <v>25.114000000000004</v>
      </c>
      <c r="AS17" s="126">
        <f t="shared" si="79"/>
        <v>28.587999999999994</v>
      </c>
      <c r="AT17" s="126">
        <f t="shared" si="79"/>
        <v>32.766000000000005</v>
      </c>
      <c r="AU17" s="126">
        <f t="shared" si="79"/>
        <v>63.126000000000005</v>
      </c>
      <c r="AV17" s="126">
        <f t="shared" si="79"/>
        <v>66.314999999999998</v>
      </c>
      <c r="AW17" s="126">
        <f t="shared" si="79"/>
        <v>53.359000000000009</v>
      </c>
      <c r="AX17" s="126">
        <f t="shared" si="79"/>
        <v>67.681972602739734</v>
      </c>
      <c r="AY17" s="126">
        <f t="shared" si="79"/>
        <v>67.374534246575365</v>
      </c>
      <c r="AZ17" s="126"/>
    </row>
    <row r="18" spans="1:52" ht="10.15" x14ac:dyDescent="0.2">
      <c r="B18" s="13" t="s">
        <v>394</v>
      </c>
      <c r="E18" s="126"/>
      <c r="F18" s="126"/>
      <c r="G18" s="126"/>
      <c r="H18" s="126"/>
      <c r="I18" s="126"/>
      <c r="J18" s="97"/>
      <c r="K18" s="97"/>
      <c r="L18" s="97">
        <f>+L194</f>
        <v>1.8499999999999979</v>
      </c>
      <c r="M18" s="97">
        <f t="shared" ref="M18:AI18" si="80">+M194</f>
        <v>1.7530000000000001</v>
      </c>
      <c r="N18" s="97">
        <f t="shared" si="80"/>
        <v>1.7070000000000007</v>
      </c>
      <c r="O18" s="97">
        <f t="shared" si="80"/>
        <v>1.9520000000000017</v>
      </c>
      <c r="P18" s="97">
        <f t="shared" si="80"/>
        <v>2.0039999999999978</v>
      </c>
      <c r="Q18" s="97">
        <f t="shared" si="80"/>
        <v>0.6650000000000027</v>
      </c>
      <c r="R18" s="97">
        <f t="shared" si="80"/>
        <v>3.7439999999999962</v>
      </c>
      <c r="S18" s="97">
        <f t="shared" si="80"/>
        <v>4.2439999999999998</v>
      </c>
      <c r="T18" s="97">
        <f t="shared" si="80"/>
        <v>3.5579999999999998</v>
      </c>
      <c r="U18" s="97">
        <f t="shared" si="80"/>
        <v>5.007000000000005</v>
      </c>
      <c r="V18" s="97">
        <f t="shared" si="80"/>
        <v>4.2469999999999999</v>
      </c>
      <c r="W18" s="97">
        <f t="shared" si="80"/>
        <v>4.4939999999999998</v>
      </c>
      <c r="X18" s="97">
        <f t="shared" si="80"/>
        <v>3.3819999999999979</v>
      </c>
      <c r="Y18" s="97">
        <f t="shared" si="80"/>
        <v>5.4819999999999993</v>
      </c>
      <c r="Z18" s="97">
        <f t="shared" si="80"/>
        <v>3.1830000000000069</v>
      </c>
      <c r="AA18" s="97">
        <f t="shared" si="80"/>
        <v>2.9919999999999902</v>
      </c>
      <c r="AB18" s="97">
        <f t="shared" si="80"/>
        <v>2.085000000000008</v>
      </c>
      <c r="AC18" s="97">
        <f t="shared" si="80"/>
        <v>3.8229999999999933</v>
      </c>
      <c r="AD18" s="97">
        <f t="shared" si="80"/>
        <v>4.0250000000000057</v>
      </c>
      <c r="AE18" s="97">
        <f t="shared" si="80"/>
        <v>4.6760000000000019</v>
      </c>
      <c r="AF18" s="97">
        <f t="shared" si="80"/>
        <v>2.4179999999999922</v>
      </c>
      <c r="AG18" s="97">
        <f t="shared" si="80"/>
        <v>3.8799999999999955</v>
      </c>
      <c r="AH18" s="97">
        <f t="shared" si="80"/>
        <v>5.2551070983810897</v>
      </c>
      <c r="AI18" s="97">
        <f t="shared" si="80"/>
        <v>3.9068493150684844</v>
      </c>
      <c r="AJ18" s="97">
        <f t="shared" ref="AJ18:AM18" si="81">+AJ194</f>
        <v>1.7441095890410878</v>
      </c>
      <c r="AK18" s="97">
        <f t="shared" si="81"/>
        <v>5.5073972602739758</v>
      </c>
      <c r="AL18" s="97">
        <f t="shared" si="81"/>
        <v>5.2252054794520575</v>
      </c>
      <c r="AM18" s="97">
        <f t="shared" si="81"/>
        <v>3.7808219178082254</v>
      </c>
      <c r="AP18" s="97">
        <f>+AP17</f>
        <v>8</v>
      </c>
      <c r="AQ18" s="97">
        <f>+AQ17</f>
        <v>17.406999999999996</v>
      </c>
      <c r="AR18" s="97">
        <f t="shared" ref="AR18:AX18" si="82">+AR194</f>
        <v>25.114000000000004</v>
      </c>
      <c r="AS18" s="97">
        <f t="shared" si="82"/>
        <v>28.587999999999994</v>
      </c>
      <c r="AT18" s="97">
        <f t="shared" si="82"/>
        <v>32.766000000000005</v>
      </c>
      <c r="AU18" s="97">
        <f t="shared" si="82"/>
        <v>63.126000000000005</v>
      </c>
      <c r="AV18" s="97">
        <f t="shared" si="82"/>
        <v>66.314999999999998</v>
      </c>
      <c r="AW18" s="97">
        <f t="shared" si="82"/>
        <v>53.359000000000009</v>
      </c>
      <c r="AX18" s="97">
        <f t="shared" si="82"/>
        <v>61.528472602739733</v>
      </c>
      <c r="AY18" s="97">
        <f t="shared" ref="AY18" si="83">+AY194</f>
        <v>63.637443337484456</v>
      </c>
      <c r="AZ18" s="126"/>
    </row>
    <row r="19" spans="1:52" ht="10.15" x14ac:dyDescent="0.2">
      <c r="B19" s="13"/>
      <c r="M19" s="14"/>
      <c r="N19" s="14"/>
      <c r="O19" s="14"/>
      <c r="P19" s="14"/>
      <c r="Q19" s="14"/>
      <c r="R19" s="14"/>
      <c r="S19" s="14"/>
      <c r="T19" s="119"/>
      <c r="U19" s="147"/>
      <c r="V19" s="15"/>
      <c r="X19" s="245"/>
      <c r="Y19" s="245"/>
      <c r="Z19" s="245"/>
      <c r="AA19" s="245"/>
      <c r="AB19" s="147"/>
      <c r="AC19" s="147"/>
      <c r="AD19" s="147"/>
      <c r="AE19" s="147"/>
      <c r="AF19" s="147"/>
      <c r="AG19" s="147"/>
      <c r="AH19" s="147"/>
      <c r="AI19" s="147"/>
      <c r="AJ19" s="147"/>
      <c r="AK19" s="147"/>
      <c r="AL19" s="147"/>
      <c r="AM19" s="147"/>
      <c r="AT19" s="119"/>
      <c r="AU19" s="147"/>
      <c r="AV19" s="147"/>
      <c r="AW19" s="147"/>
    </row>
    <row r="20" spans="1:52" ht="10.15" x14ac:dyDescent="0.2">
      <c r="B20" s="19" t="s">
        <v>35</v>
      </c>
      <c r="M20" s="14"/>
      <c r="N20" s="14"/>
      <c r="O20" s="14"/>
      <c r="P20" s="14"/>
      <c r="Q20" s="14"/>
      <c r="R20" s="14"/>
      <c r="S20" s="14"/>
      <c r="T20" s="119"/>
      <c r="U20" s="15"/>
      <c r="V20" s="119"/>
      <c r="W20" s="147"/>
      <c r="X20" s="147"/>
      <c r="Y20" s="147"/>
      <c r="Z20" s="147"/>
      <c r="AA20" s="147"/>
      <c r="AB20" s="245"/>
      <c r="AC20" s="245"/>
      <c r="AD20" s="147"/>
      <c r="AE20" s="147"/>
      <c r="AF20" s="147"/>
      <c r="AG20" s="147"/>
      <c r="AH20" s="147"/>
      <c r="AI20" s="147"/>
      <c r="AJ20" s="147"/>
      <c r="AK20" s="147"/>
      <c r="AL20" s="147"/>
      <c r="AM20" s="147"/>
      <c r="AT20" s="119"/>
      <c r="AU20" s="147"/>
      <c r="AV20" s="147"/>
      <c r="AW20" s="147"/>
    </row>
    <row r="21" spans="1:52" ht="10.15" x14ac:dyDescent="0.2">
      <c r="B21" s="13" t="s">
        <v>46</v>
      </c>
      <c r="D21" s="14">
        <f>+D156</f>
        <v>30.376080000000005</v>
      </c>
      <c r="E21" s="14">
        <f t="shared" ref="E21:S21" si="84">+E156</f>
        <v>35.410319999999999</v>
      </c>
      <c r="F21" s="14">
        <f t="shared" si="84"/>
        <v>40.480319999999999</v>
      </c>
      <c r="G21" s="14">
        <f t="shared" si="84"/>
        <v>45.891840000000002</v>
      </c>
      <c r="H21" s="97">
        <f t="shared" si="84"/>
        <v>52.976399999999998</v>
      </c>
      <c r="I21" s="97">
        <f t="shared" si="84"/>
        <v>58.880640000000007</v>
      </c>
      <c r="J21" s="97">
        <f t="shared" si="84"/>
        <v>65.957760000000007</v>
      </c>
      <c r="K21" s="97">
        <f t="shared" si="84"/>
        <v>72.212639999999979</v>
      </c>
      <c r="L21" s="97">
        <f t="shared" si="84"/>
        <v>81.307680000000019</v>
      </c>
      <c r="M21" s="97">
        <f t="shared" si="84"/>
        <v>88.386480000000006</v>
      </c>
      <c r="N21" s="97">
        <f t="shared" si="84"/>
        <v>95.338080000000005</v>
      </c>
      <c r="O21" s="97">
        <f t="shared" si="84"/>
        <v>102.6</v>
      </c>
      <c r="P21" s="97">
        <f t="shared" si="84"/>
        <v>109.5</v>
      </c>
      <c r="Q21" s="97">
        <f t="shared" si="84"/>
        <v>119</v>
      </c>
      <c r="R21" s="97">
        <f t="shared" si="84"/>
        <v>134.80000000000001</v>
      </c>
      <c r="S21" s="97">
        <f t="shared" si="84"/>
        <v>144.19999999999999</v>
      </c>
      <c r="T21" s="97">
        <f>+T167</f>
        <v>169.28</v>
      </c>
      <c r="U21" s="97">
        <f t="shared" ref="U21:Z21" si="85">+U167</f>
        <v>186.26</v>
      </c>
      <c r="V21" s="97">
        <f t="shared" si="85"/>
        <v>201.48999999999998</v>
      </c>
      <c r="W21" s="97">
        <f t="shared" si="85"/>
        <v>215.70999999999998</v>
      </c>
      <c r="X21" s="97">
        <f t="shared" si="85"/>
        <v>238.42999999999998</v>
      </c>
      <c r="Y21" s="97">
        <f t="shared" si="85"/>
        <v>252.35999999999999</v>
      </c>
      <c r="Z21" s="97">
        <f t="shared" si="85"/>
        <v>267.33</v>
      </c>
      <c r="AA21" s="97">
        <f t="shared" ref="AA21:AB21" si="86">+AA167</f>
        <v>275.10000000000002</v>
      </c>
      <c r="AB21" s="97">
        <f t="shared" si="86"/>
        <v>293</v>
      </c>
      <c r="AC21" s="97">
        <f t="shared" ref="AC21:AD21" si="87">+AC167</f>
        <v>302.39999999999998</v>
      </c>
      <c r="AD21" s="97">
        <f t="shared" si="87"/>
        <v>322.8</v>
      </c>
      <c r="AE21" s="97">
        <f t="shared" ref="AE21" si="88">+AE167</f>
        <v>337.1</v>
      </c>
      <c r="AF21" s="97">
        <f t="shared" ref="AF21:AI21" si="89">+AF167</f>
        <v>354.2</v>
      </c>
      <c r="AG21" s="97">
        <f t="shared" ref="AG21" si="90">+AG167</f>
        <v>377.7</v>
      </c>
      <c r="AH21" s="97">
        <f t="shared" si="89"/>
        <v>394.7</v>
      </c>
      <c r="AI21" s="97">
        <f t="shared" si="89"/>
        <v>408.7</v>
      </c>
      <c r="AJ21" s="97">
        <f t="shared" ref="AJ21:AM21" si="91">+AJ167</f>
        <v>426.7</v>
      </c>
      <c r="AK21" s="97">
        <f t="shared" si="91"/>
        <v>443.7</v>
      </c>
      <c r="AL21" s="97">
        <f t="shared" si="91"/>
        <v>458.7</v>
      </c>
      <c r="AM21" s="97">
        <f t="shared" si="91"/>
        <v>473.7</v>
      </c>
      <c r="AN21" s="171"/>
      <c r="AO21" s="171"/>
      <c r="AP21" s="97"/>
      <c r="AQ21" s="97">
        <f>+AQ156</f>
        <v>45.891840000000002</v>
      </c>
      <c r="AR21" s="97">
        <f>+AR156</f>
        <v>72.212639999999979</v>
      </c>
      <c r="AS21" s="97">
        <f>+AS156</f>
        <v>102.6</v>
      </c>
      <c r="AT21" s="97">
        <f>+AT156</f>
        <v>144.19999999999999</v>
      </c>
      <c r="AU21" s="97">
        <f>+W21</f>
        <v>215.70999999999998</v>
      </c>
      <c r="AV21" s="97">
        <f>+AA21</f>
        <v>275.10000000000002</v>
      </c>
      <c r="AW21" s="97">
        <f>+AE21</f>
        <v>337.1</v>
      </c>
      <c r="AX21" s="171">
        <f>+AI21</f>
        <v>408.7</v>
      </c>
      <c r="AY21" s="171">
        <f>+AM21</f>
        <v>473.7</v>
      </c>
      <c r="AZ21" s="171"/>
    </row>
    <row r="22" spans="1:52" ht="10.15" x14ac:dyDescent="0.2">
      <c r="B22" s="20" t="s">
        <v>18</v>
      </c>
      <c r="H22" s="15">
        <f>+H157</f>
        <v>0.74401700285224392</v>
      </c>
      <c r="I22" s="15">
        <f t="shared" ref="I22:S22" si="92">+I157</f>
        <v>0.66281016381665037</v>
      </c>
      <c r="J22" s="15">
        <f t="shared" si="92"/>
        <v>0.62937842388597742</v>
      </c>
      <c r="K22" s="15">
        <f t="shared" si="92"/>
        <v>0.57353987114048977</v>
      </c>
      <c r="L22" s="15">
        <f t="shared" si="92"/>
        <v>0.53479058599678386</v>
      </c>
      <c r="M22" s="15">
        <f t="shared" si="92"/>
        <v>0.50111275964391688</v>
      </c>
      <c r="N22" s="15">
        <f t="shared" si="92"/>
        <v>0.44544144616190717</v>
      </c>
      <c r="O22" s="15">
        <f t="shared" si="92"/>
        <v>0.42080389250413819</v>
      </c>
      <c r="P22" s="15">
        <f t="shared" si="92"/>
        <v>0.34673624926944147</v>
      </c>
      <c r="Q22" s="15">
        <f t="shared" si="92"/>
        <v>0.34635975999949298</v>
      </c>
      <c r="R22" s="15">
        <f t="shared" si="92"/>
        <v>0.41391561483092598</v>
      </c>
      <c r="S22" s="15">
        <f t="shared" si="92"/>
        <v>0.40545808966861596</v>
      </c>
      <c r="T22" s="15">
        <f>+T157</f>
        <v>0.53059360730593608</v>
      </c>
      <c r="U22" s="15">
        <f t="shared" ref="U22:W22" si="93">+U157</f>
        <v>0.57983193277310918</v>
      </c>
      <c r="V22" s="15">
        <f t="shared" si="93"/>
        <v>0.47403560830860503</v>
      </c>
      <c r="W22" s="15">
        <f t="shared" si="93"/>
        <v>0.47711511789181693</v>
      </c>
      <c r="X22" s="15">
        <f t="shared" ref="X22" si="94">IFERROR(X21/T21-1,"n/a")</f>
        <v>0.40849480151228712</v>
      </c>
      <c r="Y22" s="15">
        <f t="shared" ref="Y22" si="95">IFERROR(Y21/U21-1,"n/a")</f>
        <v>0.35488027488456986</v>
      </c>
      <c r="Z22" s="15">
        <f t="shared" ref="Z22:AE22" si="96">IFERROR(Z21/V21-1,"n/a")</f>
        <v>0.32676559630750912</v>
      </c>
      <c r="AA22" s="15">
        <f t="shared" si="96"/>
        <v>0.27532335079504922</v>
      </c>
      <c r="AB22" s="15">
        <f t="shared" si="96"/>
        <v>0.22887220567881572</v>
      </c>
      <c r="AC22" s="15">
        <f t="shared" si="96"/>
        <v>0.19828815977175451</v>
      </c>
      <c r="AD22" s="15">
        <f t="shared" si="96"/>
        <v>0.20749635282235457</v>
      </c>
      <c r="AE22" s="15">
        <f t="shared" si="96"/>
        <v>0.22537259178480551</v>
      </c>
      <c r="AF22" s="15">
        <f t="shared" ref="AF22:AG22" si="97">IFERROR(AF21/AB21-1,"n/a")</f>
        <v>0.20887372013651873</v>
      </c>
      <c r="AG22" s="15">
        <f t="shared" si="97"/>
        <v>0.24900793650793651</v>
      </c>
      <c r="AH22" s="15">
        <f t="shared" ref="AH22" si="98">IFERROR(AH21/AD21-1,"n/a")</f>
        <v>0.22273853779429986</v>
      </c>
      <c r="AI22" s="15">
        <f t="shared" ref="AI22" si="99">IFERROR(AI21/AE21-1,"n/a")</f>
        <v>0.21239988134084831</v>
      </c>
      <c r="AJ22" s="15">
        <f t="shared" ref="AJ22" si="100">IFERROR(AJ21/AF21-1,"n/a")</f>
        <v>0.20468661773009589</v>
      </c>
      <c r="AK22" s="15">
        <f t="shared" ref="AK22" si="101">IFERROR(AK21/AG21-1,"n/a")</f>
        <v>0.17474185861795077</v>
      </c>
      <c r="AL22" s="15">
        <f t="shared" ref="AL22" si="102">IFERROR(AL21/AH21-1,"n/a")</f>
        <v>0.1621484671902711</v>
      </c>
      <c r="AM22" s="15">
        <f t="shared" ref="AM22" si="103">IFERROR(AM21/AI21-1,"n/a")</f>
        <v>0.15904086126743322</v>
      </c>
      <c r="AR22" s="15">
        <f>+AR157</f>
        <v>0.57353987114048977</v>
      </c>
      <c r="AS22" s="15">
        <f>+AS157</f>
        <v>0.42080389250413819</v>
      </c>
      <c r="AT22" s="15">
        <f>+AT157</f>
        <v>0.40545808966861596</v>
      </c>
      <c r="AU22" s="15">
        <f>+AU157</f>
        <v>0.47711511789181693</v>
      </c>
      <c r="AV22" s="15">
        <f>IFERROR(AV21/AU21-1,"n/a")</f>
        <v>0.27532335079504922</v>
      </c>
      <c r="AW22" s="15">
        <f>IFERROR(AW21/AV21-1,"n/a")</f>
        <v>0.22537259178480551</v>
      </c>
      <c r="AX22" s="15">
        <f>IFERROR(AX21/AW21-1,"n/a")</f>
        <v>0.21239988134084831</v>
      </c>
      <c r="AY22" s="15">
        <f>IFERROR(AY21/AX21-1,"n/a")</f>
        <v>0.15904086126743322</v>
      </c>
      <c r="AZ22" s="15"/>
    </row>
    <row r="23" spans="1:52" ht="10.15" x14ac:dyDescent="0.2">
      <c r="B23" s="20" t="s">
        <v>383</v>
      </c>
      <c r="H23" s="15"/>
      <c r="I23" s="15"/>
      <c r="J23" s="15"/>
      <c r="K23" s="15"/>
      <c r="L23" s="15">
        <f>+L158</f>
        <v>0.53479058599678386</v>
      </c>
      <c r="M23" s="15">
        <f t="shared" ref="M23:W23" si="104">+M158</f>
        <v>0.50111275964391688</v>
      </c>
      <c r="N23" s="15">
        <f t="shared" si="104"/>
        <v>0.44544144616190717</v>
      </c>
      <c r="O23" s="15">
        <f t="shared" si="104"/>
        <v>0.42080389250413819</v>
      </c>
      <c r="P23" s="15">
        <f t="shared" si="104"/>
        <v>0.34673624926944147</v>
      </c>
      <c r="Q23" s="15">
        <f t="shared" si="104"/>
        <v>0.34635975999949298</v>
      </c>
      <c r="R23" s="15">
        <f t="shared" si="104"/>
        <v>0.41391561483092598</v>
      </c>
      <c r="S23" s="15">
        <f t="shared" si="104"/>
        <v>0.40545808966861596</v>
      </c>
      <c r="T23" s="15">
        <f t="shared" si="104"/>
        <v>0.53059360730593608</v>
      </c>
      <c r="U23" s="15">
        <f t="shared" si="104"/>
        <v>0.57983193277310918</v>
      </c>
      <c r="V23" s="15">
        <f t="shared" si="104"/>
        <v>0.47403560830860503</v>
      </c>
      <c r="W23" s="15">
        <f t="shared" si="104"/>
        <v>0.47711511789181693</v>
      </c>
      <c r="X23" s="15">
        <f>+X169</f>
        <v>0.40849480151228712</v>
      </c>
      <c r="Y23" s="15">
        <f t="shared" ref="Y23:AI23" si="105">+Y169</f>
        <v>0.35488027488456986</v>
      </c>
      <c r="Z23" s="15">
        <f t="shared" si="105"/>
        <v>0.32676559630750912</v>
      </c>
      <c r="AA23" s="15">
        <f t="shared" si="105"/>
        <v>0.27532335079504922</v>
      </c>
      <c r="AB23" s="15">
        <f t="shared" si="105"/>
        <v>0.22887220567881572</v>
      </c>
      <c r="AC23" s="15">
        <f t="shared" si="105"/>
        <v>0.19828815977175451</v>
      </c>
      <c r="AD23" s="15">
        <f t="shared" si="105"/>
        <v>0.20749635282235457</v>
      </c>
      <c r="AE23" s="15">
        <f t="shared" si="105"/>
        <v>0.22537259178480551</v>
      </c>
      <c r="AF23" s="15">
        <f t="shared" si="105"/>
        <v>0.20887372013651873</v>
      </c>
      <c r="AG23" s="15">
        <f t="shared" si="105"/>
        <v>0.22402777777777794</v>
      </c>
      <c r="AH23" s="15">
        <f t="shared" si="105"/>
        <v>0.191783823363749</v>
      </c>
      <c r="AI23" s="15">
        <f t="shared" si="105"/>
        <v>0.18275828591461929</v>
      </c>
      <c r="AJ23" s="15">
        <f t="shared" ref="AJ23:AM23" si="106">+AJ169</f>
        <v>0.17647605359067819</v>
      </c>
      <c r="AK23" s="15">
        <f t="shared" si="106"/>
        <v>0.16828651888222979</v>
      </c>
      <c r="AL23" s="15">
        <f t="shared" si="106"/>
        <v>0.1621484671902711</v>
      </c>
      <c r="AM23" s="15">
        <f t="shared" si="106"/>
        <v>0.15904086126743322</v>
      </c>
      <c r="AR23" s="15">
        <f t="shared" ref="AR23:AU23" si="107">+AR158</f>
        <v>0.57353987114048977</v>
      </c>
      <c r="AS23" s="15">
        <f t="shared" si="107"/>
        <v>0.42080389250413819</v>
      </c>
      <c r="AT23" s="15">
        <f t="shared" si="107"/>
        <v>0.40545808966861596</v>
      </c>
      <c r="AU23" s="15">
        <f t="shared" si="107"/>
        <v>0.47711511789181693</v>
      </c>
      <c r="AV23" s="15">
        <f t="shared" ref="AV23:AX23" si="108">+AV169</f>
        <v>0.27532335079504922</v>
      </c>
      <c r="AW23" s="15">
        <f t="shared" si="108"/>
        <v>0.22537259178480551</v>
      </c>
      <c r="AX23" s="15">
        <f t="shared" si="108"/>
        <v>0.18275828591461929</v>
      </c>
      <c r="AY23" s="15">
        <f t="shared" ref="AY23" si="109">+AY169</f>
        <v>0.15904086126743322</v>
      </c>
      <c r="AZ23" s="15"/>
    </row>
    <row r="24" spans="1:52" ht="10.15" x14ac:dyDescent="0.2">
      <c r="B24" s="20" t="s">
        <v>214</v>
      </c>
      <c r="H24" s="120">
        <f>+IFERROR(H21/G21-1,"n/a")</f>
        <v>0.15437515689063663</v>
      </c>
      <c r="I24" s="120">
        <f t="shared" ref="I24:AI24" si="110">+IFERROR(I21/H21-1,"n/a")</f>
        <v>0.11145038167938948</v>
      </c>
      <c r="J24" s="120">
        <f t="shared" si="110"/>
        <v>0.12019434571363363</v>
      </c>
      <c r="K24" s="120">
        <f t="shared" si="110"/>
        <v>9.4831601315750635E-2</v>
      </c>
      <c r="L24" s="120">
        <f t="shared" si="110"/>
        <v>0.1259480334744727</v>
      </c>
      <c r="M24" s="120">
        <f t="shared" si="110"/>
        <v>8.7061886404826483E-2</v>
      </c>
      <c r="N24" s="120">
        <f t="shared" si="110"/>
        <v>7.8650037879096413E-2</v>
      </c>
      <c r="O24" s="120">
        <f t="shared" si="110"/>
        <v>7.6170193484072612E-2</v>
      </c>
      <c r="P24" s="120">
        <f t="shared" si="110"/>
        <v>6.7251461988304229E-2</v>
      </c>
      <c r="Q24" s="120">
        <f t="shared" si="110"/>
        <v>8.6757990867579959E-2</v>
      </c>
      <c r="R24" s="120">
        <f t="shared" si="110"/>
        <v>0.13277310924369767</v>
      </c>
      <c r="S24" s="120">
        <f t="shared" si="110"/>
        <v>6.973293768545985E-2</v>
      </c>
      <c r="T24" s="120">
        <f t="shared" si="110"/>
        <v>0.17392510402219141</v>
      </c>
      <c r="U24" s="120">
        <f t="shared" si="110"/>
        <v>0.10030718336483924</v>
      </c>
      <c r="V24" s="120">
        <f t="shared" si="110"/>
        <v>8.1767421883388813E-2</v>
      </c>
      <c r="W24" s="120">
        <f t="shared" si="110"/>
        <v>7.0574222045759027E-2</v>
      </c>
      <c r="X24" s="120">
        <f t="shared" si="110"/>
        <v>0.10532659589263371</v>
      </c>
      <c r="Y24" s="120">
        <f t="shared" si="110"/>
        <v>5.8423856058381851E-2</v>
      </c>
      <c r="Z24" s="120">
        <f t="shared" si="110"/>
        <v>5.9320019020447035E-2</v>
      </c>
      <c r="AA24" s="120">
        <f t="shared" si="110"/>
        <v>2.9065200314218442E-2</v>
      </c>
      <c r="AB24" s="120">
        <f t="shared" si="110"/>
        <v>6.5067248273354972E-2</v>
      </c>
      <c r="AC24" s="120">
        <f t="shared" si="110"/>
        <v>3.2081911262798579E-2</v>
      </c>
      <c r="AD24" s="120">
        <f t="shared" si="110"/>
        <v>6.7460317460317665E-2</v>
      </c>
      <c r="AE24" s="120">
        <f t="shared" si="110"/>
        <v>4.4299876084262779E-2</v>
      </c>
      <c r="AF24" s="120">
        <f t="shared" si="110"/>
        <v>5.0726787303470688E-2</v>
      </c>
      <c r="AG24" s="120">
        <f t="shared" si="110"/>
        <v>6.634669678147942E-2</v>
      </c>
      <c r="AH24" s="120">
        <f t="shared" si="110"/>
        <v>4.5009266613714516E-2</v>
      </c>
      <c r="AI24" s="120">
        <f t="shared" si="110"/>
        <v>3.5469977197871705E-2</v>
      </c>
      <c r="AJ24" s="120">
        <f t="shared" ref="AJ24" si="111">+IFERROR(AJ21/AI21-1,"n/a")</f>
        <v>4.4042084658673764E-2</v>
      </c>
      <c r="AK24" s="120">
        <f t="shared" ref="AK24" si="112">+IFERROR(AK21/AJ21-1,"n/a")</f>
        <v>3.9840637450199168E-2</v>
      </c>
      <c r="AL24" s="120">
        <f t="shared" ref="AL24" si="113">+IFERROR(AL21/AK21-1,"n/a")</f>
        <v>3.380662609871532E-2</v>
      </c>
      <c r="AM24" s="120">
        <f t="shared" ref="AM24" si="114">+IFERROR(AM21/AL21-1,"n/a")</f>
        <v>3.2701111837802443E-2</v>
      </c>
      <c r="AP24" s="120"/>
      <c r="AQ24" s="120"/>
      <c r="AR24" s="120">
        <f t="shared" ref="AR24:AY24" si="115">+IFERROR(AR21/AQ21-1,"n/a")</f>
        <v>0.57353987114048977</v>
      </c>
      <c r="AS24" s="120">
        <f t="shared" si="115"/>
        <v>0.42080389250413819</v>
      </c>
      <c r="AT24" s="120">
        <f t="shared" si="115"/>
        <v>0.40545808966861596</v>
      </c>
      <c r="AU24" s="120">
        <f t="shared" si="115"/>
        <v>0.49590846047156734</v>
      </c>
      <c r="AV24" s="120">
        <f t="shared" si="115"/>
        <v>0.27532335079504922</v>
      </c>
      <c r="AW24" s="120">
        <f t="shared" si="115"/>
        <v>0.22537259178480551</v>
      </c>
      <c r="AX24" s="120">
        <f t="shared" si="115"/>
        <v>0.21239988134084831</v>
      </c>
      <c r="AY24" s="120">
        <f t="shared" si="115"/>
        <v>0.15904086126743322</v>
      </c>
      <c r="AZ24" s="120"/>
    </row>
    <row r="25" spans="1:52" ht="10.15" x14ac:dyDescent="0.2">
      <c r="B25" s="20" t="s">
        <v>384</v>
      </c>
      <c r="H25" s="120"/>
      <c r="I25" s="120"/>
      <c r="J25" s="120"/>
      <c r="K25" s="120"/>
      <c r="L25" s="120">
        <f>+L160</f>
        <v>0.1259480334744727</v>
      </c>
      <c r="M25" s="120">
        <f t="shared" ref="M25:T25" si="116">+M160</f>
        <v>8.7061886404826483E-2</v>
      </c>
      <c r="N25" s="120">
        <f t="shared" si="116"/>
        <v>7.8650037879096413E-2</v>
      </c>
      <c r="O25" s="120">
        <f t="shared" si="116"/>
        <v>7.6170193484072612E-2</v>
      </c>
      <c r="P25" s="120">
        <f t="shared" si="116"/>
        <v>6.7251461988304229E-2</v>
      </c>
      <c r="Q25" s="120">
        <f t="shared" si="116"/>
        <v>8.6757990867579959E-2</v>
      </c>
      <c r="R25" s="120">
        <f t="shared" si="116"/>
        <v>0.13277310924369767</v>
      </c>
      <c r="S25" s="120">
        <f t="shared" si="116"/>
        <v>6.973293768545985E-2</v>
      </c>
      <c r="T25" s="120">
        <f t="shared" si="116"/>
        <v>0.16227461858529835</v>
      </c>
      <c r="U25" s="120">
        <f>+U171</f>
        <v>0.10030718336483924</v>
      </c>
      <c r="V25" s="120">
        <f t="shared" ref="V25:AI25" si="117">+V171</f>
        <v>8.1767421883388813E-2</v>
      </c>
      <c r="W25" s="120">
        <f t="shared" si="117"/>
        <v>7.0574222045759027E-2</v>
      </c>
      <c r="X25" s="120">
        <f t="shared" si="117"/>
        <v>0.10532659589263371</v>
      </c>
      <c r="Y25" s="120">
        <f t="shared" si="117"/>
        <v>5.8423856058381851E-2</v>
      </c>
      <c r="Z25" s="120">
        <f t="shared" si="117"/>
        <v>5.9320019020447035E-2</v>
      </c>
      <c r="AA25" s="120">
        <f t="shared" si="117"/>
        <v>2.9065200314218442E-2</v>
      </c>
      <c r="AB25" s="120">
        <f t="shared" si="117"/>
        <v>6.5067248273354972E-2</v>
      </c>
      <c r="AC25" s="120">
        <f t="shared" si="117"/>
        <v>3.2081911262798579E-2</v>
      </c>
      <c r="AD25" s="120">
        <f t="shared" si="117"/>
        <v>6.7460317460317665E-2</v>
      </c>
      <c r="AE25" s="120">
        <f t="shared" si="117"/>
        <v>4.4299876084262779E-2</v>
      </c>
      <c r="AF25" s="120">
        <f t="shared" si="117"/>
        <v>5.0726787303470688E-2</v>
      </c>
      <c r="AG25" s="120">
        <f t="shared" si="117"/>
        <v>4.5019762845849964E-2</v>
      </c>
      <c r="AH25" s="120">
        <f t="shared" si="117"/>
        <v>3.8553926877993527E-2</v>
      </c>
      <c r="AI25" s="120">
        <f t="shared" si="117"/>
        <v>3.5469977197871705E-2</v>
      </c>
      <c r="AJ25" s="120">
        <f t="shared" ref="AJ25:AM25" si="118">+AJ171</f>
        <v>4.4042084658673764E-2</v>
      </c>
      <c r="AK25" s="120">
        <f t="shared" si="118"/>
        <v>3.9840637450199168E-2</v>
      </c>
      <c r="AL25" s="120">
        <f t="shared" si="118"/>
        <v>3.380662609871532E-2</v>
      </c>
      <c r="AM25" s="120">
        <f t="shared" si="118"/>
        <v>3.2701111837802443E-2</v>
      </c>
      <c r="AP25" s="120"/>
      <c r="AQ25" s="120"/>
      <c r="AR25" s="120">
        <f t="shared" ref="AR25:AU25" si="119">+AR160</f>
        <v>0.57353987114048977</v>
      </c>
      <c r="AS25" s="120">
        <f t="shared" si="119"/>
        <v>0.42080389250413819</v>
      </c>
      <c r="AT25" s="120">
        <f t="shared" si="119"/>
        <v>0.40545808966861596</v>
      </c>
      <c r="AU25" s="120">
        <f t="shared" si="119"/>
        <v>0.47711511789181693</v>
      </c>
      <c r="AV25" s="120">
        <f t="shared" ref="AV25:AX25" si="120">+AV171</f>
        <v>0.27532335079504922</v>
      </c>
      <c r="AW25" s="120">
        <f t="shared" si="120"/>
        <v>0.22537259178480551</v>
      </c>
      <c r="AX25" s="120">
        <f t="shared" si="120"/>
        <v>0.18275828591461929</v>
      </c>
      <c r="AY25" s="120">
        <f t="shared" ref="AY25" si="121">+AY171</f>
        <v>0.15904086126743322</v>
      </c>
      <c r="AZ25" s="120"/>
    </row>
    <row r="26" spans="1:52" ht="10.15" x14ac:dyDescent="0.2">
      <c r="B26" s="20" t="s">
        <v>119</v>
      </c>
      <c r="E26" s="126">
        <f t="shared" ref="E26:AE26" si="122">+IFERROR(E21-D21,"n/a")</f>
        <v>5.0342399999999934</v>
      </c>
      <c r="F26" s="126">
        <f t="shared" si="122"/>
        <v>5.07</v>
      </c>
      <c r="G26" s="126">
        <f t="shared" si="122"/>
        <v>5.411520000000003</v>
      </c>
      <c r="H26" s="126">
        <f t="shared" si="122"/>
        <v>7.0845599999999962</v>
      </c>
      <c r="I26" s="126">
        <f t="shared" si="122"/>
        <v>5.9042400000000086</v>
      </c>
      <c r="J26" s="97">
        <f t="shared" si="122"/>
        <v>7.0771200000000007</v>
      </c>
      <c r="K26" s="97">
        <f t="shared" si="122"/>
        <v>6.2548799999999716</v>
      </c>
      <c r="L26" s="97">
        <f t="shared" si="122"/>
        <v>9.09504000000004</v>
      </c>
      <c r="M26" s="97">
        <f t="shared" si="122"/>
        <v>7.0787999999999869</v>
      </c>
      <c r="N26" s="97">
        <f t="shared" si="122"/>
        <v>6.9515999999999991</v>
      </c>
      <c r="O26" s="97">
        <f t="shared" si="122"/>
        <v>7.2619199999999893</v>
      </c>
      <c r="P26" s="97">
        <f t="shared" si="122"/>
        <v>6.9000000000000057</v>
      </c>
      <c r="Q26" s="97">
        <f t="shared" si="122"/>
        <v>9.5</v>
      </c>
      <c r="R26" s="97">
        <f t="shared" si="122"/>
        <v>15.800000000000011</v>
      </c>
      <c r="S26" s="97">
        <f t="shared" si="122"/>
        <v>9.3999999999999773</v>
      </c>
      <c r="T26" s="97">
        <f>+T161</f>
        <v>23.400000000000006</v>
      </c>
      <c r="U26" s="97">
        <f t="shared" si="122"/>
        <v>16.97999999999999</v>
      </c>
      <c r="V26" s="97">
        <f t="shared" si="122"/>
        <v>15.22999999999999</v>
      </c>
      <c r="W26" s="97">
        <f t="shared" si="122"/>
        <v>14.219999999999999</v>
      </c>
      <c r="X26" s="97">
        <f t="shared" si="122"/>
        <v>22.72</v>
      </c>
      <c r="Y26" s="97">
        <f t="shared" si="122"/>
        <v>13.930000000000007</v>
      </c>
      <c r="Z26" s="97">
        <f t="shared" si="122"/>
        <v>14.969999999999999</v>
      </c>
      <c r="AA26" s="97">
        <f t="shared" si="122"/>
        <v>7.7700000000000387</v>
      </c>
      <c r="AB26" s="97">
        <f t="shared" si="122"/>
        <v>17.899999999999977</v>
      </c>
      <c r="AC26" s="97">
        <f t="shared" si="122"/>
        <v>9.3999999999999773</v>
      </c>
      <c r="AD26" s="97">
        <f t="shared" si="122"/>
        <v>20.400000000000034</v>
      </c>
      <c r="AE26" s="97">
        <f t="shared" si="122"/>
        <v>14.300000000000011</v>
      </c>
      <c r="AF26" s="97">
        <f t="shared" ref="AF26:AG26" si="123">+IFERROR(AF21-AE21,"n/a")</f>
        <v>17.099999999999966</v>
      </c>
      <c r="AG26" s="97">
        <f t="shared" si="123"/>
        <v>23.5</v>
      </c>
      <c r="AH26" s="97">
        <f t="shared" ref="AH26" si="124">+IFERROR(AH21-AG21,"n/a")</f>
        <v>17</v>
      </c>
      <c r="AI26" s="97">
        <f t="shared" ref="AI26" si="125">+IFERROR(AI21-AH21,"n/a")</f>
        <v>14</v>
      </c>
      <c r="AJ26" s="97">
        <f t="shared" ref="AJ26" si="126">+IFERROR(AJ21-AI21,"n/a")</f>
        <v>18</v>
      </c>
      <c r="AK26" s="97">
        <f t="shared" ref="AK26" si="127">+IFERROR(AK21-AJ21,"n/a")</f>
        <v>17</v>
      </c>
      <c r="AL26" s="97">
        <f t="shared" ref="AL26" si="128">+IFERROR(AL21-AK21,"n/a")</f>
        <v>15</v>
      </c>
      <c r="AM26" s="97">
        <f t="shared" ref="AM26" si="129">+IFERROR(AM21-AL21,"n/a")</f>
        <v>15</v>
      </c>
      <c r="AR26" s="126">
        <f t="shared" ref="AR26:AY26" si="130">+IFERROR(AR21-AQ21,"n/a")</f>
        <v>26.320799999999977</v>
      </c>
      <c r="AS26" s="126">
        <f t="shared" si="130"/>
        <v>30.387360000000015</v>
      </c>
      <c r="AT26" s="126">
        <f t="shared" si="130"/>
        <v>41.599999999999994</v>
      </c>
      <c r="AU26" s="126">
        <f>+AU161</f>
        <v>68.800000000000011</v>
      </c>
      <c r="AV26" s="126">
        <f t="shared" si="130"/>
        <v>59.390000000000043</v>
      </c>
      <c r="AW26" s="126">
        <f t="shared" si="130"/>
        <v>62</v>
      </c>
      <c r="AX26" s="126">
        <f t="shared" si="130"/>
        <v>71.599999999999966</v>
      </c>
      <c r="AY26" s="126">
        <f t="shared" si="130"/>
        <v>65</v>
      </c>
      <c r="AZ26" s="126"/>
    </row>
    <row r="27" spans="1:52" ht="10.15" x14ac:dyDescent="0.2">
      <c r="B27" s="26" t="s">
        <v>18</v>
      </c>
      <c r="H27" s="120" t="str">
        <f>+H162</f>
        <v>n/a</v>
      </c>
      <c r="I27" s="120">
        <f t="shared" ref="I27:X27" si="131">+I162</f>
        <v>0.17281655225019388</v>
      </c>
      <c r="J27" s="120">
        <f t="shared" si="131"/>
        <v>0.39588165680473386</v>
      </c>
      <c r="K27" s="120">
        <f t="shared" si="131"/>
        <v>0.15584530778782457</v>
      </c>
      <c r="L27" s="120">
        <f t="shared" si="131"/>
        <v>0.28378332599343437</v>
      </c>
      <c r="M27" s="120">
        <f t="shared" si="131"/>
        <v>0.19893500264216502</v>
      </c>
      <c r="N27" s="120">
        <f t="shared" si="131"/>
        <v>-1.7736028214867305E-2</v>
      </c>
      <c r="O27" s="120">
        <f t="shared" si="131"/>
        <v>0.16100069066073575</v>
      </c>
      <c r="P27" s="120">
        <f t="shared" si="131"/>
        <v>-0.24134473295334868</v>
      </c>
      <c r="Q27" s="120">
        <f t="shared" si="131"/>
        <v>0.34203537322710309</v>
      </c>
      <c r="R27" s="120">
        <f t="shared" si="131"/>
        <v>1.2728580470683029</v>
      </c>
      <c r="S27" s="120">
        <f t="shared" si="131"/>
        <v>0.29442351334082328</v>
      </c>
      <c r="T27" s="120">
        <f t="shared" si="131"/>
        <v>2.3913043478260851</v>
      </c>
      <c r="U27" s="120">
        <f t="shared" si="131"/>
        <v>1.147368421052632</v>
      </c>
      <c r="V27" s="120">
        <f t="shared" si="131"/>
        <v>-0.32278481012658344</v>
      </c>
      <c r="W27" s="120">
        <f t="shared" si="131"/>
        <v>0.52127659574468566</v>
      </c>
      <c r="X27" s="120">
        <f t="shared" si="131"/>
        <v>-1.7094017094017366E-2</v>
      </c>
      <c r="Y27" s="120">
        <f t="shared" ref="Y27:AB27" si="132">+Y173</f>
        <v>-0.17962308598350907</v>
      </c>
      <c r="Z27" s="120">
        <f t="shared" si="132"/>
        <v>-1.7071569271174702E-2</v>
      </c>
      <c r="AA27" s="120">
        <f t="shared" si="132"/>
        <v>-0.45358649789029259</v>
      </c>
      <c r="AB27" s="120">
        <f t="shared" si="132"/>
        <v>-0.21214788732394463</v>
      </c>
      <c r="AC27" s="120">
        <f t="shared" ref="AC27:AD27" si="133">+AC173</f>
        <v>-0.32519741564967897</v>
      </c>
      <c r="AD27" s="120">
        <f t="shared" si="133"/>
        <v>0.36272545090180608</v>
      </c>
      <c r="AE27" s="120">
        <f t="shared" ref="AE27:AF28" si="134">+AE173</f>
        <v>0.84041184041183281</v>
      </c>
      <c r="AF27" s="120">
        <f t="shared" ref="AF27:AI27" si="135">+AF173</f>
        <v>-4.4692737430168328E-2</v>
      </c>
      <c r="AG27" s="120">
        <f t="shared" ref="AG27:AI28" si="136">+AG173</f>
        <v>1.5000000000000062</v>
      </c>
      <c r="AH27" s="120">
        <f t="shared" si="135"/>
        <v>-0.16666666666666807</v>
      </c>
      <c r="AI27" s="120">
        <f t="shared" si="135"/>
        <v>-2.0979020979021712E-2</v>
      </c>
      <c r="AJ27" s="120">
        <f t="shared" ref="AJ27:AM27" si="137">+AJ173</f>
        <v>5.2631578947370583E-2</v>
      </c>
      <c r="AK27" s="120">
        <f t="shared" si="137"/>
        <v>-0.27659574468085102</v>
      </c>
      <c r="AL27" s="120">
        <f t="shared" si="137"/>
        <v>-0.11764705882352944</v>
      </c>
      <c r="AM27" s="120">
        <f t="shared" si="137"/>
        <v>7.1428571428571397E-2</v>
      </c>
      <c r="AR27" s="120"/>
      <c r="AS27" s="120">
        <f t="shared" ref="AS27:AU27" si="138">+AS162</f>
        <v>0.15449986322604325</v>
      </c>
      <c r="AT27" s="120">
        <f t="shared" si="138"/>
        <v>0.36899026437308047</v>
      </c>
      <c r="AU27" s="120">
        <f t="shared" si="138"/>
        <v>0.65384615384615441</v>
      </c>
      <c r="AV27" s="120">
        <f t="shared" ref="AV27" si="139">+AV162</f>
        <v>-9.7383720930232398E-2</v>
      </c>
      <c r="AW27" s="120">
        <f>+AW173</f>
        <v>4.3946792389290446E-2</v>
      </c>
      <c r="AX27" s="120">
        <f>+AX173</f>
        <v>0.15483870967741886</v>
      </c>
      <c r="AY27" s="120">
        <f>+AY173</f>
        <v>-9.2178770949720268E-2</v>
      </c>
      <c r="AZ27" s="120"/>
    </row>
    <row r="28" spans="1:52" ht="10.15" x14ac:dyDescent="0.2">
      <c r="B28" s="20" t="s">
        <v>395</v>
      </c>
      <c r="H28" s="120"/>
      <c r="I28" s="120"/>
      <c r="J28" s="120"/>
      <c r="K28" s="120"/>
      <c r="L28" s="97">
        <f>+L163</f>
        <v>9.09504000000004</v>
      </c>
      <c r="M28" s="97">
        <f t="shared" ref="M28:T28" si="140">+M163</f>
        <v>7.0787999999999869</v>
      </c>
      <c r="N28" s="97">
        <f t="shared" si="140"/>
        <v>6.9515999999999991</v>
      </c>
      <c r="O28" s="97">
        <f t="shared" si="140"/>
        <v>7.2619199999999893</v>
      </c>
      <c r="P28" s="97">
        <f t="shared" si="140"/>
        <v>6.9000000000000057</v>
      </c>
      <c r="Q28" s="97">
        <f t="shared" si="140"/>
        <v>9.5</v>
      </c>
      <c r="R28" s="97">
        <f t="shared" si="140"/>
        <v>15.800000000000011</v>
      </c>
      <c r="S28" s="97">
        <f t="shared" si="140"/>
        <v>9.3999999999999773</v>
      </c>
      <c r="T28" s="97">
        <f t="shared" si="140"/>
        <v>23.400000000000006</v>
      </c>
      <c r="U28" s="97">
        <f>+U174</f>
        <v>16.97999999999999</v>
      </c>
      <c r="V28" s="97">
        <f t="shared" ref="V28:AD28" si="141">+V174</f>
        <v>15.22999999999999</v>
      </c>
      <c r="W28" s="97">
        <f t="shared" si="141"/>
        <v>14.219999999999999</v>
      </c>
      <c r="X28" s="97">
        <f t="shared" si="141"/>
        <v>22.72</v>
      </c>
      <c r="Y28" s="97">
        <f t="shared" si="141"/>
        <v>13.930000000000007</v>
      </c>
      <c r="Z28" s="97">
        <f t="shared" si="141"/>
        <v>14.969999999999999</v>
      </c>
      <c r="AA28" s="97">
        <f t="shared" si="141"/>
        <v>7.7700000000000387</v>
      </c>
      <c r="AB28" s="97">
        <f t="shared" si="141"/>
        <v>17.899999999999977</v>
      </c>
      <c r="AC28" s="97">
        <f t="shared" si="141"/>
        <v>9.3999999999999773</v>
      </c>
      <c r="AD28" s="97">
        <f t="shared" si="141"/>
        <v>20.400000000000034</v>
      </c>
      <c r="AE28" s="97">
        <f t="shared" si="134"/>
        <v>14.300000000000011</v>
      </c>
      <c r="AF28" s="97">
        <f t="shared" si="134"/>
        <v>17.099999999999966</v>
      </c>
      <c r="AG28" s="97">
        <f t="shared" si="136"/>
        <v>15.946</v>
      </c>
      <c r="AH28" s="97">
        <f t="shared" si="136"/>
        <v>14.561818181818184</v>
      </c>
      <c r="AI28" s="97">
        <f t="shared" si="136"/>
        <v>14</v>
      </c>
      <c r="AJ28" s="97">
        <f t="shared" ref="AJ28:AM28" si="142">+AJ174</f>
        <v>18</v>
      </c>
      <c r="AK28" s="97">
        <f t="shared" si="142"/>
        <v>17</v>
      </c>
      <c r="AL28" s="97">
        <f t="shared" si="142"/>
        <v>15</v>
      </c>
      <c r="AM28" s="97">
        <f t="shared" si="142"/>
        <v>15</v>
      </c>
      <c r="AR28" s="97">
        <f>+AR163</f>
        <v>26.320799999999977</v>
      </c>
      <c r="AS28" s="97">
        <f t="shared" ref="AS28:AU28" si="143">+AS163</f>
        <v>30.387360000000015</v>
      </c>
      <c r="AT28" s="97">
        <f t="shared" si="143"/>
        <v>41.599999999999994</v>
      </c>
      <c r="AU28" s="97">
        <f t="shared" si="143"/>
        <v>68.800000000000011</v>
      </c>
      <c r="AV28" s="97">
        <f t="shared" ref="AV28:AX28" si="144">+AV174</f>
        <v>59.390000000000043</v>
      </c>
      <c r="AW28" s="97">
        <f t="shared" si="144"/>
        <v>62</v>
      </c>
      <c r="AX28" s="97">
        <f t="shared" si="144"/>
        <v>61.607818181818146</v>
      </c>
      <c r="AY28" s="97">
        <f t="shared" ref="AY28" si="145">+AY174</f>
        <v>65</v>
      </c>
      <c r="AZ28" s="120"/>
    </row>
    <row r="29" spans="1:52" ht="10.15" x14ac:dyDescent="0.2">
      <c r="B29" s="26" t="s">
        <v>18</v>
      </c>
      <c r="H29" s="120"/>
      <c r="I29" s="120"/>
      <c r="J29" s="120"/>
      <c r="K29" s="120"/>
      <c r="L29" s="120">
        <f>+L164</f>
        <v>0.28378332599343437</v>
      </c>
      <c r="M29" s="120">
        <f t="shared" ref="M29:X29" si="146">+M164</f>
        <v>0.19893500264216502</v>
      </c>
      <c r="N29" s="120">
        <f t="shared" si="146"/>
        <v>-1.7736028214867305E-2</v>
      </c>
      <c r="O29" s="120">
        <f t="shared" si="146"/>
        <v>0.16100069066073575</v>
      </c>
      <c r="P29" s="120">
        <f t="shared" si="146"/>
        <v>-0.24134473295334868</v>
      </c>
      <c r="Q29" s="120">
        <f t="shared" si="146"/>
        <v>0.34203537322710309</v>
      </c>
      <c r="R29" s="120">
        <f t="shared" si="146"/>
        <v>1.2728580470683029</v>
      </c>
      <c r="S29" s="120">
        <f t="shared" si="146"/>
        <v>0.29442351334082328</v>
      </c>
      <c r="T29" s="120">
        <f t="shared" si="146"/>
        <v>2.3913043478260851</v>
      </c>
      <c r="U29" s="120">
        <f t="shared" si="146"/>
        <v>1.147368421052632</v>
      </c>
      <c r="V29" s="120">
        <f t="shared" si="146"/>
        <v>-0.32278481012658344</v>
      </c>
      <c r="W29" s="120">
        <f t="shared" si="146"/>
        <v>0.52127659574468566</v>
      </c>
      <c r="X29" s="120">
        <f t="shared" si="146"/>
        <v>-1.7094017094017366E-2</v>
      </c>
      <c r="Y29" s="120">
        <f t="shared" ref="Y29:AI29" si="147">+Y175</f>
        <v>-0.17962308598350907</v>
      </c>
      <c r="Z29" s="120">
        <f t="shared" si="147"/>
        <v>-1.7071569271174702E-2</v>
      </c>
      <c r="AA29" s="120">
        <f t="shared" si="147"/>
        <v>-0.45358649789029259</v>
      </c>
      <c r="AB29" s="120">
        <f t="shared" si="147"/>
        <v>-0.21214788732394463</v>
      </c>
      <c r="AC29" s="120">
        <f t="shared" si="147"/>
        <v>-0.32519741564967897</v>
      </c>
      <c r="AD29" s="120">
        <f t="shared" si="147"/>
        <v>0.36272545090180608</v>
      </c>
      <c r="AE29" s="120">
        <f t="shared" si="147"/>
        <v>0.84041184041183281</v>
      </c>
      <c r="AF29" s="120">
        <f t="shared" si="147"/>
        <v>-4.4692737430168328E-2</v>
      </c>
      <c r="AG29" s="120">
        <f t="shared" si="147"/>
        <v>0.69638297872340837</v>
      </c>
      <c r="AH29" s="120">
        <f t="shared" si="147"/>
        <v>-0.28618538324420784</v>
      </c>
      <c r="AI29" s="120">
        <f t="shared" si="147"/>
        <v>-2.0979020979021712E-2</v>
      </c>
      <c r="AJ29" s="120">
        <f t="shared" ref="AJ29:AM29" si="148">+AJ175</f>
        <v>5.2631578947370583E-2</v>
      </c>
      <c r="AK29" s="120">
        <f t="shared" si="148"/>
        <v>6.6098081023454158E-2</v>
      </c>
      <c r="AL29" s="120">
        <f t="shared" si="148"/>
        <v>3.0091147459108347E-2</v>
      </c>
      <c r="AM29" s="120">
        <f t="shared" si="148"/>
        <v>7.1428571428571397E-2</v>
      </c>
      <c r="AR29" s="120"/>
      <c r="AS29" s="120">
        <f t="shared" ref="AS29:AV29" si="149">+AS164</f>
        <v>0.15449986322604325</v>
      </c>
      <c r="AT29" s="120">
        <f t="shared" si="149"/>
        <v>0.36899026437308047</v>
      </c>
      <c r="AU29" s="120">
        <f t="shared" si="149"/>
        <v>0.65384615384615441</v>
      </c>
      <c r="AV29" s="120">
        <f t="shared" si="149"/>
        <v>-9.7383720930232398E-2</v>
      </c>
      <c r="AW29" s="120">
        <f t="shared" ref="AW29:AX29" si="150">+AW175</f>
        <v>4.3946792389290446E-2</v>
      </c>
      <c r="AX29" s="120">
        <f t="shared" si="150"/>
        <v>-6.3255131964815581E-3</v>
      </c>
      <c r="AY29" s="120">
        <f t="shared" ref="AY29" si="151">+AY175</f>
        <v>5.5060898410178805E-2</v>
      </c>
      <c r="AZ29" s="120"/>
    </row>
    <row r="30" spans="1:52" ht="10.15" x14ac:dyDescent="0.2">
      <c r="T30" s="15"/>
      <c r="U30" s="15"/>
      <c r="V30" s="15"/>
      <c r="W30" s="15"/>
      <c r="X30" s="15"/>
      <c r="Y30" s="15"/>
      <c r="Z30" s="15"/>
      <c r="AA30" s="15"/>
      <c r="AB30" s="15"/>
      <c r="AC30" s="15"/>
      <c r="AD30" s="15"/>
      <c r="AE30" s="15"/>
      <c r="AF30" s="15"/>
      <c r="AG30" s="15"/>
      <c r="AH30" s="15"/>
      <c r="AI30" s="15"/>
      <c r="AJ30" s="15"/>
      <c r="AK30" s="15"/>
      <c r="AL30" s="15"/>
      <c r="AM30" s="15"/>
    </row>
    <row r="31" spans="1:52" s="3" customFormat="1" ht="10.15" x14ac:dyDescent="0.2">
      <c r="A31" s="2"/>
      <c r="B31" s="3" t="s">
        <v>250</v>
      </c>
      <c r="D31" s="125" t="str">
        <f t="shared" ref="D31:K31" si="152">+IFERROR(D278+D311,"n/a")</f>
        <v>n/a</v>
      </c>
      <c r="E31" s="125" t="str">
        <f t="shared" si="152"/>
        <v>n/a</v>
      </c>
      <c r="F31" s="125" t="str">
        <f t="shared" si="152"/>
        <v>n/a</v>
      </c>
      <c r="G31" s="125" t="str">
        <f t="shared" si="152"/>
        <v>n/a</v>
      </c>
      <c r="H31" s="125" t="str">
        <f t="shared" si="152"/>
        <v>n/a</v>
      </c>
      <c r="I31" s="125" t="str">
        <f t="shared" si="152"/>
        <v>n/a</v>
      </c>
      <c r="J31" s="125" t="str">
        <f t="shared" si="152"/>
        <v>n/a</v>
      </c>
      <c r="K31" s="125" t="str">
        <f t="shared" si="152"/>
        <v>n/a</v>
      </c>
      <c r="L31" s="23">
        <f>+IFERROR(L278+L311+L318+L325+L332,"n/a")</f>
        <v>15.097999999999999</v>
      </c>
      <c r="M31" s="23">
        <f t="shared" ref="M31:AF31" si="153">+IFERROR(M278+M311+M318+M325+M332,"n/a")</f>
        <v>16.829000000000001</v>
      </c>
      <c r="N31" s="23">
        <f t="shared" si="153"/>
        <v>18.088000000000001</v>
      </c>
      <c r="O31" s="23">
        <f t="shared" si="153"/>
        <v>19.563000000000002</v>
      </c>
      <c r="P31" s="23">
        <f t="shared" si="153"/>
        <v>21.180999999999997</v>
      </c>
      <c r="Q31" s="23">
        <f t="shared" si="153"/>
        <v>21.402000000000001</v>
      </c>
      <c r="R31" s="23">
        <f t="shared" si="153"/>
        <v>24.469999999999995</v>
      </c>
      <c r="S31" s="23">
        <f t="shared" si="153"/>
        <v>27.978999999999996</v>
      </c>
      <c r="T31" s="23">
        <f t="shared" si="153"/>
        <v>31.292999999999999</v>
      </c>
      <c r="U31" s="23">
        <f t="shared" si="153"/>
        <v>34.829000000000001</v>
      </c>
      <c r="V31" s="23">
        <f t="shared" si="153"/>
        <v>37.951999999999998</v>
      </c>
      <c r="W31" s="23">
        <f t="shared" si="153"/>
        <v>42.256</v>
      </c>
      <c r="X31" s="23">
        <f t="shared" si="153"/>
        <v>45.841000000000001</v>
      </c>
      <c r="Y31" s="23">
        <f t="shared" si="153"/>
        <v>50.561</v>
      </c>
      <c r="Z31" s="23">
        <f t="shared" si="153"/>
        <v>53.936000000000007</v>
      </c>
      <c r="AA31" s="23">
        <f t="shared" si="153"/>
        <v>57.378999999999991</v>
      </c>
      <c r="AB31" s="23">
        <f t="shared" si="153"/>
        <v>58.77000000000001</v>
      </c>
      <c r="AC31" s="23">
        <f t="shared" si="153"/>
        <v>62.300999999999995</v>
      </c>
      <c r="AD31" s="23">
        <f t="shared" si="153"/>
        <v>66.27600000000001</v>
      </c>
      <c r="AE31" s="23">
        <f t="shared" si="153"/>
        <v>70.438000000000017</v>
      </c>
      <c r="AF31" s="23">
        <f t="shared" si="153"/>
        <v>71.897999999999996</v>
      </c>
      <c r="AG31" s="23">
        <f t="shared" ref="AG31" si="154">+IFERROR(AG278+AG311+AG318+AG325+AG332,"n/a")</f>
        <v>76.942999999999998</v>
      </c>
      <c r="AH31" s="23">
        <f t="shared" ref="AH31:AI31" si="155">AH33*AH12</f>
        <v>81.768591780821922</v>
      </c>
      <c r="AI31" s="23">
        <f t="shared" si="155"/>
        <v>85.050345205479445</v>
      </c>
      <c r="AJ31" s="23">
        <f t="shared" ref="AJ31:AM31" si="156">AJ33*AJ12</f>
        <v>86.927375342465751</v>
      </c>
      <c r="AK31" s="23">
        <f t="shared" si="156"/>
        <v>91.575618630136987</v>
      </c>
      <c r="AL31" s="23">
        <f t="shared" si="156"/>
        <v>95.985692054794512</v>
      </c>
      <c r="AM31" s="23">
        <f t="shared" si="156"/>
        <v>99.176705753424656</v>
      </c>
      <c r="AO31" s="125"/>
      <c r="AP31" s="125"/>
      <c r="AQ31" s="23">
        <f t="shared" ref="AQ31:AW31" si="157">+IFERROR(AQ278+AQ311+AQ318+AQ325+AQ332,"n/a")</f>
        <v>28.350999999999999</v>
      </c>
      <c r="AR31" s="23">
        <f t="shared" si="157"/>
        <v>45.835999999999999</v>
      </c>
      <c r="AS31" s="23">
        <f t="shared" si="157"/>
        <v>69.578000000000003</v>
      </c>
      <c r="AT31" s="23">
        <f t="shared" si="157"/>
        <v>95.031999999999996</v>
      </c>
      <c r="AU31" s="23">
        <f t="shared" si="157"/>
        <v>146.33000000000001</v>
      </c>
      <c r="AV31" s="23">
        <f t="shared" si="157"/>
        <v>207.71700000000001</v>
      </c>
      <c r="AW31" s="23">
        <f t="shared" si="157"/>
        <v>257.78500000000003</v>
      </c>
      <c r="AX31" s="23">
        <f>+SUM(AF31:AI31)</f>
        <v>315.65993698630137</v>
      </c>
      <c r="AY31" s="23">
        <f>+SUM(AJ31:AM31)</f>
        <v>373.66539178082189</v>
      </c>
      <c r="AZ31" s="23"/>
    </row>
    <row r="32" spans="1:52" ht="10.15" x14ac:dyDescent="0.2">
      <c r="B32" s="13" t="s">
        <v>18</v>
      </c>
      <c r="H32" s="120" t="str">
        <f t="shared" ref="H32" si="158">IFERROR(H31/D31-1,"n/a")</f>
        <v>n/a</v>
      </c>
      <c r="I32" s="120" t="str">
        <f t="shared" ref="I32" si="159">IFERROR(I31/E31-1,"n/a")</f>
        <v>n/a</v>
      </c>
      <c r="J32" s="120" t="str">
        <f t="shared" ref="J32" si="160">IFERROR(J31/F31-1,"n/a")</f>
        <v>n/a</v>
      </c>
      <c r="K32" s="120" t="str">
        <f t="shared" ref="K32" si="161">IFERROR(K31/G31-1,"n/a")</f>
        <v>n/a</v>
      </c>
      <c r="L32" s="120" t="str">
        <f t="shared" ref="L32" si="162">IFERROR(L31/H31-1,"n/a")</f>
        <v>n/a</v>
      </c>
      <c r="M32" s="120" t="str">
        <f t="shared" ref="M32" si="163">IFERROR(M31/I31-1,"n/a")</f>
        <v>n/a</v>
      </c>
      <c r="N32" s="120" t="str">
        <f t="shared" ref="N32" si="164">IFERROR(N31/J31-1,"n/a")</f>
        <v>n/a</v>
      </c>
      <c r="O32" s="120" t="str">
        <f t="shared" ref="O32" si="165">IFERROR(O31/K31-1,"n/a")</f>
        <v>n/a</v>
      </c>
      <c r="P32" s="15">
        <f>IFERROR(P31/L31-1,"n/a")</f>
        <v>0.4029010464962246</v>
      </c>
      <c r="Q32" s="15">
        <f t="shared" ref="Q32" si="166">IFERROR(Q31/M31-1,"n/a")</f>
        <v>0.27173331748767016</v>
      </c>
      <c r="R32" s="15">
        <f t="shared" ref="R32" si="167">IFERROR(R31/N31-1,"n/a")</f>
        <v>0.35283060592658089</v>
      </c>
      <c r="S32" s="15">
        <f t="shared" ref="S32" si="168">IFERROR(S31/O31-1,"n/a")</f>
        <v>0.43019986709604829</v>
      </c>
      <c r="T32" s="15">
        <f t="shared" ref="T32" si="169">IFERROR(T31/P31-1,"n/a")</f>
        <v>0.47740899863084851</v>
      </c>
      <c r="U32" s="15">
        <f t="shared" ref="U32" si="170">IFERROR(U31/Q31-1,"n/a")</f>
        <v>0.62737127371273704</v>
      </c>
      <c r="V32" s="15">
        <f t="shared" ref="V32" si="171">IFERROR(V31/R31-1,"n/a")</f>
        <v>0.55096035962402956</v>
      </c>
      <c r="W32" s="15">
        <f t="shared" ref="W32" si="172">IFERROR(W31/S31-1,"n/a")</f>
        <v>0.51027556381571926</v>
      </c>
      <c r="X32" s="15">
        <f t="shared" ref="X32:AG32" si="173">IFERROR(X31/T31-1,"n/a")</f>
        <v>0.46489630268750215</v>
      </c>
      <c r="Y32" s="15">
        <f t="shared" si="173"/>
        <v>0.45169255505469574</v>
      </c>
      <c r="Z32" s="15">
        <f t="shared" si="173"/>
        <v>0.42116357504215873</v>
      </c>
      <c r="AA32" s="15">
        <f t="shared" si="173"/>
        <v>0.35789000378644431</v>
      </c>
      <c r="AB32" s="15">
        <f t="shared" si="173"/>
        <v>0.2820400951113633</v>
      </c>
      <c r="AC32" s="15">
        <f t="shared" si="173"/>
        <v>0.23219477462866633</v>
      </c>
      <c r="AD32" s="15">
        <f t="shared" si="173"/>
        <v>0.228789676653812</v>
      </c>
      <c r="AE32" s="15">
        <f t="shared" si="173"/>
        <v>0.22759197615852544</v>
      </c>
      <c r="AF32" s="15">
        <f t="shared" si="173"/>
        <v>0.22337927514037736</v>
      </c>
      <c r="AG32" s="15">
        <f t="shared" si="173"/>
        <v>0.23502030465000567</v>
      </c>
      <c r="AH32" s="15">
        <f t="shared" ref="AH32" si="174">IFERROR(AH31/AD31-1,"n/a")</f>
        <v>0.23375870271021038</v>
      </c>
      <c r="AI32" s="15">
        <f t="shared" ref="AI32" si="175">IFERROR(AI31/AE31-1,"n/a")</f>
        <v>0.20744974595359644</v>
      </c>
      <c r="AJ32" s="15">
        <f t="shared" ref="AJ32" si="176">IFERROR(AJ31/AF31-1,"n/a")</f>
        <v>0.20903746060343487</v>
      </c>
      <c r="AK32" s="15">
        <f t="shared" ref="AK32" si="177">IFERROR(AK31/AG31-1,"n/a")</f>
        <v>0.1901747869219681</v>
      </c>
      <c r="AL32" s="15">
        <f t="shared" ref="AL32" si="178">IFERROR(AL31/AH31-1,"n/a")</f>
        <v>0.17386994155507862</v>
      </c>
      <c r="AM32" s="15">
        <f t="shared" ref="AM32" si="179">IFERROR(AM31/AI31-1,"n/a")</f>
        <v>0.16609410007468273</v>
      </c>
      <c r="AP32" s="15"/>
      <c r="AQ32" s="15"/>
      <c r="AR32" s="15">
        <f t="shared" ref="AR32" si="180">IFERROR(AR31/AQ31-1,"n/a")</f>
        <v>0.6167330958343622</v>
      </c>
      <c r="AS32" s="15">
        <f t="shared" ref="AS32" si="181">IFERROR(AS31/AR31-1,"n/a")</f>
        <v>0.51797713587573102</v>
      </c>
      <c r="AT32" s="15">
        <f t="shared" ref="AT32" si="182">IFERROR(AT31/AS31-1,"n/a")</f>
        <v>0.36583402799735532</v>
      </c>
      <c r="AU32" s="15">
        <f t="shared" ref="AU32:AV32" si="183">IFERROR(AU31/AT31-1,"n/a")</f>
        <v>0.53979712096977872</v>
      </c>
      <c r="AV32" s="15">
        <f t="shared" si="183"/>
        <v>0.41951069500444205</v>
      </c>
      <c r="AW32" s="15">
        <f t="shared" ref="AW32:AY32" si="184">IFERROR(AW31/AV31-1,"n/a")</f>
        <v>0.24103949123085733</v>
      </c>
      <c r="AX32" s="15">
        <f t="shared" si="184"/>
        <v>0.2245085516469203</v>
      </c>
      <c r="AY32" s="15">
        <f t="shared" si="184"/>
        <v>0.18375931817105373</v>
      </c>
      <c r="AZ32" s="15"/>
    </row>
    <row r="33" spans="2:52" ht="10.15" x14ac:dyDescent="0.2">
      <c r="B33" s="13" t="s">
        <v>20</v>
      </c>
      <c r="D33" s="121" t="str">
        <f t="shared" ref="D33:Y33" si="185">+IFERROR(D31/D12,"n/a")</f>
        <v>n/a</v>
      </c>
      <c r="E33" s="121" t="str">
        <f t="shared" si="185"/>
        <v>n/a</v>
      </c>
      <c r="F33" s="121" t="str">
        <f t="shared" si="185"/>
        <v>n/a</v>
      </c>
      <c r="G33" s="121" t="str">
        <f t="shared" si="185"/>
        <v>n/a</v>
      </c>
      <c r="H33" s="121" t="str">
        <f t="shared" si="185"/>
        <v>n/a</v>
      </c>
      <c r="I33" s="121" t="str">
        <f t="shared" si="185"/>
        <v>n/a</v>
      </c>
      <c r="J33" s="121" t="str">
        <f t="shared" si="185"/>
        <v>n/a</v>
      </c>
      <c r="K33" s="121" t="str">
        <f t="shared" si="185"/>
        <v>n/a</v>
      </c>
      <c r="L33" s="121">
        <f t="shared" si="185"/>
        <v>0.7411516371312159</v>
      </c>
      <c r="M33" s="121">
        <f t="shared" si="185"/>
        <v>0.76066714879768582</v>
      </c>
      <c r="N33" s="121">
        <f t="shared" si="185"/>
        <v>0.75901137174268818</v>
      </c>
      <c r="O33" s="121">
        <f t="shared" si="185"/>
        <v>0.75875576930535626</v>
      </c>
      <c r="P33" s="121">
        <f t="shared" si="185"/>
        <v>0.76226292870766899</v>
      </c>
      <c r="Q33" s="121">
        <f t="shared" si="185"/>
        <v>0.7522142555883593</v>
      </c>
      <c r="R33" s="121">
        <f t="shared" si="185"/>
        <v>0.76003230214933526</v>
      </c>
      <c r="S33" s="121">
        <f t="shared" si="185"/>
        <v>0.76781009879253559</v>
      </c>
      <c r="T33" s="121">
        <f t="shared" si="185"/>
        <v>0.78236411820591034</v>
      </c>
      <c r="U33" s="121">
        <f t="shared" si="185"/>
        <v>0.77389178980113316</v>
      </c>
      <c r="V33" s="121">
        <f t="shared" si="185"/>
        <v>0.77056769268253056</v>
      </c>
      <c r="W33" s="121">
        <f t="shared" si="185"/>
        <v>0.78621664868083208</v>
      </c>
      <c r="X33" s="121">
        <f t="shared" si="185"/>
        <v>0.80242613079400649</v>
      </c>
      <c r="Y33" s="121">
        <f t="shared" si="185"/>
        <v>0.80755470372145022</v>
      </c>
      <c r="Z33" s="121">
        <f t="shared" ref="Z33:AA33" si="186">+IFERROR(Z31/Z12,"n/a")</f>
        <v>0.81978325961728449</v>
      </c>
      <c r="AA33" s="121">
        <f t="shared" si="186"/>
        <v>0.83417896343679576</v>
      </c>
      <c r="AB33" s="121">
        <f t="shared" ref="AB33:AC33" si="187">+IFERROR(AB31/AB12,"n/a")</f>
        <v>0.82926485113588266</v>
      </c>
      <c r="AC33" s="121">
        <f t="shared" si="187"/>
        <v>0.83409422569718705</v>
      </c>
      <c r="AD33" s="121">
        <f t="shared" ref="AD33" si="188">+IFERROR(AD31/AD12,"n/a")</f>
        <v>0.84194212251327538</v>
      </c>
      <c r="AE33" s="121">
        <f t="shared" ref="AE33" si="189">+IFERROR(AE31/AE12,"n/a")</f>
        <v>0.84464110127826952</v>
      </c>
      <c r="AF33" s="121">
        <f t="shared" ref="AF33:AG33" si="190">+IFERROR(AF31/AF12,"n/a")</f>
        <v>0.83785484547615718</v>
      </c>
      <c r="AG33" s="121">
        <f t="shared" si="190"/>
        <v>0.8459830018361536</v>
      </c>
      <c r="AH33" s="100">
        <v>0.84</v>
      </c>
      <c r="AI33" s="100">
        <v>0.84</v>
      </c>
      <c r="AJ33" s="100">
        <v>0.84399999999999997</v>
      </c>
      <c r="AK33" s="100">
        <v>0.84399999999999997</v>
      </c>
      <c r="AL33" s="100">
        <v>0.84399999999999997</v>
      </c>
      <c r="AM33" s="100">
        <v>0.84399999999999997</v>
      </c>
      <c r="AN33" s="101"/>
      <c r="AO33" s="99"/>
      <c r="AP33" s="99"/>
      <c r="AQ33" s="99">
        <f t="shared" ref="AQ33:AU33" si="191">+AQ31/AQ12</f>
        <v>0.73817272892962227</v>
      </c>
      <c r="AR33" s="99">
        <f t="shared" si="191"/>
        <v>0.72158813620692364</v>
      </c>
      <c r="AS33" s="99">
        <f t="shared" si="191"/>
        <v>0.75538763855866431</v>
      </c>
      <c r="AT33" s="99">
        <f t="shared" si="191"/>
        <v>0.76101701701701696</v>
      </c>
      <c r="AU33" s="99">
        <f t="shared" si="191"/>
        <v>0.77834692368657621</v>
      </c>
      <c r="AV33" s="99">
        <f t="shared" ref="AV33" si="192">+AV31/AV12</f>
        <v>0.8167673288349927</v>
      </c>
      <c r="AW33" s="99">
        <f t="shared" ref="AW33:AX33" si="193">+AW31/AW12</f>
        <v>0.83784837897131714</v>
      </c>
      <c r="AX33" s="99">
        <f t="shared" si="193"/>
        <v>0.84095930014967668</v>
      </c>
      <c r="AY33" s="99">
        <f t="shared" ref="AY33" si="194">+AY31/AY12</f>
        <v>0.84399999999999986</v>
      </c>
      <c r="AZ33" s="99"/>
    </row>
    <row r="34" spans="2:52" ht="10.15" x14ac:dyDescent="0.2">
      <c r="AA34" s="16"/>
      <c r="AB34" s="16"/>
      <c r="AC34" s="16"/>
      <c r="AD34" s="16"/>
      <c r="AE34" s="16"/>
      <c r="AF34" s="16"/>
      <c r="AG34" s="16"/>
      <c r="AH34" s="16"/>
      <c r="AI34" s="16"/>
      <c r="AJ34" s="16"/>
      <c r="AK34" s="16"/>
      <c r="AL34" s="16"/>
      <c r="AM34" s="16"/>
    </row>
    <row r="35" spans="2:52" ht="10.15" x14ac:dyDescent="0.2">
      <c r="B35" t="s">
        <v>21</v>
      </c>
      <c r="D35" s="113" t="str">
        <f>+IFERROR(D280-D312,"n/a")</f>
        <v>n/a</v>
      </c>
      <c r="E35" s="113" t="str">
        <f t="shared" ref="E35:K35" si="195">+IFERROR(E280-E312,"n/a")</f>
        <v>n/a</v>
      </c>
      <c r="F35" s="113" t="str">
        <f t="shared" si="195"/>
        <v>n/a</v>
      </c>
      <c r="G35" s="113" t="str">
        <f t="shared" si="195"/>
        <v>n/a</v>
      </c>
      <c r="H35" s="113" t="str">
        <f t="shared" si="195"/>
        <v>n/a</v>
      </c>
      <c r="I35" s="113" t="str">
        <f t="shared" si="195"/>
        <v>n/a</v>
      </c>
      <c r="J35" s="113" t="str">
        <f t="shared" si="195"/>
        <v>n/a</v>
      </c>
      <c r="K35" s="113" t="str">
        <f t="shared" si="195"/>
        <v>n/a</v>
      </c>
      <c r="L35" s="10">
        <f>+IFERROR(L280-L312-L319-L326-L333,"n/a")</f>
        <v>8.5559999999999992</v>
      </c>
      <c r="M35" s="10">
        <f t="shared" ref="M35:AF35" si="196">+IFERROR(M280-M312-M319-M326-M333,"n/a")</f>
        <v>9.8729999999999993</v>
      </c>
      <c r="N35" s="10">
        <f t="shared" si="196"/>
        <v>10.282</v>
      </c>
      <c r="O35" s="10">
        <f t="shared" si="196"/>
        <v>12.954999999999998</v>
      </c>
      <c r="P35" s="10">
        <f t="shared" si="196"/>
        <v>12.850000000000001</v>
      </c>
      <c r="Q35" s="10">
        <f t="shared" si="196"/>
        <v>12.677000000000001</v>
      </c>
      <c r="R35" s="10">
        <f t="shared" si="196"/>
        <v>14.049000000000001</v>
      </c>
      <c r="S35" s="10">
        <f t="shared" si="196"/>
        <v>14.776</v>
      </c>
      <c r="T35" s="10">
        <f t="shared" si="196"/>
        <v>16.266999999999999</v>
      </c>
      <c r="U35" s="10">
        <f t="shared" si="196"/>
        <v>18.245999999999999</v>
      </c>
      <c r="V35" s="10">
        <f t="shared" si="196"/>
        <v>20.573999999999998</v>
      </c>
      <c r="W35" s="10">
        <f t="shared" si="196"/>
        <v>25.533999999999999</v>
      </c>
      <c r="X35" s="10">
        <f t="shared" si="196"/>
        <v>25.696999999999999</v>
      </c>
      <c r="Y35" s="10">
        <f t="shared" si="196"/>
        <v>30.616999999999997</v>
      </c>
      <c r="Z35" s="10">
        <f t="shared" si="196"/>
        <v>30.38</v>
      </c>
      <c r="AA35" s="10">
        <f t="shared" si="196"/>
        <v>37.959999999999994</v>
      </c>
      <c r="AB35" s="10">
        <f t="shared" si="196"/>
        <v>34.968000000000004</v>
      </c>
      <c r="AC35" s="10">
        <f t="shared" si="196"/>
        <v>29.396999999999998</v>
      </c>
      <c r="AD35" s="10">
        <f t="shared" si="196"/>
        <v>29.272000000000002</v>
      </c>
      <c r="AE35" s="10">
        <f t="shared" si="196"/>
        <v>30.157</v>
      </c>
      <c r="AF35" s="10">
        <f t="shared" si="196"/>
        <v>31.026999999999997</v>
      </c>
      <c r="AG35" s="10">
        <f t="shared" ref="AG35" si="197">+IFERROR(AG280-AG312-AG319-AG326-AG333,"n/a")</f>
        <v>33.790999999999997</v>
      </c>
      <c r="AH35" s="10">
        <f>AH49*AH12</f>
        <v>35.5304</v>
      </c>
      <c r="AI35" s="10">
        <f>AI49*AI12</f>
        <v>36.956400000000002</v>
      </c>
      <c r="AJ35" s="10">
        <f t="shared" ref="AJ35:AM35" si="198">AJ49*AJ12</f>
        <v>36.563054794520546</v>
      </c>
      <c r="AK35" s="10">
        <f t="shared" si="198"/>
        <v>38.246926027397258</v>
      </c>
      <c r="AL35" s="10">
        <f t="shared" si="198"/>
        <v>39.804493150684927</v>
      </c>
      <c r="AM35" s="10">
        <f t="shared" si="198"/>
        <v>41.12778082191781</v>
      </c>
      <c r="AQ35" s="10">
        <f>+IFERROR(AQ280-AQ312-AQ319-AQ326-AQ333,"n/a")</f>
        <v>14.093</v>
      </c>
      <c r="AR35" s="10">
        <f t="shared" ref="AR35:AW35" si="199">+IFERROR(AR280-AR312-AR319-AR326-AR333,"n/a")</f>
        <v>27.338999999999999</v>
      </c>
      <c r="AS35" s="10">
        <f t="shared" si="199"/>
        <v>41.665999999999997</v>
      </c>
      <c r="AT35" s="10">
        <f t="shared" si="199"/>
        <v>54.352000000000004</v>
      </c>
      <c r="AU35" s="10">
        <f t="shared" si="199"/>
        <v>80.620999999999995</v>
      </c>
      <c r="AV35" s="10">
        <f t="shared" si="199"/>
        <v>124.65399999999998</v>
      </c>
      <c r="AW35" s="10">
        <f t="shared" si="199"/>
        <v>123.794</v>
      </c>
      <c r="AX35" s="10">
        <f>+SUM(AF35:AI35)</f>
        <v>137.3048</v>
      </c>
      <c r="AY35" s="10">
        <f t="shared" ref="AY35:AY40" si="200">+SUM(AJ35:AM35)</f>
        <v>155.74225479452053</v>
      </c>
      <c r="AZ35" s="10"/>
    </row>
    <row r="36" spans="2:52" ht="10.15" x14ac:dyDescent="0.2">
      <c r="B36" t="s">
        <v>22</v>
      </c>
      <c r="D36" s="113" t="str">
        <f t="shared" ref="D36:K36" si="201">+IFERROR(D281-D313,"n/a")</f>
        <v>n/a</v>
      </c>
      <c r="E36" s="113" t="str">
        <f t="shared" si="201"/>
        <v>n/a</v>
      </c>
      <c r="F36" s="113" t="str">
        <f t="shared" si="201"/>
        <v>n/a</v>
      </c>
      <c r="G36" s="113" t="str">
        <f t="shared" si="201"/>
        <v>n/a</v>
      </c>
      <c r="H36" s="113" t="str">
        <f t="shared" si="201"/>
        <v>n/a</v>
      </c>
      <c r="I36" s="113" t="str">
        <f t="shared" si="201"/>
        <v>n/a</v>
      </c>
      <c r="J36" s="113" t="str">
        <f t="shared" si="201"/>
        <v>n/a</v>
      </c>
      <c r="K36" s="113" t="str">
        <f t="shared" si="201"/>
        <v>n/a</v>
      </c>
      <c r="L36" s="10">
        <f>+IFERROR(L281-L313-L320-L327-L334,"n/a")</f>
        <v>3.1930000000000001</v>
      </c>
      <c r="M36" s="10">
        <f t="shared" ref="M36:AF36" si="202">+IFERROR(M281-M313-M320-M327-M334,"n/a")</f>
        <v>3.3660000000000001</v>
      </c>
      <c r="N36" s="10">
        <f t="shared" si="202"/>
        <v>3.5259999999999998</v>
      </c>
      <c r="O36" s="10">
        <f t="shared" si="202"/>
        <v>4.0810000000000004</v>
      </c>
      <c r="P36" s="10">
        <f t="shared" si="202"/>
        <v>4.2080000000000002</v>
      </c>
      <c r="Q36" s="10">
        <f t="shared" si="202"/>
        <v>3.9720000000000004</v>
      </c>
      <c r="R36" s="10">
        <f t="shared" si="202"/>
        <v>4.1749999999999998</v>
      </c>
      <c r="S36" s="10">
        <f t="shared" si="202"/>
        <v>5.0600000000000005</v>
      </c>
      <c r="T36" s="10">
        <f t="shared" si="202"/>
        <v>5.2909999999999995</v>
      </c>
      <c r="U36" s="10">
        <f t="shared" si="202"/>
        <v>5.8960000000000008</v>
      </c>
      <c r="V36" s="10">
        <f t="shared" si="202"/>
        <v>6.1060000000000008</v>
      </c>
      <c r="W36" s="10">
        <f t="shared" si="202"/>
        <v>6.681</v>
      </c>
      <c r="X36" s="10">
        <f t="shared" si="202"/>
        <v>7.9889999999999999</v>
      </c>
      <c r="Y36" s="10">
        <f t="shared" si="202"/>
        <v>9.3129999999999988</v>
      </c>
      <c r="Z36" s="10">
        <f t="shared" si="202"/>
        <v>9.8049999999999997</v>
      </c>
      <c r="AA36" s="10">
        <f t="shared" si="202"/>
        <v>12.973999999999998</v>
      </c>
      <c r="AB36" s="10">
        <f t="shared" si="202"/>
        <v>13.537000000000001</v>
      </c>
      <c r="AC36" s="10">
        <f t="shared" si="202"/>
        <v>13.574</v>
      </c>
      <c r="AD36" s="10">
        <f t="shared" si="202"/>
        <v>13.495999999999999</v>
      </c>
      <c r="AE36" s="10">
        <f t="shared" si="202"/>
        <v>14.622</v>
      </c>
      <c r="AF36" s="10">
        <f t="shared" si="202"/>
        <v>16.667999999999999</v>
      </c>
      <c r="AG36" s="10">
        <f t="shared" ref="AG36" si="203">+IFERROR(AG281-AG313-AG320-AG327-AG334,"n/a")</f>
        <v>17.917000000000002</v>
      </c>
      <c r="AH36" s="109">
        <f>+AH50*AH12</f>
        <v>18.981994520547946</v>
      </c>
      <c r="AI36" s="109">
        <f>+AI50*AI12</f>
        <v>19.743830136986304</v>
      </c>
      <c r="AJ36" s="109">
        <f t="shared" ref="AJ36:AM36" si="204">+AJ50*AJ12</f>
        <v>19.568958904109589</v>
      </c>
      <c r="AK36" s="109">
        <f t="shared" si="204"/>
        <v>20.072854794520548</v>
      </c>
      <c r="AL36" s="109">
        <f t="shared" si="204"/>
        <v>20.755199999999999</v>
      </c>
      <c r="AM36" s="109">
        <f t="shared" si="204"/>
        <v>21.151430136986303</v>
      </c>
      <c r="AQ36" s="10">
        <f>+IFERROR(AQ281-AQ313-AQ320-AQ327-AQ334,"n/a")</f>
        <v>8.4149999999999991</v>
      </c>
      <c r="AR36" s="10">
        <f t="shared" ref="AR36:AW36" si="205">+IFERROR(AR281-AR313-AR320-AR327-AR334,"n/a")</f>
        <v>10.009</v>
      </c>
      <c r="AS36" s="10">
        <f t="shared" si="205"/>
        <v>14.166</v>
      </c>
      <c r="AT36" s="10">
        <f t="shared" si="205"/>
        <v>17.414999999999999</v>
      </c>
      <c r="AU36" s="10">
        <f t="shared" si="205"/>
        <v>23.973999999999997</v>
      </c>
      <c r="AV36" s="10">
        <f t="shared" si="205"/>
        <v>40.080999999999996</v>
      </c>
      <c r="AW36" s="10">
        <f t="shared" si="205"/>
        <v>55.228999999999999</v>
      </c>
      <c r="AX36" s="10">
        <f t="shared" ref="AX36:AX40" si="206">+SUM(AF36:AI36)</f>
        <v>73.310824657534255</v>
      </c>
      <c r="AY36" s="10">
        <f t="shared" si="200"/>
        <v>81.548443835616439</v>
      </c>
      <c r="AZ36" s="10"/>
    </row>
    <row r="37" spans="2:52" ht="12" x14ac:dyDescent="0.35">
      <c r="B37" t="s">
        <v>23</v>
      </c>
      <c r="D37" s="114" t="str">
        <f t="shared" ref="D37:K37" si="207">+IFERROR(D282-D314,"n/a")</f>
        <v>n/a</v>
      </c>
      <c r="E37" s="114" t="str">
        <f t="shared" si="207"/>
        <v>n/a</v>
      </c>
      <c r="F37" s="114" t="str">
        <f t="shared" si="207"/>
        <v>n/a</v>
      </c>
      <c r="G37" s="114" t="str">
        <f t="shared" si="207"/>
        <v>n/a</v>
      </c>
      <c r="H37" s="114" t="str">
        <f t="shared" si="207"/>
        <v>n/a</v>
      </c>
      <c r="I37" s="114" t="str">
        <f t="shared" si="207"/>
        <v>n/a</v>
      </c>
      <c r="J37" s="114" t="str">
        <f t="shared" si="207"/>
        <v>n/a</v>
      </c>
      <c r="K37" s="114" t="str">
        <f t="shared" si="207"/>
        <v>n/a</v>
      </c>
      <c r="L37" s="18">
        <f>+IFERROR(L282-L314-L321-L328-L335,"n/a")</f>
        <v>4.4530000000000003</v>
      </c>
      <c r="M37" s="18">
        <f t="shared" ref="M37:AF37" si="208">+IFERROR(M282-M314-M321-M328-M335,"n/a")</f>
        <v>4.7960000000000003</v>
      </c>
      <c r="N37" s="18">
        <f t="shared" si="208"/>
        <v>5.7149999999999999</v>
      </c>
      <c r="O37" s="18">
        <f t="shared" si="208"/>
        <v>6.5010000000000003</v>
      </c>
      <c r="P37" s="18">
        <f t="shared" si="208"/>
        <v>5.7889999999999997</v>
      </c>
      <c r="Q37" s="18">
        <f t="shared" si="208"/>
        <v>6.4220000000000006</v>
      </c>
      <c r="R37" s="18">
        <f t="shared" si="208"/>
        <v>6.7430000000000003</v>
      </c>
      <c r="S37" s="18">
        <f t="shared" si="208"/>
        <v>9.3079999999999998</v>
      </c>
      <c r="T37" s="18">
        <f t="shared" si="208"/>
        <v>7.5750000000000002</v>
      </c>
      <c r="U37" s="18">
        <f t="shared" si="208"/>
        <v>10.077999999999999</v>
      </c>
      <c r="V37" s="18">
        <f t="shared" si="208"/>
        <v>10.92</v>
      </c>
      <c r="W37" s="18">
        <f t="shared" si="208"/>
        <v>12.686</v>
      </c>
      <c r="X37" s="18">
        <f t="shared" si="208"/>
        <v>13.524000000000001</v>
      </c>
      <c r="Y37" s="18">
        <f t="shared" si="208"/>
        <v>12.67</v>
      </c>
      <c r="Z37" s="18">
        <f t="shared" si="208"/>
        <v>15.565000000000001</v>
      </c>
      <c r="AA37" s="18">
        <f t="shared" si="208"/>
        <v>17.058999999999997</v>
      </c>
      <c r="AB37" s="18">
        <f t="shared" si="208"/>
        <v>16.731999999999999</v>
      </c>
      <c r="AC37" s="18">
        <f t="shared" si="208"/>
        <v>17.037000000000003</v>
      </c>
      <c r="AD37" s="18">
        <f t="shared" si="208"/>
        <v>15.999999999999998</v>
      </c>
      <c r="AE37" s="18">
        <f t="shared" si="208"/>
        <v>17.352</v>
      </c>
      <c r="AF37" s="18">
        <f t="shared" si="208"/>
        <v>14.466000000000001</v>
      </c>
      <c r="AG37" s="18">
        <f t="shared" ref="AG37" si="209">+IFERROR(AG282-AG314-AG321-AG328-AG335,"n/a")</f>
        <v>13.048</v>
      </c>
      <c r="AH37" s="28">
        <v>15</v>
      </c>
      <c r="AI37" s="28">
        <v>16</v>
      </c>
      <c r="AJ37" s="28">
        <v>15</v>
      </c>
      <c r="AK37" s="28">
        <v>15</v>
      </c>
      <c r="AL37" s="28">
        <v>15</v>
      </c>
      <c r="AM37" s="28">
        <v>16</v>
      </c>
      <c r="AN37" s="108"/>
      <c r="AO37" s="108"/>
      <c r="AP37" s="108"/>
      <c r="AQ37" s="18">
        <f>+IFERROR(AQ282-AQ314-AQ321-AQ328-AQ335,"n/a")</f>
        <v>8.9290000000000003</v>
      </c>
      <c r="AR37" s="18">
        <f t="shared" ref="AR37:AW37" si="210">+IFERROR(AR282-AR314-AR321-AR328-AR335,"n/a")</f>
        <v>14.853</v>
      </c>
      <c r="AS37" s="18">
        <f t="shared" si="210"/>
        <v>21.465</v>
      </c>
      <c r="AT37" s="18">
        <f t="shared" si="210"/>
        <v>28.262</v>
      </c>
      <c r="AU37" s="18">
        <f t="shared" si="210"/>
        <v>41.259</v>
      </c>
      <c r="AV37" s="18">
        <f t="shared" si="210"/>
        <v>58.818000000000005</v>
      </c>
      <c r="AW37" s="18">
        <f t="shared" si="210"/>
        <v>67.120999999999995</v>
      </c>
      <c r="AX37" s="18">
        <f t="shared" si="206"/>
        <v>58.514000000000003</v>
      </c>
      <c r="AY37" s="18">
        <f t="shared" si="200"/>
        <v>61</v>
      </c>
      <c r="AZ37" s="18"/>
    </row>
    <row r="38" spans="2:52" ht="10.15" x14ac:dyDescent="0.2">
      <c r="B38" s="12" t="s">
        <v>249</v>
      </c>
      <c r="D38" s="113" t="str">
        <f>+IFERROR(D35+D36+D37,"n/a")</f>
        <v>n/a</v>
      </c>
      <c r="E38" s="113" t="str">
        <f t="shared" ref="E38:Y38" si="211">+IFERROR(E35+E36+E37,"n/a")</f>
        <v>n/a</v>
      </c>
      <c r="F38" s="113" t="str">
        <f t="shared" si="211"/>
        <v>n/a</v>
      </c>
      <c r="G38" s="113" t="str">
        <f t="shared" si="211"/>
        <v>n/a</v>
      </c>
      <c r="H38" s="113" t="str">
        <f t="shared" si="211"/>
        <v>n/a</v>
      </c>
      <c r="I38" s="113" t="str">
        <f t="shared" si="211"/>
        <v>n/a</v>
      </c>
      <c r="J38" s="113" t="str">
        <f t="shared" si="211"/>
        <v>n/a</v>
      </c>
      <c r="K38" s="113" t="str">
        <f t="shared" si="211"/>
        <v>n/a</v>
      </c>
      <c r="L38" s="113">
        <f t="shared" si="211"/>
        <v>16.201999999999998</v>
      </c>
      <c r="M38" s="113">
        <f t="shared" si="211"/>
        <v>18.035</v>
      </c>
      <c r="N38" s="113">
        <f t="shared" si="211"/>
        <v>19.523</v>
      </c>
      <c r="O38" s="113">
        <f t="shared" si="211"/>
        <v>23.536999999999999</v>
      </c>
      <c r="P38" s="113">
        <f t="shared" si="211"/>
        <v>22.847000000000001</v>
      </c>
      <c r="Q38" s="113">
        <f t="shared" si="211"/>
        <v>23.071000000000002</v>
      </c>
      <c r="R38" s="113">
        <f t="shared" si="211"/>
        <v>24.966999999999999</v>
      </c>
      <c r="S38" s="113">
        <f t="shared" si="211"/>
        <v>29.143999999999998</v>
      </c>
      <c r="T38" s="113">
        <f t="shared" si="211"/>
        <v>29.132999999999999</v>
      </c>
      <c r="U38" s="113">
        <f t="shared" si="211"/>
        <v>34.22</v>
      </c>
      <c r="V38" s="113">
        <f t="shared" si="211"/>
        <v>37.6</v>
      </c>
      <c r="W38" s="113">
        <f t="shared" si="211"/>
        <v>44.900999999999996</v>
      </c>
      <c r="X38" s="113">
        <f t="shared" si="211"/>
        <v>47.21</v>
      </c>
      <c r="Y38" s="113">
        <f t="shared" si="211"/>
        <v>52.599999999999994</v>
      </c>
      <c r="Z38" s="113">
        <f t="shared" ref="Z38:AA38" si="212">+IFERROR(Z35+Z36+Z37,"n/a")</f>
        <v>55.75</v>
      </c>
      <c r="AA38" s="113">
        <f t="shared" si="212"/>
        <v>67.992999999999995</v>
      </c>
      <c r="AB38" s="113">
        <f t="shared" ref="AB38:AC38" si="213">+IFERROR(AB35+AB36+AB37,"n/a")</f>
        <v>65.236999999999995</v>
      </c>
      <c r="AC38" s="113">
        <f t="shared" si="213"/>
        <v>60.007999999999996</v>
      </c>
      <c r="AD38" s="113">
        <f t="shared" ref="AD38" si="214">+IFERROR(AD35+AD36+AD37,"n/a")</f>
        <v>58.768000000000001</v>
      </c>
      <c r="AE38" s="113">
        <f t="shared" ref="AE38:AF38" si="215">+IFERROR(AE35+AE36+AE37,"n/a")</f>
        <v>62.131</v>
      </c>
      <c r="AF38" s="113">
        <f t="shared" si="215"/>
        <v>62.160999999999994</v>
      </c>
      <c r="AG38" s="113">
        <f t="shared" ref="AG38" si="216">+IFERROR(AG35+AG36+AG37,"n/a")</f>
        <v>64.756</v>
      </c>
      <c r="AH38" s="113">
        <f t="shared" ref="AH38:AI38" si="217">+IFERROR(AH35+AH36+AH37,"n/a")</f>
        <v>69.512394520547943</v>
      </c>
      <c r="AI38" s="113">
        <f t="shared" si="217"/>
        <v>72.700230136986306</v>
      </c>
      <c r="AJ38" s="113">
        <f t="shared" ref="AJ38:AM38" si="218">+IFERROR(AJ35+AJ36+AJ37,"n/a")</f>
        <v>71.132013698630132</v>
      </c>
      <c r="AK38" s="113">
        <f t="shared" si="218"/>
        <v>73.319780821917803</v>
      </c>
      <c r="AL38" s="113">
        <f t="shared" si="218"/>
        <v>75.559693150684922</v>
      </c>
      <c r="AM38" s="113">
        <f t="shared" si="218"/>
        <v>78.279210958904116</v>
      </c>
      <c r="AQ38" s="113">
        <f t="shared" ref="AQ38" si="219">+IFERROR(AQ35+AQ36+AQ37,"n/a")</f>
        <v>31.436999999999998</v>
      </c>
      <c r="AR38" s="113">
        <f t="shared" ref="AR38" si="220">+IFERROR(AR35+AR36+AR37,"n/a")</f>
        <v>52.201000000000001</v>
      </c>
      <c r="AS38" s="113">
        <f t="shared" ref="AS38" si="221">+IFERROR(AS35+AS36+AS37,"n/a")</f>
        <v>77.296999999999997</v>
      </c>
      <c r="AT38" s="113">
        <f t="shared" ref="AT38" si="222">+IFERROR(AT35+AT36+AT37,"n/a")</f>
        <v>100.029</v>
      </c>
      <c r="AU38" s="113">
        <f t="shared" ref="AU38:AV38" si="223">+IFERROR(AU35+AU36+AU37,"n/a")</f>
        <v>145.85399999999998</v>
      </c>
      <c r="AV38" s="113">
        <f t="shared" si="223"/>
        <v>223.553</v>
      </c>
      <c r="AW38" s="10">
        <f t="shared" ref="AW38:AW40" si="224">+SUM(AB38:AE38)</f>
        <v>246.14399999999998</v>
      </c>
      <c r="AX38" s="10">
        <f t="shared" si="206"/>
        <v>269.12962465753424</v>
      </c>
      <c r="AY38" s="10">
        <f t="shared" si="200"/>
        <v>298.29069863013694</v>
      </c>
      <c r="AZ38" s="10"/>
    </row>
    <row r="39" spans="2:52" ht="12" hidden="1" outlineLevel="1" x14ac:dyDescent="0.35">
      <c r="B39" t="s">
        <v>248</v>
      </c>
      <c r="D39" s="114" t="str">
        <f>+D283</f>
        <v>n/a</v>
      </c>
      <c r="E39" s="114" t="str">
        <f t="shared" ref="E39:Y39" si="225">+E283</f>
        <v>n/a</v>
      </c>
      <c r="F39" s="114" t="str">
        <f t="shared" si="225"/>
        <v>n/a</v>
      </c>
      <c r="G39" s="114" t="str">
        <f t="shared" si="225"/>
        <v>n/a</v>
      </c>
      <c r="H39" s="114" t="str">
        <f t="shared" si="225"/>
        <v>n/a</v>
      </c>
      <c r="I39" s="114" t="str">
        <f t="shared" si="225"/>
        <v>n/a</v>
      </c>
      <c r="J39" s="114" t="str">
        <f t="shared" si="225"/>
        <v>n/a</v>
      </c>
      <c r="K39" s="114" t="str">
        <f t="shared" si="225"/>
        <v>n/a</v>
      </c>
      <c r="L39" s="114">
        <f t="shared" si="225"/>
        <v>0</v>
      </c>
      <c r="M39" s="114">
        <f t="shared" si="225"/>
        <v>0</v>
      </c>
      <c r="N39" s="114">
        <f t="shared" si="225"/>
        <v>0</v>
      </c>
      <c r="O39" s="114">
        <f t="shared" si="225"/>
        <v>0</v>
      </c>
      <c r="P39" s="114">
        <f t="shared" si="225"/>
        <v>0</v>
      </c>
      <c r="Q39" s="114">
        <f t="shared" si="225"/>
        <v>0</v>
      </c>
      <c r="R39" s="114">
        <f t="shared" si="225"/>
        <v>0</v>
      </c>
      <c r="S39" s="114">
        <f t="shared" si="225"/>
        <v>0</v>
      </c>
      <c r="T39" s="114">
        <f t="shared" si="225"/>
        <v>0</v>
      </c>
      <c r="U39" s="114">
        <f t="shared" si="225"/>
        <v>0</v>
      </c>
      <c r="V39" s="114">
        <f t="shared" si="225"/>
        <v>0</v>
      </c>
      <c r="W39" s="114">
        <f t="shared" si="225"/>
        <v>0</v>
      </c>
      <c r="X39" s="114">
        <f t="shared" si="225"/>
        <v>0</v>
      </c>
      <c r="Y39" s="114">
        <f t="shared" si="225"/>
        <v>3.4849999999999999</v>
      </c>
      <c r="Z39" s="114">
        <f t="shared" ref="Z39:AA39" si="226">+Z283</f>
        <v>5.9320000000000004</v>
      </c>
      <c r="AA39" s="114">
        <f t="shared" si="226"/>
        <v>1.847</v>
      </c>
      <c r="AB39" s="114">
        <f t="shared" ref="AB39:AC39" si="227">+AB283</f>
        <v>0.98299999999999998</v>
      </c>
      <c r="AC39" s="114">
        <f t="shared" si="227"/>
        <v>0.309</v>
      </c>
      <c r="AD39" s="114">
        <f t="shared" ref="AD39" si="228">+AD283</f>
        <v>0</v>
      </c>
      <c r="AE39" s="114">
        <f t="shared" ref="AE39:AF39" si="229">+AE283</f>
        <v>0</v>
      </c>
      <c r="AF39" s="114">
        <f t="shared" si="229"/>
        <v>0</v>
      </c>
      <c r="AG39" s="114">
        <f t="shared" ref="AG39" si="230">+AG283</f>
        <v>0</v>
      </c>
      <c r="AH39" s="28">
        <v>0</v>
      </c>
      <c r="AI39" s="28">
        <v>0</v>
      </c>
      <c r="AJ39" s="28">
        <v>0</v>
      </c>
      <c r="AK39" s="28">
        <v>0</v>
      </c>
      <c r="AL39" s="28">
        <v>0</v>
      </c>
      <c r="AM39" s="28">
        <v>0</v>
      </c>
      <c r="AQ39" s="114">
        <f t="shared" ref="AQ39:AU39" si="231">+AQ283</f>
        <v>0</v>
      </c>
      <c r="AR39" s="114">
        <f t="shared" si="231"/>
        <v>0</v>
      </c>
      <c r="AS39" s="114">
        <f t="shared" si="231"/>
        <v>0</v>
      </c>
      <c r="AT39" s="114">
        <f t="shared" si="231"/>
        <v>0</v>
      </c>
      <c r="AU39" s="114">
        <f t="shared" si="231"/>
        <v>0</v>
      </c>
      <c r="AV39" s="114">
        <f t="shared" ref="AV39" si="232">+AV283</f>
        <v>11.263999999999999</v>
      </c>
      <c r="AW39" s="18">
        <f t="shared" si="224"/>
        <v>1.292</v>
      </c>
      <c r="AX39" s="18">
        <f t="shared" si="206"/>
        <v>0</v>
      </c>
      <c r="AY39" s="18">
        <f t="shared" si="200"/>
        <v>0</v>
      </c>
      <c r="AZ39" s="18"/>
    </row>
    <row r="40" spans="2:52" ht="10.15" hidden="1" outlineLevel="1" x14ac:dyDescent="0.2">
      <c r="B40" s="12" t="s">
        <v>249</v>
      </c>
      <c r="D40" s="113" t="str">
        <f t="shared" ref="D40:AI40" si="233">+IFERROR(D38+D39,"n/a")</f>
        <v>n/a</v>
      </c>
      <c r="E40" s="113" t="str">
        <f t="shared" si="233"/>
        <v>n/a</v>
      </c>
      <c r="F40" s="113" t="str">
        <f t="shared" si="233"/>
        <v>n/a</v>
      </c>
      <c r="G40" s="113" t="str">
        <f t="shared" si="233"/>
        <v>n/a</v>
      </c>
      <c r="H40" s="113" t="str">
        <f t="shared" si="233"/>
        <v>n/a</v>
      </c>
      <c r="I40" s="113" t="str">
        <f t="shared" si="233"/>
        <v>n/a</v>
      </c>
      <c r="J40" s="113" t="str">
        <f t="shared" si="233"/>
        <v>n/a</v>
      </c>
      <c r="K40" s="113" t="str">
        <f t="shared" si="233"/>
        <v>n/a</v>
      </c>
      <c r="L40" s="113">
        <f t="shared" si="233"/>
        <v>16.201999999999998</v>
      </c>
      <c r="M40" s="113">
        <f t="shared" si="233"/>
        <v>18.035</v>
      </c>
      <c r="N40" s="113">
        <f t="shared" si="233"/>
        <v>19.523</v>
      </c>
      <c r="O40" s="113">
        <f t="shared" si="233"/>
        <v>23.536999999999999</v>
      </c>
      <c r="P40" s="113">
        <f t="shared" si="233"/>
        <v>22.847000000000001</v>
      </c>
      <c r="Q40" s="113">
        <f t="shared" si="233"/>
        <v>23.071000000000002</v>
      </c>
      <c r="R40" s="113">
        <f t="shared" si="233"/>
        <v>24.966999999999999</v>
      </c>
      <c r="S40" s="113">
        <f t="shared" si="233"/>
        <v>29.143999999999998</v>
      </c>
      <c r="T40" s="113">
        <f t="shared" si="233"/>
        <v>29.132999999999999</v>
      </c>
      <c r="U40" s="113">
        <f t="shared" si="233"/>
        <v>34.22</v>
      </c>
      <c r="V40" s="113">
        <f t="shared" si="233"/>
        <v>37.6</v>
      </c>
      <c r="W40" s="113">
        <f t="shared" si="233"/>
        <v>44.900999999999996</v>
      </c>
      <c r="X40" s="113">
        <f t="shared" si="233"/>
        <v>47.21</v>
      </c>
      <c r="Y40" s="113">
        <f t="shared" si="233"/>
        <v>56.084999999999994</v>
      </c>
      <c r="Z40" s="113">
        <f t="shared" si="233"/>
        <v>61.682000000000002</v>
      </c>
      <c r="AA40" s="113">
        <f t="shared" si="233"/>
        <v>69.839999999999989</v>
      </c>
      <c r="AB40" s="113">
        <f t="shared" si="233"/>
        <v>66.22</v>
      </c>
      <c r="AC40" s="113">
        <f t="shared" si="233"/>
        <v>60.316999999999993</v>
      </c>
      <c r="AD40" s="113">
        <f t="shared" si="233"/>
        <v>58.768000000000001</v>
      </c>
      <c r="AE40" s="113">
        <f t="shared" si="233"/>
        <v>62.131</v>
      </c>
      <c r="AF40" s="113">
        <f t="shared" si="233"/>
        <v>62.160999999999994</v>
      </c>
      <c r="AG40" s="113">
        <f t="shared" ref="AG40" si="234">+IFERROR(AG38+AG39,"n/a")</f>
        <v>64.756</v>
      </c>
      <c r="AH40" s="113">
        <f t="shared" si="233"/>
        <v>69.512394520547943</v>
      </c>
      <c r="AI40" s="113">
        <f t="shared" si="233"/>
        <v>72.700230136986306</v>
      </c>
      <c r="AJ40" s="113">
        <f t="shared" ref="AJ40:AM40" si="235">+IFERROR(AJ38+AJ39,"n/a")</f>
        <v>71.132013698630132</v>
      </c>
      <c r="AK40" s="113">
        <f t="shared" si="235"/>
        <v>73.319780821917803</v>
      </c>
      <c r="AL40" s="113">
        <f t="shared" si="235"/>
        <v>75.559693150684922</v>
      </c>
      <c r="AM40" s="113">
        <f t="shared" si="235"/>
        <v>78.279210958904116</v>
      </c>
      <c r="AQ40" s="113">
        <f t="shared" ref="AQ40:AV40" si="236">+IFERROR(AQ38+AQ39,"n/a")</f>
        <v>31.436999999999998</v>
      </c>
      <c r="AR40" s="113">
        <f t="shared" si="236"/>
        <v>52.201000000000001</v>
      </c>
      <c r="AS40" s="113">
        <f t="shared" si="236"/>
        <v>77.296999999999997</v>
      </c>
      <c r="AT40" s="113">
        <f t="shared" si="236"/>
        <v>100.029</v>
      </c>
      <c r="AU40" s="113">
        <f t="shared" si="236"/>
        <v>145.85399999999998</v>
      </c>
      <c r="AV40" s="113">
        <f t="shared" si="236"/>
        <v>234.81700000000001</v>
      </c>
      <c r="AW40" s="10">
        <f t="shared" si="224"/>
        <v>247.43600000000001</v>
      </c>
      <c r="AX40" s="10">
        <f t="shared" si="206"/>
        <v>269.12962465753424</v>
      </c>
      <c r="AY40" s="10">
        <f t="shared" si="200"/>
        <v>298.29069863013694</v>
      </c>
      <c r="AZ40" s="10"/>
    </row>
    <row r="41" spans="2:52" ht="10.15" collapsed="1" x14ac:dyDescent="0.2">
      <c r="I41" s="16"/>
      <c r="J41" s="16"/>
      <c r="K41" s="16"/>
      <c r="M41" s="16"/>
      <c r="N41" s="16"/>
      <c r="O41" s="16"/>
      <c r="Q41" s="16"/>
      <c r="R41" s="16"/>
      <c r="S41" s="16"/>
      <c r="U41" s="16"/>
      <c r="V41" s="16"/>
      <c r="W41" s="16"/>
      <c r="X41" s="16"/>
      <c r="Y41" s="16"/>
      <c r="Z41" s="16"/>
      <c r="AA41" s="213"/>
      <c r="AB41" s="10"/>
      <c r="AC41" s="10"/>
      <c r="AD41" s="10"/>
      <c r="AE41" s="10"/>
      <c r="AF41" s="292"/>
      <c r="AG41" s="286"/>
      <c r="AH41" s="213"/>
      <c r="AI41" s="213"/>
      <c r="AJ41" s="213"/>
      <c r="AK41" s="213"/>
      <c r="AL41" s="213"/>
      <c r="AM41" s="213"/>
      <c r="AW41" s="10"/>
    </row>
    <row r="42" spans="2:52" ht="10.15" x14ac:dyDescent="0.2">
      <c r="B42" s="19" t="s">
        <v>18</v>
      </c>
    </row>
    <row r="43" spans="2:52" ht="10.15" x14ac:dyDescent="0.2">
      <c r="B43" s="13" t="s">
        <v>21</v>
      </c>
      <c r="H43" s="120" t="str">
        <f t="shared" ref="H43:Q46" si="237">+IFERROR(H35/D35-1,"n/a")</f>
        <v>n/a</v>
      </c>
      <c r="I43" s="120" t="str">
        <f t="shared" si="237"/>
        <v>n/a</v>
      </c>
      <c r="J43" s="120" t="str">
        <f t="shared" si="237"/>
        <v>n/a</v>
      </c>
      <c r="K43" s="120" t="str">
        <f t="shared" si="237"/>
        <v>n/a</v>
      </c>
      <c r="L43" s="120" t="str">
        <f t="shared" si="237"/>
        <v>n/a</v>
      </c>
      <c r="M43" s="120" t="str">
        <f t="shared" si="237"/>
        <v>n/a</v>
      </c>
      <c r="N43" s="120" t="str">
        <f t="shared" si="237"/>
        <v>n/a</v>
      </c>
      <c r="O43" s="120" t="str">
        <f t="shared" si="237"/>
        <v>n/a</v>
      </c>
      <c r="P43" s="15">
        <f t="shared" si="237"/>
        <v>0.50187003272557296</v>
      </c>
      <c r="Q43" s="15">
        <f t="shared" si="237"/>
        <v>0.28400688747088032</v>
      </c>
      <c r="R43" s="15">
        <f t="shared" ref="R43:AA46" si="238">+IFERROR(R35/N35-1,"n/a")</f>
        <v>0.3663684108150167</v>
      </c>
      <c r="S43" s="15">
        <f t="shared" si="238"/>
        <v>0.14056348900038618</v>
      </c>
      <c r="T43" s="15">
        <f t="shared" si="238"/>
        <v>0.26591439688715934</v>
      </c>
      <c r="U43" s="15">
        <f t="shared" si="238"/>
        <v>0.43929951881359908</v>
      </c>
      <c r="V43" s="15">
        <f t="shared" si="238"/>
        <v>0.46444586803331167</v>
      </c>
      <c r="W43" s="15">
        <f t="shared" si="238"/>
        <v>0.72807255008121263</v>
      </c>
      <c r="X43" s="15">
        <f t="shared" si="238"/>
        <v>0.57970123563041742</v>
      </c>
      <c r="Y43" s="15">
        <f t="shared" si="238"/>
        <v>0.67801161898498297</v>
      </c>
      <c r="Z43" s="15">
        <f t="shared" si="238"/>
        <v>0.47662097793331393</v>
      </c>
      <c r="AA43" s="15">
        <f t="shared" si="238"/>
        <v>0.48664525730398656</v>
      </c>
      <c r="AB43" s="15">
        <f t="shared" ref="AB43:AI46" si="239">+IFERROR(AB35/X35-1,"n/a")</f>
        <v>0.36078141417286091</v>
      </c>
      <c r="AC43" s="15">
        <f t="shared" si="239"/>
        <v>-3.984714374367182E-2</v>
      </c>
      <c r="AD43" s="15">
        <f t="shared" si="239"/>
        <v>-3.6471362738643709E-2</v>
      </c>
      <c r="AE43" s="15">
        <f t="shared" si="239"/>
        <v>-0.20555848261327703</v>
      </c>
      <c r="AF43" s="15">
        <f t="shared" si="239"/>
        <v>-0.1127030427819723</v>
      </c>
      <c r="AG43" s="15">
        <f t="shared" si="239"/>
        <v>0.14947103445929844</v>
      </c>
      <c r="AH43" s="15">
        <f t="shared" si="239"/>
        <v>0.21380158513254988</v>
      </c>
      <c r="AI43" s="15">
        <f t="shared" si="239"/>
        <v>0.22546672414364832</v>
      </c>
      <c r="AJ43" s="15">
        <f t="shared" ref="AJ43:AJ46" si="240">+IFERROR(AJ35/AF35-1,"n/a")</f>
        <v>0.17842700855772553</v>
      </c>
      <c r="AK43" s="15">
        <f t="shared" ref="AK43:AK46" si="241">+IFERROR(AK35/AG35-1,"n/a")</f>
        <v>0.13186724356773283</v>
      </c>
      <c r="AL43" s="15">
        <f t="shared" ref="AL43:AL46" si="242">+IFERROR(AL35/AH35-1,"n/a")</f>
        <v>0.12029397785234419</v>
      </c>
      <c r="AM43" s="15">
        <f t="shared" ref="AM43:AM46" si="243">+IFERROR(AM35/AI35-1,"n/a")</f>
        <v>0.11287302935128452</v>
      </c>
      <c r="AR43" s="15">
        <f t="shared" ref="AR43:AY46" si="244">+IFERROR(AR35/AQ35-1,"n/a")</f>
        <v>0.93989924075782283</v>
      </c>
      <c r="AS43" s="15">
        <f t="shared" si="244"/>
        <v>0.5240498920955412</v>
      </c>
      <c r="AT43" s="15">
        <f t="shared" si="244"/>
        <v>0.30446887150194413</v>
      </c>
      <c r="AU43" s="15">
        <f t="shared" si="244"/>
        <v>0.48331248160141271</v>
      </c>
      <c r="AV43" s="15">
        <f t="shared" si="244"/>
        <v>0.54617283338088085</v>
      </c>
      <c r="AW43" s="15">
        <f t="shared" si="244"/>
        <v>-6.8990966996645975E-3</v>
      </c>
      <c r="AX43" s="15">
        <f t="shared" si="244"/>
        <v>0.1091393767064639</v>
      </c>
      <c r="AY43" s="15">
        <f t="shared" si="244"/>
        <v>0.13428121081360977</v>
      </c>
      <c r="AZ43" s="15"/>
    </row>
    <row r="44" spans="2:52" ht="10.15" x14ac:dyDescent="0.2">
      <c r="B44" s="13" t="s">
        <v>22</v>
      </c>
      <c r="H44" s="120" t="str">
        <f t="shared" si="237"/>
        <v>n/a</v>
      </c>
      <c r="I44" s="120" t="str">
        <f t="shared" si="237"/>
        <v>n/a</v>
      </c>
      <c r="J44" s="120" t="str">
        <f t="shared" si="237"/>
        <v>n/a</v>
      </c>
      <c r="K44" s="120" t="str">
        <f t="shared" si="237"/>
        <v>n/a</v>
      </c>
      <c r="L44" s="120" t="str">
        <f t="shared" si="237"/>
        <v>n/a</v>
      </c>
      <c r="M44" s="120" t="str">
        <f t="shared" si="237"/>
        <v>n/a</v>
      </c>
      <c r="N44" s="120" t="str">
        <f t="shared" si="237"/>
        <v>n/a</v>
      </c>
      <c r="O44" s="120" t="str">
        <f t="shared" si="237"/>
        <v>n/a</v>
      </c>
      <c r="P44" s="15">
        <f t="shared" si="237"/>
        <v>0.31788286877544625</v>
      </c>
      <c r="Q44" s="15">
        <f t="shared" si="237"/>
        <v>0.18003565062388605</v>
      </c>
      <c r="R44" s="15">
        <f t="shared" si="238"/>
        <v>0.18406125921724326</v>
      </c>
      <c r="S44" s="15">
        <f t="shared" si="238"/>
        <v>0.23989218328840978</v>
      </c>
      <c r="T44" s="15">
        <f t="shared" si="238"/>
        <v>0.25736692015209117</v>
      </c>
      <c r="U44" s="15">
        <f t="shared" si="238"/>
        <v>0.48439073514602216</v>
      </c>
      <c r="V44" s="15">
        <f t="shared" si="238"/>
        <v>0.46251497005988051</v>
      </c>
      <c r="W44" s="15">
        <f t="shared" si="238"/>
        <v>0.32035573122529626</v>
      </c>
      <c r="X44" s="15">
        <f t="shared" si="238"/>
        <v>0.50992250992250998</v>
      </c>
      <c r="Y44" s="15">
        <f t="shared" si="238"/>
        <v>0.57954545454545414</v>
      </c>
      <c r="Z44" s="15">
        <f t="shared" si="238"/>
        <v>0.60579757615460172</v>
      </c>
      <c r="AA44" s="15">
        <f t="shared" si="238"/>
        <v>0.9419248615476723</v>
      </c>
      <c r="AB44" s="15">
        <f t="shared" si="239"/>
        <v>0.69445487545374895</v>
      </c>
      <c r="AC44" s="15">
        <f t="shared" si="239"/>
        <v>0.4575324814775048</v>
      </c>
      <c r="AD44" s="15">
        <f t="shared" si="239"/>
        <v>0.37644059153493115</v>
      </c>
      <c r="AE44" s="15">
        <f t="shared" si="239"/>
        <v>0.12702327732387864</v>
      </c>
      <c r="AF44" s="15">
        <f t="shared" si="239"/>
        <v>0.23129201447883574</v>
      </c>
      <c r="AG44" s="15">
        <f t="shared" si="239"/>
        <v>0.31994990422867264</v>
      </c>
      <c r="AH44" s="15">
        <f t="shared" si="239"/>
        <v>0.40649040608683662</v>
      </c>
      <c r="AI44" s="15">
        <f t="shared" si="239"/>
        <v>0.35028246046958711</v>
      </c>
      <c r="AJ44" s="15">
        <f t="shared" si="240"/>
        <v>0.1740436107577148</v>
      </c>
      <c r="AK44" s="15">
        <f t="shared" si="241"/>
        <v>0.12032454063294895</v>
      </c>
      <c r="AL44" s="15">
        <f t="shared" si="242"/>
        <v>9.3415129665776808E-2</v>
      </c>
      <c r="AM44" s="15">
        <f t="shared" si="243"/>
        <v>7.1293157924972705E-2</v>
      </c>
      <c r="AR44" s="15">
        <f t="shared" si="244"/>
        <v>0.18942364824717783</v>
      </c>
      <c r="AS44" s="15">
        <f t="shared" si="244"/>
        <v>0.41532620641422713</v>
      </c>
      <c r="AT44" s="15">
        <f t="shared" si="244"/>
        <v>0.22935196950444725</v>
      </c>
      <c r="AU44" s="15">
        <f t="shared" si="244"/>
        <v>0.37662934252081537</v>
      </c>
      <c r="AV44" s="15">
        <f t="shared" si="244"/>
        <v>0.67185284057729211</v>
      </c>
      <c r="AW44" s="15">
        <f t="shared" si="244"/>
        <v>0.37793468226840665</v>
      </c>
      <c r="AX44" s="15">
        <f t="shared" si="244"/>
        <v>0.32739728507730104</v>
      </c>
      <c r="AY44" s="15">
        <f t="shared" si="244"/>
        <v>0.11236565973120038</v>
      </c>
      <c r="AZ44" s="15"/>
    </row>
    <row r="45" spans="2:52" ht="12" x14ac:dyDescent="0.35">
      <c r="B45" s="13" t="s">
        <v>23</v>
      </c>
      <c r="H45" s="132" t="str">
        <f t="shared" si="237"/>
        <v>n/a</v>
      </c>
      <c r="I45" s="132" t="str">
        <f t="shared" si="237"/>
        <v>n/a</v>
      </c>
      <c r="J45" s="132" t="str">
        <f t="shared" si="237"/>
        <v>n/a</v>
      </c>
      <c r="K45" s="132" t="str">
        <f t="shared" si="237"/>
        <v>n/a</v>
      </c>
      <c r="L45" s="132" t="str">
        <f t="shared" si="237"/>
        <v>n/a</v>
      </c>
      <c r="M45" s="132" t="str">
        <f t="shared" si="237"/>
        <v>n/a</v>
      </c>
      <c r="N45" s="132" t="str">
        <f t="shared" si="237"/>
        <v>n/a</v>
      </c>
      <c r="O45" s="132" t="str">
        <f t="shared" si="237"/>
        <v>n/a</v>
      </c>
      <c r="P45" s="21">
        <f t="shared" si="237"/>
        <v>0.30002245677071615</v>
      </c>
      <c r="Q45" s="21">
        <f t="shared" si="237"/>
        <v>0.33903252710592158</v>
      </c>
      <c r="R45" s="21">
        <f t="shared" si="238"/>
        <v>0.17987751531058627</v>
      </c>
      <c r="S45" s="21">
        <f t="shared" si="238"/>
        <v>0.43177972619596972</v>
      </c>
      <c r="T45" s="21">
        <f t="shared" si="238"/>
        <v>0.30851615132147181</v>
      </c>
      <c r="U45" s="21">
        <f t="shared" si="238"/>
        <v>0.56929305512301442</v>
      </c>
      <c r="V45" s="21">
        <f t="shared" si="238"/>
        <v>0.619457214889515</v>
      </c>
      <c r="W45" s="21">
        <f t="shared" si="238"/>
        <v>0.36291362269015903</v>
      </c>
      <c r="X45" s="21">
        <f t="shared" si="238"/>
        <v>0.78534653465346538</v>
      </c>
      <c r="Y45" s="21">
        <f t="shared" si="238"/>
        <v>0.25719388767612639</v>
      </c>
      <c r="Z45" s="21">
        <f t="shared" si="238"/>
        <v>0.42536630036630041</v>
      </c>
      <c r="AA45" s="21">
        <f t="shared" si="238"/>
        <v>0.34471070471385756</v>
      </c>
      <c r="AB45" s="21">
        <f t="shared" si="239"/>
        <v>0.23720792664892021</v>
      </c>
      <c r="AC45" s="21">
        <f t="shared" si="239"/>
        <v>0.34467245461720619</v>
      </c>
      <c r="AD45" s="21">
        <f t="shared" si="239"/>
        <v>2.7947317699967611E-2</v>
      </c>
      <c r="AE45" s="21">
        <f t="shared" si="239"/>
        <v>1.7175684389471924E-2</v>
      </c>
      <c r="AF45" s="21">
        <f t="shared" si="239"/>
        <v>-0.13542911785799661</v>
      </c>
      <c r="AG45" s="21">
        <f t="shared" si="239"/>
        <v>-0.23413746551622949</v>
      </c>
      <c r="AH45" s="21">
        <f t="shared" si="239"/>
        <v>-6.2499999999999889E-2</v>
      </c>
      <c r="AI45" s="21">
        <f t="shared" si="239"/>
        <v>-7.7916090364223201E-2</v>
      </c>
      <c r="AJ45" s="21">
        <f t="shared" si="240"/>
        <v>3.6914143508917308E-2</v>
      </c>
      <c r="AK45" s="21">
        <f t="shared" si="241"/>
        <v>0.14960147148988345</v>
      </c>
      <c r="AL45" s="21">
        <f t="shared" si="242"/>
        <v>0</v>
      </c>
      <c r="AM45" s="21">
        <f t="shared" si="243"/>
        <v>0</v>
      </c>
      <c r="AR45" s="21">
        <f t="shared" si="244"/>
        <v>0.6634561541046029</v>
      </c>
      <c r="AS45" s="21">
        <f t="shared" si="244"/>
        <v>0.44516259341547171</v>
      </c>
      <c r="AT45" s="21">
        <f t="shared" si="244"/>
        <v>0.31665501979967381</v>
      </c>
      <c r="AU45" s="21">
        <f t="shared" si="244"/>
        <v>0.45987545113580075</v>
      </c>
      <c r="AV45" s="21">
        <f t="shared" si="244"/>
        <v>0.42557987348214943</v>
      </c>
      <c r="AW45" s="21">
        <f t="shared" si="244"/>
        <v>0.14116426944132732</v>
      </c>
      <c r="AX45" s="21">
        <f t="shared" si="244"/>
        <v>-0.12823110501929336</v>
      </c>
      <c r="AY45" s="21">
        <f t="shared" si="244"/>
        <v>4.2485559011518514E-2</v>
      </c>
      <c r="AZ45" s="21"/>
    </row>
    <row r="46" spans="2:52" ht="10.15" x14ac:dyDescent="0.2">
      <c r="B46" s="20" t="s">
        <v>249</v>
      </c>
      <c r="H46" s="120" t="str">
        <f t="shared" si="237"/>
        <v>n/a</v>
      </c>
      <c r="I46" s="120" t="str">
        <f t="shared" si="237"/>
        <v>n/a</v>
      </c>
      <c r="J46" s="120" t="str">
        <f t="shared" si="237"/>
        <v>n/a</v>
      </c>
      <c r="K46" s="120" t="str">
        <f t="shared" si="237"/>
        <v>n/a</v>
      </c>
      <c r="L46" s="120" t="str">
        <f t="shared" si="237"/>
        <v>n/a</v>
      </c>
      <c r="M46" s="120" t="str">
        <f t="shared" si="237"/>
        <v>n/a</v>
      </c>
      <c r="N46" s="120" t="str">
        <f t="shared" si="237"/>
        <v>n/a</v>
      </c>
      <c r="O46" s="120" t="str">
        <f t="shared" si="237"/>
        <v>n/a</v>
      </c>
      <c r="P46" s="15">
        <f t="shared" si="237"/>
        <v>0.41013455128996434</v>
      </c>
      <c r="Q46" s="15">
        <f t="shared" si="237"/>
        <v>0.27923482118103693</v>
      </c>
      <c r="R46" s="15">
        <f t="shared" si="238"/>
        <v>0.27885058648773242</v>
      </c>
      <c r="S46" s="15">
        <f t="shared" si="238"/>
        <v>0.23822067383268886</v>
      </c>
      <c r="T46" s="15">
        <f t="shared" si="238"/>
        <v>0.27513459097474491</v>
      </c>
      <c r="U46" s="15">
        <f t="shared" si="238"/>
        <v>0.48324736682415148</v>
      </c>
      <c r="V46" s="15">
        <f t="shared" si="238"/>
        <v>0.50598790403332417</v>
      </c>
      <c r="W46" s="15">
        <f t="shared" si="238"/>
        <v>0.54066017018940427</v>
      </c>
      <c r="X46" s="15">
        <f t="shared" si="238"/>
        <v>0.62049909037860851</v>
      </c>
      <c r="Y46" s="15">
        <f t="shared" si="238"/>
        <v>0.53711279953243696</v>
      </c>
      <c r="Z46" s="15">
        <f t="shared" si="238"/>
        <v>0.48271276595744683</v>
      </c>
      <c r="AA46" s="15">
        <f t="shared" si="238"/>
        <v>0.51428698692679453</v>
      </c>
      <c r="AB46" s="15">
        <f t="shared" si="239"/>
        <v>0.38184706629951259</v>
      </c>
      <c r="AC46" s="15">
        <f t="shared" si="239"/>
        <v>0.14083650190114083</v>
      </c>
      <c r="AD46" s="15">
        <f t="shared" si="239"/>
        <v>5.4134529147982002E-2</v>
      </c>
      <c r="AE46" s="15">
        <f t="shared" si="239"/>
        <v>-8.6214757401497089E-2</v>
      </c>
      <c r="AF46" s="15">
        <f t="shared" si="239"/>
        <v>-4.7151156552263318E-2</v>
      </c>
      <c r="AG46" s="15">
        <f t="shared" si="239"/>
        <v>7.9122783628849502E-2</v>
      </c>
      <c r="AH46" s="15">
        <f t="shared" si="239"/>
        <v>0.18282729581656576</v>
      </c>
      <c r="AI46" s="15">
        <f t="shared" si="239"/>
        <v>0.17011202357899124</v>
      </c>
      <c r="AJ46" s="15">
        <f t="shared" si="240"/>
        <v>0.14431900546371734</v>
      </c>
      <c r="AK46" s="15">
        <f t="shared" si="241"/>
        <v>0.13224690873305645</v>
      </c>
      <c r="AL46" s="15">
        <f t="shared" si="242"/>
        <v>8.6995976355690008E-2</v>
      </c>
      <c r="AM46" s="15">
        <f t="shared" si="243"/>
        <v>7.6739520788387416E-2</v>
      </c>
      <c r="AR46" s="15">
        <f t="shared" si="244"/>
        <v>0.66049559436332994</v>
      </c>
      <c r="AS46" s="15">
        <f t="shared" si="244"/>
        <v>0.48075707361927922</v>
      </c>
      <c r="AT46" s="15">
        <f t="shared" si="244"/>
        <v>0.29408644578702936</v>
      </c>
      <c r="AU46" s="15">
        <f t="shared" si="244"/>
        <v>0.45811714602765186</v>
      </c>
      <c r="AV46" s="15">
        <f t="shared" si="244"/>
        <v>0.5327176491560055</v>
      </c>
      <c r="AW46" s="15">
        <f t="shared" si="244"/>
        <v>0.1010543361082159</v>
      </c>
      <c r="AX46" s="15">
        <f t="shared" si="244"/>
        <v>9.3382835484652427E-2</v>
      </c>
      <c r="AY46" s="15">
        <f t="shared" si="244"/>
        <v>0.10835326660790323</v>
      </c>
      <c r="AZ46" s="15"/>
    </row>
    <row r="47" spans="2:52" ht="10.15" x14ac:dyDescent="0.2">
      <c r="Y47" s="99"/>
    </row>
    <row r="48" spans="2:52" ht="10.15" x14ac:dyDescent="0.2">
      <c r="B48" s="19" t="s">
        <v>26</v>
      </c>
      <c r="T48" s="99"/>
      <c r="U48" s="99"/>
      <c r="V48" s="99"/>
      <c r="W48" s="99"/>
      <c r="X48" s="99"/>
      <c r="Y48" s="99"/>
      <c r="Z48" s="99"/>
      <c r="AA48" s="99"/>
      <c r="AB48" s="99"/>
      <c r="AC48" s="99"/>
      <c r="AD48" s="99"/>
      <c r="AE48" s="99"/>
      <c r="AF48" s="99"/>
      <c r="AG48" s="99"/>
      <c r="AH48" s="99"/>
      <c r="AI48" s="99"/>
      <c r="AJ48" s="99"/>
      <c r="AK48" s="99"/>
      <c r="AL48" s="99"/>
      <c r="AM48" s="99"/>
    </row>
    <row r="49" spans="2:52" ht="10.15" x14ac:dyDescent="0.2">
      <c r="B49" s="13" t="s">
        <v>21</v>
      </c>
      <c r="D49" s="121" t="str">
        <f t="shared" ref="D49:AF49" si="245">+IFERROR(D35/D$12,"n/a")</f>
        <v>n/a</v>
      </c>
      <c r="E49" s="121" t="str">
        <f t="shared" si="245"/>
        <v>n/a</v>
      </c>
      <c r="F49" s="121" t="str">
        <f t="shared" si="245"/>
        <v>n/a</v>
      </c>
      <c r="G49" s="121" t="str">
        <f t="shared" si="245"/>
        <v>n/a</v>
      </c>
      <c r="H49" s="121" t="str">
        <f t="shared" si="245"/>
        <v>n/a</v>
      </c>
      <c r="I49" s="121" t="str">
        <f t="shared" si="245"/>
        <v>n/a</v>
      </c>
      <c r="J49" s="121" t="str">
        <f t="shared" si="245"/>
        <v>n/a</v>
      </c>
      <c r="K49" s="121" t="str">
        <f t="shared" si="245"/>
        <v>n/a</v>
      </c>
      <c r="L49" s="99">
        <f t="shared" si="245"/>
        <v>0.42000883609052081</v>
      </c>
      <c r="M49" s="99">
        <f t="shared" si="245"/>
        <v>0.44625745796420174</v>
      </c>
      <c r="N49" s="99">
        <f t="shared" si="245"/>
        <v>0.43145482774537369</v>
      </c>
      <c r="O49" s="99">
        <f t="shared" si="245"/>
        <v>0.5024628631268665</v>
      </c>
      <c r="P49" s="99">
        <f t="shared" si="245"/>
        <v>0.46244646777269954</v>
      </c>
      <c r="Q49" s="99">
        <f t="shared" si="245"/>
        <v>0.44555743005764098</v>
      </c>
      <c r="R49" s="99">
        <f t="shared" si="245"/>
        <v>0.43635855385762212</v>
      </c>
      <c r="S49" s="99">
        <f t="shared" si="245"/>
        <v>0.40548847420417128</v>
      </c>
      <c r="T49" s="99">
        <f t="shared" si="245"/>
        <v>0.40669533476673836</v>
      </c>
      <c r="U49" s="99">
        <f t="shared" si="245"/>
        <v>0.40542161982001995</v>
      </c>
      <c r="V49" s="99">
        <f t="shared" si="245"/>
        <v>0.41772922926987732</v>
      </c>
      <c r="W49" s="99">
        <f t="shared" si="245"/>
        <v>0.47508651806646074</v>
      </c>
      <c r="X49" s="99">
        <f t="shared" si="245"/>
        <v>0.44981445175745693</v>
      </c>
      <c r="Y49" s="99">
        <f t="shared" si="245"/>
        <v>0.48901134004152685</v>
      </c>
      <c r="Z49" s="99">
        <f t="shared" si="245"/>
        <v>0.46175125013299279</v>
      </c>
      <c r="AA49" s="99">
        <f t="shared" si="245"/>
        <v>0.55186450534273457</v>
      </c>
      <c r="AB49" s="99">
        <f t="shared" si="245"/>
        <v>0.49341046987441795</v>
      </c>
      <c r="AC49" s="99">
        <f t="shared" si="245"/>
        <v>0.39357101736441163</v>
      </c>
      <c r="AD49" s="99">
        <f t="shared" si="245"/>
        <v>0.37185904113417517</v>
      </c>
      <c r="AE49" s="99">
        <f t="shared" si="245"/>
        <v>0.36162074010120632</v>
      </c>
      <c r="AF49" s="99">
        <f t="shared" si="245"/>
        <v>0.36156947746235957</v>
      </c>
      <c r="AG49" s="99">
        <f t="shared" ref="AG49" si="246">+IFERROR(AG35/AG$12,"n/a")</f>
        <v>0.37152972479686863</v>
      </c>
      <c r="AH49" s="100">
        <v>0.36499999999999999</v>
      </c>
      <c r="AI49" s="100">
        <v>0.36499999999999999</v>
      </c>
      <c r="AJ49" s="100">
        <v>0.35499999999999998</v>
      </c>
      <c r="AK49" s="100">
        <v>0.35249999999999998</v>
      </c>
      <c r="AL49" s="100">
        <v>0.35</v>
      </c>
      <c r="AM49" s="100">
        <v>0.35</v>
      </c>
      <c r="AN49" s="101"/>
      <c r="AO49" s="101"/>
      <c r="AP49" s="101"/>
      <c r="AQ49" s="121">
        <f t="shared" ref="AQ49:AX52" si="247">+IFERROR(AQ35/AQ$12,"n/a")</f>
        <v>0.36693831853568365</v>
      </c>
      <c r="AR49" s="121">
        <f t="shared" si="247"/>
        <v>0.43039309834542905</v>
      </c>
      <c r="AS49" s="121">
        <f t="shared" si="247"/>
        <v>0.45235536158247291</v>
      </c>
      <c r="AT49" s="121">
        <f t="shared" si="247"/>
        <v>0.4352512512512513</v>
      </c>
      <c r="AU49" s="121">
        <f t="shared" si="247"/>
        <v>0.42883282535731188</v>
      </c>
      <c r="AV49" s="121">
        <f t="shared" si="247"/>
        <v>0.49015398166061114</v>
      </c>
      <c r="AW49" s="121">
        <f t="shared" si="247"/>
        <v>0.40235313236369541</v>
      </c>
      <c r="AX49" s="121">
        <f t="shared" si="247"/>
        <v>0.36579792043803855</v>
      </c>
      <c r="AY49" s="121">
        <f t="shared" ref="AY49" si="248">+IFERROR(AY35/AY$12,"n/a")</f>
        <v>0.35177585598742545</v>
      </c>
      <c r="AZ49" s="121"/>
    </row>
    <row r="50" spans="2:52" ht="10.15" x14ac:dyDescent="0.2">
      <c r="B50" s="13" t="s">
        <v>22</v>
      </c>
      <c r="D50" s="121" t="str">
        <f t="shared" ref="D50:AF50" si="249">+IFERROR(D36/D$12,"n/a")</f>
        <v>n/a</v>
      </c>
      <c r="E50" s="121" t="str">
        <f t="shared" si="249"/>
        <v>n/a</v>
      </c>
      <c r="F50" s="121" t="str">
        <f t="shared" si="249"/>
        <v>n/a</v>
      </c>
      <c r="G50" s="121" t="str">
        <f t="shared" si="249"/>
        <v>n/a</v>
      </c>
      <c r="H50" s="121" t="str">
        <f t="shared" si="249"/>
        <v>n/a</v>
      </c>
      <c r="I50" s="121" t="str">
        <f t="shared" si="249"/>
        <v>n/a</v>
      </c>
      <c r="J50" s="121" t="str">
        <f t="shared" si="249"/>
        <v>n/a</v>
      </c>
      <c r="K50" s="121" t="str">
        <f t="shared" si="249"/>
        <v>n/a</v>
      </c>
      <c r="L50" s="99">
        <f t="shared" si="249"/>
        <v>0.15674242796131757</v>
      </c>
      <c r="M50" s="99">
        <f t="shared" si="249"/>
        <v>0.15214246971614537</v>
      </c>
      <c r="N50" s="99">
        <f t="shared" si="249"/>
        <v>0.14795854139566111</v>
      </c>
      <c r="O50" s="99">
        <f t="shared" si="249"/>
        <v>0.15828258930302913</v>
      </c>
      <c r="P50" s="99">
        <f t="shared" si="249"/>
        <v>0.15143772267607156</v>
      </c>
      <c r="Q50" s="99">
        <f t="shared" si="249"/>
        <v>0.13960354280894138</v>
      </c>
      <c r="R50" s="99">
        <f t="shared" si="249"/>
        <v>0.12967449372592868</v>
      </c>
      <c r="S50" s="99">
        <f t="shared" si="249"/>
        <v>0.1388583973655324</v>
      </c>
      <c r="T50" s="99">
        <f t="shared" si="249"/>
        <v>0.13228161408070402</v>
      </c>
      <c r="U50" s="99">
        <f t="shared" si="249"/>
        <v>0.13100766581490947</v>
      </c>
      <c r="V50" s="99">
        <f t="shared" si="249"/>
        <v>0.12397466092747504</v>
      </c>
      <c r="W50" s="99">
        <f t="shared" si="249"/>
        <v>0.12430692516652402</v>
      </c>
      <c r="X50" s="99">
        <f t="shared" si="249"/>
        <v>0.1398438594034449</v>
      </c>
      <c r="Y50" s="99">
        <f t="shared" si="249"/>
        <v>0.14874620667624977</v>
      </c>
      <c r="Z50" s="99">
        <f t="shared" si="249"/>
        <v>0.14902801209855149</v>
      </c>
      <c r="AA50" s="99">
        <f t="shared" si="249"/>
        <v>0.18861670422330448</v>
      </c>
      <c r="AB50" s="99">
        <f t="shared" si="249"/>
        <v>0.19101171158459151</v>
      </c>
      <c r="AC50" s="99">
        <f t="shared" si="249"/>
        <v>0.18173055038624772</v>
      </c>
      <c r="AD50" s="99">
        <f t="shared" si="249"/>
        <v>0.17144744531111053</v>
      </c>
      <c r="AE50" s="99">
        <f t="shared" si="249"/>
        <v>0.17533635513346282</v>
      </c>
      <c r="AF50" s="99">
        <f t="shared" si="249"/>
        <v>0.19423856803244302</v>
      </c>
      <c r="AG50" s="99">
        <f t="shared" ref="AG50" si="250">+IFERROR(AG36/AG$12,"n/a")</f>
        <v>0.19699618475882621</v>
      </c>
      <c r="AH50" s="100">
        <v>0.19500000000000001</v>
      </c>
      <c r="AI50" s="100">
        <v>0.19500000000000001</v>
      </c>
      <c r="AJ50" s="100">
        <v>0.19</v>
      </c>
      <c r="AK50" s="100">
        <v>0.185</v>
      </c>
      <c r="AL50" s="100">
        <v>0.1825</v>
      </c>
      <c r="AM50" s="100">
        <v>0.18</v>
      </c>
      <c r="AN50" s="101"/>
      <c r="AO50" s="101"/>
      <c r="AP50" s="101"/>
      <c r="AQ50" s="121">
        <f t="shared" si="247"/>
        <v>0.21910068477100528</v>
      </c>
      <c r="AR50" s="121">
        <f t="shared" si="247"/>
        <v>0.15756993750098394</v>
      </c>
      <c r="AS50" s="121">
        <f t="shared" si="247"/>
        <v>0.15379604598899133</v>
      </c>
      <c r="AT50" s="121">
        <f t="shared" si="247"/>
        <v>0.13945945945945945</v>
      </c>
      <c r="AU50" s="121">
        <f t="shared" si="247"/>
        <v>0.1275205982946899</v>
      </c>
      <c r="AV50" s="121">
        <f t="shared" si="247"/>
        <v>0.15760313940137466</v>
      </c>
      <c r="AW50" s="121">
        <f t="shared" si="247"/>
        <v>0.17950434711952545</v>
      </c>
      <c r="AX50" s="121">
        <f t="shared" si="247"/>
        <v>0.19530961193872107</v>
      </c>
      <c r="AY50" s="121">
        <f t="shared" ref="AY50" si="251">+IFERROR(AY36/AY$12,"n/a")</f>
        <v>0.18419390211451944</v>
      </c>
      <c r="AZ50" s="121"/>
    </row>
    <row r="51" spans="2:52" ht="12" x14ac:dyDescent="0.35">
      <c r="B51" s="13" t="s">
        <v>23</v>
      </c>
      <c r="D51" s="135" t="str">
        <f t="shared" ref="D51:AF51" si="252">+IFERROR(D37/D$12,"n/a")</f>
        <v>n/a</v>
      </c>
      <c r="E51" s="135" t="str">
        <f t="shared" si="252"/>
        <v>n/a</v>
      </c>
      <c r="F51" s="135" t="str">
        <f t="shared" si="252"/>
        <v>n/a</v>
      </c>
      <c r="G51" s="135" t="str">
        <f t="shared" si="252"/>
        <v>n/a</v>
      </c>
      <c r="H51" s="135" t="str">
        <f t="shared" si="252"/>
        <v>n/a</v>
      </c>
      <c r="I51" s="135" t="str">
        <f t="shared" si="252"/>
        <v>n/a</v>
      </c>
      <c r="J51" s="135" t="str">
        <f t="shared" si="252"/>
        <v>n/a</v>
      </c>
      <c r="K51" s="135" t="str">
        <f t="shared" si="252"/>
        <v>n/a</v>
      </c>
      <c r="L51" s="102">
        <f t="shared" si="252"/>
        <v>0.21859506160718672</v>
      </c>
      <c r="M51" s="102">
        <f t="shared" si="252"/>
        <v>0.21677815946483459</v>
      </c>
      <c r="N51" s="102">
        <f t="shared" si="252"/>
        <v>0.23981368805337586</v>
      </c>
      <c r="O51" s="102">
        <f t="shared" si="252"/>
        <v>0.25214288484660435</v>
      </c>
      <c r="P51" s="102">
        <f t="shared" si="252"/>
        <v>0.20833483283549861</v>
      </c>
      <c r="Q51" s="102">
        <f t="shared" si="252"/>
        <v>0.22571348235624913</v>
      </c>
      <c r="R51" s="102">
        <f t="shared" si="252"/>
        <v>0.20943595477699095</v>
      </c>
      <c r="S51" s="102">
        <f t="shared" si="252"/>
        <v>0.25543358946212952</v>
      </c>
      <c r="T51" s="102">
        <f t="shared" si="252"/>
        <v>0.18938446922346119</v>
      </c>
      <c r="U51" s="102">
        <f t="shared" si="252"/>
        <v>0.22393067436951447</v>
      </c>
      <c r="V51" s="102">
        <f t="shared" si="252"/>
        <v>0.22171688459351904</v>
      </c>
      <c r="W51" s="102">
        <f t="shared" si="252"/>
        <v>0.23603617013359132</v>
      </c>
      <c r="X51" s="102">
        <f t="shared" si="252"/>
        <v>0.23673155020305281</v>
      </c>
      <c r="Y51" s="102">
        <f t="shared" si="252"/>
        <v>0.20236383964222968</v>
      </c>
      <c r="Z51" s="102">
        <f t="shared" si="252"/>
        <v>0.23657531956287142</v>
      </c>
      <c r="AA51" s="102">
        <f t="shared" si="252"/>
        <v>0.24800465217707346</v>
      </c>
      <c r="AB51" s="102">
        <f t="shared" si="252"/>
        <v>0.23609425709044726</v>
      </c>
      <c r="AC51" s="102">
        <f t="shared" si="252"/>
        <v>0.22809366339549894</v>
      </c>
      <c r="AD51" s="102">
        <f t="shared" si="252"/>
        <v>0.20325719657511621</v>
      </c>
      <c r="AE51" s="102">
        <f t="shared" si="252"/>
        <v>0.20807252320310812</v>
      </c>
      <c r="AF51" s="102">
        <f t="shared" si="252"/>
        <v>0.16857782128373655</v>
      </c>
      <c r="AG51" s="102">
        <f t="shared" ref="AG51" si="253">+IFERROR(AG37/AG$12,"n/a")</f>
        <v>0.14346186408065884</v>
      </c>
      <c r="AH51" s="102">
        <f t="shared" ref="AH51:AI52" si="254">+IFERROR(AH37/AH$12,"n/a")</f>
        <v>0.15409339607772496</v>
      </c>
      <c r="AI51" s="102">
        <f t="shared" si="254"/>
        <v>0.15802404996157635</v>
      </c>
      <c r="AJ51" s="102">
        <f t="shared" ref="AJ51:AM51" si="255">+IFERROR(AJ37/AJ$12,"n/a")</f>
        <v>0.14563881573697232</v>
      </c>
      <c r="AK51" s="102">
        <f t="shared" si="255"/>
        <v>0.13824640433096316</v>
      </c>
      <c r="AL51" s="102">
        <f t="shared" si="255"/>
        <v>0.13189465772432932</v>
      </c>
      <c r="AM51" s="102">
        <f t="shared" si="255"/>
        <v>0.13616100572622311</v>
      </c>
      <c r="AN51" s="101"/>
      <c r="AO51" s="101"/>
      <c r="AP51" s="101"/>
      <c r="AQ51" s="135">
        <f t="shared" si="247"/>
        <v>0.23248366183247848</v>
      </c>
      <c r="AR51" s="135">
        <f t="shared" si="247"/>
        <v>0.23382818280568629</v>
      </c>
      <c r="AS51" s="135">
        <f t="shared" si="247"/>
        <v>0.23303911669869395</v>
      </c>
      <c r="AT51" s="135">
        <f t="shared" si="247"/>
        <v>0.22632232232232233</v>
      </c>
      <c r="AU51" s="135">
        <f t="shared" si="247"/>
        <v>0.21946159860851805</v>
      </c>
      <c r="AV51" s="135">
        <f t="shared" si="247"/>
        <v>0.23127919596093052</v>
      </c>
      <c r="AW51" s="135">
        <f t="shared" si="247"/>
        <v>0.21815552124807017</v>
      </c>
      <c r="AX51" s="135">
        <f t="shared" si="247"/>
        <v>0.1558889384530722</v>
      </c>
      <c r="AY51" s="135">
        <f t="shared" ref="AY51" si="256">+IFERROR(AY37/AY$12,"n/a")</f>
        <v>0.13778102316255869</v>
      </c>
      <c r="AZ51" s="135"/>
    </row>
    <row r="52" spans="2:52" ht="10.15" x14ac:dyDescent="0.2">
      <c r="B52" s="20" t="s">
        <v>249</v>
      </c>
      <c r="D52" s="121" t="str">
        <f t="shared" ref="D52:AF52" si="257">+IFERROR(D38/D$12,"n/a")</f>
        <v>n/a</v>
      </c>
      <c r="E52" s="121" t="str">
        <f t="shared" si="257"/>
        <v>n/a</v>
      </c>
      <c r="F52" s="121" t="str">
        <f t="shared" si="257"/>
        <v>n/a</v>
      </c>
      <c r="G52" s="121" t="str">
        <f t="shared" si="257"/>
        <v>n/a</v>
      </c>
      <c r="H52" s="121" t="str">
        <f t="shared" si="257"/>
        <v>n/a</v>
      </c>
      <c r="I52" s="121" t="str">
        <f t="shared" si="257"/>
        <v>n/a</v>
      </c>
      <c r="J52" s="121" t="str">
        <f t="shared" si="257"/>
        <v>n/a</v>
      </c>
      <c r="K52" s="121" t="str">
        <f t="shared" si="257"/>
        <v>n/a</v>
      </c>
      <c r="L52" s="121">
        <f t="shared" si="257"/>
        <v>0.79534632565902508</v>
      </c>
      <c r="M52" s="121">
        <f t="shared" si="257"/>
        <v>0.81517808714518181</v>
      </c>
      <c r="N52" s="121">
        <f t="shared" si="257"/>
        <v>0.81922705719441069</v>
      </c>
      <c r="O52" s="121">
        <f t="shared" si="257"/>
        <v>0.91288833727649998</v>
      </c>
      <c r="P52" s="121">
        <f t="shared" si="257"/>
        <v>0.82221902328426966</v>
      </c>
      <c r="Q52" s="121">
        <f t="shared" si="257"/>
        <v>0.81087445522283141</v>
      </c>
      <c r="R52" s="121">
        <f t="shared" si="257"/>
        <v>0.77546900236054173</v>
      </c>
      <c r="S52" s="121">
        <f t="shared" si="257"/>
        <v>0.7997804610318332</v>
      </c>
      <c r="T52" s="121">
        <f t="shared" si="257"/>
        <v>0.7283614180709036</v>
      </c>
      <c r="U52" s="121">
        <f t="shared" si="257"/>
        <v>0.76035996000444384</v>
      </c>
      <c r="V52" s="121">
        <f t="shared" si="257"/>
        <v>0.76342077479087145</v>
      </c>
      <c r="W52" s="121">
        <f t="shared" si="257"/>
        <v>0.83542961336657606</v>
      </c>
      <c r="X52" s="121">
        <f t="shared" si="257"/>
        <v>0.82638986136395465</v>
      </c>
      <c r="Y52" s="121">
        <f t="shared" si="257"/>
        <v>0.84012138636000633</v>
      </c>
      <c r="Z52" s="121">
        <f t="shared" si="257"/>
        <v>0.8473545817944157</v>
      </c>
      <c r="AA52" s="121">
        <f t="shared" si="257"/>
        <v>0.98848586174311259</v>
      </c>
      <c r="AB52" s="121">
        <f t="shared" si="257"/>
        <v>0.92051643854945664</v>
      </c>
      <c r="AC52" s="121">
        <f t="shared" si="257"/>
        <v>0.80339523114615818</v>
      </c>
      <c r="AD52" s="121">
        <f t="shared" si="257"/>
        <v>0.74656368302040188</v>
      </c>
      <c r="AE52" s="121">
        <f t="shared" si="257"/>
        <v>0.74502961843777726</v>
      </c>
      <c r="AF52" s="121">
        <f t="shared" si="257"/>
        <v>0.72438586677853911</v>
      </c>
      <c r="AG52" s="121">
        <f t="shared" ref="AG52" si="258">+IFERROR(AG38/AG$12,"n/a")</f>
        <v>0.71198777363635368</v>
      </c>
      <c r="AH52" s="121">
        <f t="shared" si="254"/>
        <v>0.71409339607772493</v>
      </c>
      <c r="AI52" s="121">
        <f t="shared" si="254"/>
        <v>0.71802404996157643</v>
      </c>
      <c r="AJ52" s="121">
        <f t="shared" ref="AJ52:AM52" si="259">+IFERROR(AJ38/AJ$12,"n/a")</f>
        <v>0.69063881573697228</v>
      </c>
      <c r="AK52" s="121">
        <f t="shared" si="259"/>
        <v>0.67574640433096311</v>
      </c>
      <c r="AL52" s="121">
        <f t="shared" si="259"/>
        <v>0.66439465772432926</v>
      </c>
      <c r="AM52" s="121">
        <f t="shared" si="259"/>
        <v>0.66616100572622317</v>
      </c>
      <c r="AN52" s="101"/>
      <c r="AO52" s="101"/>
      <c r="AP52" s="101"/>
      <c r="AQ52" s="121">
        <f t="shared" si="247"/>
        <v>0.81852266513916738</v>
      </c>
      <c r="AR52" s="121">
        <f t="shared" si="247"/>
        <v>0.82179121865209925</v>
      </c>
      <c r="AS52" s="121">
        <f t="shared" si="247"/>
        <v>0.83919052427015817</v>
      </c>
      <c r="AT52" s="121">
        <f t="shared" si="247"/>
        <v>0.80103303303303297</v>
      </c>
      <c r="AU52" s="121">
        <f t="shared" si="247"/>
        <v>0.77581502226051979</v>
      </c>
      <c r="AV52" s="121">
        <f t="shared" si="247"/>
        <v>0.8790363170229164</v>
      </c>
      <c r="AW52" s="121">
        <f t="shared" si="247"/>
        <v>0.800013000731291</v>
      </c>
      <c r="AX52" s="121">
        <f t="shared" si="247"/>
        <v>0.71699647082983176</v>
      </c>
      <c r="AY52" s="121">
        <f t="shared" ref="AY52" si="260">+IFERROR(AY38/AY$12,"n/a")</f>
        <v>0.6737507812645035</v>
      </c>
      <c r="AZ52" s="121"/>
    </row>
    <row r="53" spans="2:52" ht="10.15" x14ac:dyDescent="0.2">
      <c r="B53" s="20"/>
      <c r="D53" s="121"/>
      <c r="E53" s="121"/>
      <c r="F53" s="121"/>
      <c r="G53" s="121"/>
      <c r="H53" s="121"/>
      <c r="I53" s="121"/>
      <c r="J53" s="121"/>
      <c r="K53" s="121"/>
      <c r="L53" s="121"/>
      <c r="M53" s="121"/>
      <c r="N53" s="121"/>
      <c r="O53" s="121"/>
      <c r="P53" s="121"/>
      <c r="Q53" s="121"/>
      <c r="R53" s="121"/>
      <c r="S53" s="121"/>
      <c r="T53" s="241"/>
      <c r="U53" s="241"/>
      <c r="V53" s="241"/>
      <c r="W53" s="241"/>
      <c r="X53" s="241"/>
      <c r="Y53" s="241"/>
      <c r="Z53" s="241"/>
      <c r="AA53" s="121"/>
      <c r="AB53" s="121"/>
      <c r="AC53" s="121"/>
      <c r="AD53" s="121"/>
      <c r="AE53" s="121"/>
      <c r="AF53" s="121"/>
      <c r="AG53" s="121"/>
      <c r="AH53" s="121"/>
      <c r="AI53" s="121"/>
      <c r="AJ53" s="121"/>
      <c r="AK53" s="121"/>
      <c r="AL53" s="121"/>
      <c r="AM53" s="121"/>
      <c r="AN53" s="101"/>
      <c r="AO53" s="101"/>
      <c r="AP53" s="101"/>
      <c r="AQ53" s="121"/>
      <c r="AR53" s="121"/>
      <c r="AS53" s="121"/>
      <c r="AT53" s="121"/>
      <c r="AU53" s="121"/>
      <c r="AV53" s="121"/>
      <c r="AW53" s="121"/>
    </row>
    <row r="54" spans="2:52" ht="10.15" x14ac:dyDescent="0.2">
      <c r="B54" s="19" t="s">
        <v>35</v>
      </c>
      <c r="D54" s="121"/>
      <c r="E54" s="121"/>
      <c r="F54" s="121"/>
      <c r="G54" s="121"/>
      <c r="H54" s="121"/>
      <c r="I54" s="121"/>
      <c r="J54" s="121"/>
      <c r="K54" s="121"/>
      <c r="L54" s="121"/>
      <c r="M54" s="121"/>
      <c r="N54" s="121"/>
      <c r="O54" s="121"/>
      <c r="P54" s="239"/>
      <c r="Q54" s="239"/>
      <c r="R54" s="239"/>
      <c r="S54" s="239"/>
      <c r="T54" s="239"/>
      <c r="U54" s="239"/>
      <c r="V54" s="239"/>
      <c r="W54" s="239"/>
      <c r="X54" s="239"/>
      <c r="Y54" s="239"/>
      <c r="Z54" s="240"/>
      <c r="AA54" s="121"/>
      <c r="AB54" s="121"/>
      <c r="AC54" s="121"/>
      <c r="AD54" s="156"/>
      <c r="AE54" s="121"/>
      <c r="AF54" s="121"/>
      <c r="AG54" s="121"/>
      <c r="AH54" s="121"/>
      <c r="AI54" s="121"/>
      <c r="AJ54" s="121"/>
      <c r="AK54" s="121"/>
      <c r="AL54" s="121"/>
      <c r="AM54" s="121"/>
      <c r="AN54" s="101"/>
      <c r="AO54" s="101"/>
      <c r="AP54" s="101"/>
      <c r="AQ54" s="121"/>
      <c r="AR54" s="121"/>
      <c r="AS54" s="121"/>
      <c r="AT54" s="121"/>
      <c r="AU54" s="121"/>
      <c r="AV54" s="121"/>
      <c r="AW54" s="121"/>
    </row>
    <row r="55" spans="2:52" ht="10.15" x14ac:dyDescent="0.2">
      <c r="B55" s="13" t="s">
        <v>290</v>
      </c>
      <c r="D55" s="115" t="s">
        <v>91</v>
      </c>
      <c r="E55" s="115" t="s">
        <v>91</v>
      </c>
      <c r="F55" s="115" t="s">
        <v>91</v>
      </c>
      <c r="G55" s="115" t="s">
        <v>91</v>
      </c>
      <c r="H55" s="115" t="s">
        <v>91</v>
      </c>
      <c r="I55" s="115" t="s">
        <v>91</v>
      </c>
      <c r="J55" s="115" t="s">
        <v>91</v>
      </c>
      <c r="K55" s="115" t="s">
        <v>91</v>
      </c>
      <c r="L55" s="115" t="s">
        <v>91</v>
      </c>
      <c r="M55" s="115" t="s">
        <v>91</v>
      </c>
      <c r="N55" s="115" t="s">
        <v>91</v>
      </c>
      <c r="O55" s="115" t="s">
        <v>91</v>
      </c>
      <c r="P55" s="116">
        <f>+$AT55/4</f>
        <v>6.3667499999999997</v>
      </c>
      <c r="Q55" s="116">
        <f t="shared" ref="Q55:S55" si="261">+$AT55/4</f>
        <v>6.3667499999999997</v>
      </c>
      <c r="R55" s="116">
        <f t="shared" si="261"/>
        <v>6.3667499999999997</v>
      </c>
      <c r="S55" s="116">
        <f t="shared" si="261"/>
        <v>6.3667499999999997</v>
      </c>
      <c r="T55" s="239">
        <f>+P55+T57</f>
        <v>7.8697499999999998</v>
      </c>
      <c r="U55" s="239">
        <f t="shared" ref="U55:W55" si="262">+Q55+U57</f>
        <v>10.33375</v>
      </c>
      <c r="V55" s="239">
        <f t="shared" si="262"/>
        <v>10.713750000000001</v>
      </c>
      <c r="W55" s="239">
        <f t="shared" si="262"/>
        <v>13.75975</v>
      </c>
      <c r="X55" s="239">
        <f>+T55+X57</f>
        <v>12.142749999999999</v>
      </c>
      <c r="Y55" s="239">
        <f t="shared" ref="Y55:AG55" si="263">+U55+Y57</f>
        <v>17.33175</v>
      </c>
      <c r="Z55" s="239">
        <f t="shared" si="263"/>
        <v>16.764749999999999</v>
      </c>
      <c r="AA55" s="239">
        <f t="shared" si="263"/>
        <v>20.079750000000001</v>
      </c>
      <c r="AB55" s="239">
        <f t="shared" si="263"/>
        <v>15.12275</v>
      </c>
      <c r="AC55" s="239">
        <f t="shared" si="263"/>
        <v>12.00375</v>
      </c>
      <c r="AD55" s="239">
        <f t="shared" si="263"/>
        <v>8.7637499999999999</v>
      </c>
      <c r="AE55" s="239">
        <f t="shared" si="263"/>
        <v>10.854749999999996</v>
      </c>
      <c r="AF55" s="239">
        <f t="shared" si="263"/>
        <v>9.6227499999999999</v>
      </c>
      <c r="AG55" s="239">
        <f t="shared" si="263"/>
        <v>11.90375</v>
      </c>
      <c r="AH55" s="121"/>
      <c r="AI55" s="121"/>
      <c r="AJ55" s="121"/>
      <c r="AK55" s="121"/>
      <c r="AL55" s="121"/>
      <c r="AM55" s="121"/>
      <c r="AN55" s="101"/>
      <c r="AO55" s="101"/>
      <c r="AP55" s="101"/>
      <c r="AQ55" s="115" t="s">
        <v>91</v>
      </c>
      <c r="AR55" s="115" t="s">
        <v>91</v>
      </c>
      <c r="AS55" s="115">
        <v>17.997</v>
      </c>
      <c r="AT55" s="115">
        <v>25.466999999999999</v>
      </c>
      <c r="AU55" s="115">
        <v>42.677</v>
      </c>
      <c r="AV55" s="115">
        <v>66.319000000000003</v>
      </c>
      <c r="AW55" s="115">
        <v>46.744999999999997</v>
      </c>
    </row>
    <row r="56" spans="2:52" ht="10.15" x14ac:dyDescent="0.2">
      <c r="B56" s="20" t="s">
        <v>18</v>
      </c>
      <c r="D56" s="120" t="str">
        <f t="shared" ref="D56:G56" si="264">IFERROR(D55/#REF!-1,"n/a")</f>
        <v>n/a</v>
      </c>
      <c r="E56" s="120" t="str">
        <f t="shared" si="264"/>
        <v>n/a</v>
      </c>
      <c r="F56" s="120" t="str">
        <f t="shared" si="264"/>
        <v>n/a</v>
      </c>
      <c r="G56" s="120" t="str">
        <f t="shared" si="264"/>
        <v>n/a</v>
      </c>
      <c r="H56" s="120" t="str">
        <f t="shared" ref="H56" si="265">IFERROR(H55/D55-1,"n/a")</f>
        <v>n/a</v>
      </c>
      <c r="I56" s="120" t="str">
        <f t="shared" ref="I56" si="266">IFERROR(I55/E55-1,"n/a")</f>
        <v>n/a</v>
      </c>
      <c r="J56" s="120" t="str">
        <f t="shared" ref="J56" si="267">IFERROR(J55/F55-1,"n/a")</f>
        <v>n/a</v>
      </c>
      <c r="K56" s="120" t="str">
        <f t="shared" ref="K56" si="268">IFERROR(K55/G55-1,"n/a")</f>
        <v>n/a</v>
      </c>
      <c r="L56" s="120" t="str">
        <f t="shared" ref="L56" si="269">IFERROR(L55/H55-1,"n/a")</f>
        <v>n/a</v>
      </c>
      <c r="M56" s="120" t="str">
        <f t="shared" ref="M56" si="270">IFERROR(M55/I55-1,"n/a")</f>
        <v>n/a</v>
      </c>
      <c r="N56" s="120" t="str">
        <f t="shared" ref="N56" si="271">IFERROR(N55/J55-1,"n/a")</f>
        <v>n/a</v>
      </c>
      <c r="O56" s="120" t="str">
        <f t="shared" ref="O56" si="272">IFERROR(O55/K55-1,"n/a")</f>
        <v>n/a</v>
      </c>
      <c r="P56" s="120" t="str">
        <f>IFERROR(P55/L55-1,"n/a")</f>
        <v>n/a</v>
      </c>
      <c r="Q56" s="120" t="str">
        <f t="shared" ref="Q56" si="273">IFERROR(Q55/M55-1,"n/a")</f>
        <v>n/a</v>
      </c>
      <c r="R56" s="120" t="str">
        <f t="shared" ref="R56" si="274">IFERROR(R55/N55-1,"n/a")</f>
        <v>n/a</v>
      </c>
      <c r="S56" s="120" t="str">
        <f t="shared" ref="S56" si="275">IFERROR(S55/O55-1,"n/a")</f>
        <v>n/a</v>
      </c>
      <c r="T56" s="120">
        <f t="shared" ref="T56" si="276">IFERROR(T55/P55-1,"n/a")</f>
        <v>0.23607020850512428</v>
      </c>
      <c r="U56" s="120">
        <f t="shared" ref="U56" si="277">IFERROR(U55/Q55-1,"n/a")</f>
        <v>0.62308084972709787</v>
      </c>
      <c r="V56" s="120">
        <f t="shared" ref="V56" si="278">IFERROR(V55/R55-1,"n/a")</f>
        <v>0.68276593238308414</v>
      </c>
      <c r="W56" s="120">
        <f t="shared" ref="W56" si="279">IFERROR(W55/S55-1,"n/a")</f>
        <v>1.1611889896729104</v>
      </c>
      <c r="X56" s="120">
        <f t="shared" ref="X56" si="280">IFERROR(X55/T55-1,"n/a")</f>
        <v>0.54296515137075518</v>
      </c>
      <c r="Y56" s="120">
        <f t="shared" ref="Y56" si="281">IFERROR(Y55/U55-1,"n/a")</f>
        <v>0.67719850006048143</v>
      </c>
      <c r="Z56" s="120">
        <f t="shared" ref="Z56:AG56" si="282">IFERROR(Z55/V55-1,"n/a")</f>
        <v>0.56478823941197032</v>
      </c>
      <c r="AA56" s="120">
        <f t="shared" si="282"/>
        <v>0.45931067061538178</v>
      </c>
      <c r="AB56" s="120">
        <f t="shared" si="282"/>
        <v>0.24541393012291279</v>
      </c>
      <c r="AC56" s="120">
        <f t="shared" si="282"/>
        <v>-0.30741269635207058</v>
      </c>
      <c r="AD56" s="120">
        <f t="shared" si="282"/>
        <v>-0.47725137565427456</v>
      </c>
      <c r="AE56" s="120">
        <f t="shared" si="282"/>
        <v>-0.45941807044410432</v>
      </c>
      <c r="AF56" s="120">
        <f t="shared" si="282"/>
        <v>-0.36369046635036617</v>
      </c>
      <c r="AG56" s="120">
        <f t="shared" si="282"/>
        <v>-8.3307299802144463E-3</v>
      </c>
      <c r="AH56" s="120"/>
      <c r="AI56" s="120"/>
      <c r="AJ56" s="120"/>
      <c r="AK56" s="120"/>
      <c r="AL56" s="120"/>
      <c r="AM56" s="120"/>
      <c r="AN56" s="238"/>
      <c r="AO56" s="238"/>
      <c r="AP56" s="120"/>
      <c r="AQ56" s="120"/>
      <c r="AR56" s="120" t="str">
        <f t="shared" ref="AR56" si="283">IFERROR(AR55/AQ55-1,"n/a")</f>
        <v>n/a</v>
      </c>
      <c r="AS56" s="120" t="str">
        <f t="shared" ref="AS56" si="284">IFERROR(AS55/AR55-1,"n/a")</f>
        <v>n/a</v>
      </c>
      <c r="AT56" s="120">
        <f t="shared" ref="AT56" si="285">IFERROR(AT55/AS55-1,"n/a")</f>
        <v>0.41506917819636602</v>
      </c>
      <c r="AU56" s="120">
        <f t="shared" ref="AU56:AW56" si="286">IFERROR(AU55/AT55-1,"n/a")</f>
        <v>0.67577649507205417</v>
      </c>
      <c r="AV56" s="120">
        <f t="shared" si="286"/>
        <v>0.55397520912903908</v>
      </c>
      <c r="AW56" s="120">
        <f t="shared" si="286"/>
        <v>-0.29514920309413595</v>
      </c>
    </row>
    <row r="57" spans="2:52" hidden="1" outlineLevel="1" x14ac:dyDescent="0.2">
      <c r="B57" s="20" t="s">
        <v>289</v>
      </c>
      <c r="D57" s="120"/>
      <c r="E57" s="120"/>
      <c r="F57" s="120"/>
      <c r="G57" s="120"/>
      <c r="H57" s="239" t="str">
        <f t="shared" ref="H57:R57" si="287">+IFERROR(H55-D55,"n/a")</f>
        <v>n/a</v>
      </c>
      <c r="I57" s="239" t="str">
        <f t="shared" si="287"/>
        <v>n/a</v>
      </c>
      <c r="J57" s="239" t="str">
        <f t="shared" si="287"/>
        <v>n/a</v>
      </c>
      <c r="K57" s="239" t="str">
        <f t="shared" si="287"/>
        <v>n/a</v>
      </c>
      <c r="L57" s="239" t="str">
        <f t="shared" si="287"/>
        <v>n/a</v>
      </c>
      <c r="M57" s="239" t="str">
        <f t="shared" si="287"/>
        <v>n/a</v>
      </c>
      <c r="N57" s="239" t="str">
        <f t="shared" si="287"/>
        <v>n/a</v>
      </c>
      <c r="O57" s="239" t="str">
        <f t="shared" si="287"/>
        <v>n/a</v>
      </c>
      <c r="P57" s="239" t="str">
        <f t="shared" si="287"/>
        <v>n/a</v>
      </c>
      <c r="Q57" s="239" t="str">
        <f t="shared" si="287"/>
        <v>n/a</v>
      </c>
      <c r="R57" s="239" t="str">
        <f t="shared" si="287"/>
        <v>n/a</v>
      </c>
      <c r="S57" s="239" t="str">
        <f>+IFERROR(S55-O55,"n/a")</f>
        <v>n/a</v>
      </c>
      <c r="T57" s="115">
        <v>1.5029999999999999</v>
      </c>
      <c r="U57" s="115">
        <v>3.9670000000000001</v>
      </c>
      <c r="V57" s="115">
        <v>4.3470000000000004</v>
      </c>
      <c r="W57" s="239">
        <f>+AU57-SUM(T57:V57)</f>
        <v>7.3930000000000007</v>
      </c>
      <c r="X57" s="115">
        <v>4.2729999999999997</v>
      </c>
      <c r="Y57" s="115">
        <v>6.9980000000000002</v>
      </c>
      <c r="Z57" s="115">
        <v>6.0510000000000002</v>
      </c>
      <c r="AA57" s="239">
        <f>+AV57-SUM(X57:Z57)</f>
        <v>6.32</v>
      </c>
      <c r="AB57" s="115">
        <v>2.98</v>
      </c>
      <c r="AC57" s="115">
        <v>-5.3280000000000003</v>
      </c>
      <c r="AD57" s="115">
        <v>-8.0009999999999994</v>
      </c>
      <c r="AE57" s="239">
        <f>+AW57-SUM(AB57:AD57)</f>
        <v>-9.225000000000005</v>
      </c>
      <c r="AF57" s="115">
        <v>-5.5</v>
      </c>
      <c r="AG57" s="115">
        <f>-5.6-AF57</f>
        <v>-9.9999999999999645E-2</v>
      </c>
      <c r="AH57" s="120"/>
      <c r="AI57" s="120"/>
      <c r="AJ57" s="120"/>
      <c r="AK57" s="120"/>
      <c r="AL57" s="120"/>
      <c r="AM57" s="120"/>
      <c r="AN57" s="238"/>
      <c r="AO57" s="238"/>
      <c r="AP57" s="120"/>
      <c r="AQ57" s="119"/>
      <c r="AR57" s="119" t="str">
        <f t="shared" ref="AR57:AW57" si="288">+IFERROR(AR55-AQ55,"n/a")</f>
        <v>n/a</v>
      </c>
      <c r="AS57" s="119" t="str">
        <f t="shared" si="288"/>
        <v>n/a</v>
      </c>
      <c r="AT57" s="119">
        <f t="shared" si="288"/>
        <v>7.4699999999999989</v>
      </c>
      <c r="AU57" s="119">
        <f t="shared" si="288"/>
        <v>17.21</v>
      </c>
      <c r="AV57" s="119">
        <f t="shared" si="288"/>
        <v>23.642000000000003</v>
      </c>
      <c r="AW57" s="119">
        <f t="shared" si="288"/>
        <v>-19.574000000000005</v>
      </c>
    </row>
    <row r="58" spans="2:52" ht="10.15" collapsed="1" x14ac:dyDescent="0.2">
      <c r="B58" s="20" t="s">
        <v>26</v>
      </c>
      <c r="D58" s="121" t="str">
        <f t="shared" ref="D58:AF58" si="289">IFERROR(D55/D12,"n/a")</f>
        <v>n/a</v>
      </c>
      <c r="E58" s="121" t="str">
        <f t="shared" si="289"/>
        <v>n/a</v>
      </c>
      <c r="F58" s="121" t="str">
        <f t="shared" si="289"/>
        <v>n/a</v>
      </c>
      <c r="G58" s="121" t="str">
        <f t="shared" si="289"/>
        <v>n/a</v>
      </c>
      <c r="H58" s="121" t="str">
        <f t="shared" si="289"/>
        <v>n/a</v>
      </c>
      <c r="I58" s="121" t="str">
        <f t="shared" si="289"/>
        <v>n/a</v>
      </c>
      <c r="J58" s="121" t="str">
        <f t="shared" si="289"/>
        <v>n/a</v>
      </c>
      <c r="K58" s="121" t="str">
        <f t="shared" si="289"/>
        <v>n/a</v>
      </c>
      <c r="L58" s="121" t="str">
        <f t="shared" si="289"/>
        <v>n/a</v>
      </c>
      <c r="M58" s="121" t="str">
        <f t="shared" si="289"/>
        <v>n/a</v>
      </c>
      <c r="N58" s="121" t="str">
        <f t="shared" si="289"/>
        <v>n/a</v>
      </c>
      <c r="O58" s="121" t="str">
        <f t="shared" si="289"/>
        <v>n/a</v>
      </c>
      <c r="P58" s="121">
        <f t="shared" si="289"/>
        <v>0.2291269298592867</v>
      </c>
      <c r="Q58" s="121">
        <f t="shared" si="289"/>
        <v>0.22377161535217205</v>
      </c>
      <c r="R58" s="121">
        <f t="shared" si="289"/>
        <v>0.19774972046216921</v>
      </c>
      <c r="S58" s="121">
        <f t="shared" si="289"/>
        <v>0.17471871569703623</v>
      </c>
      <c r="T58" s="121">
        <f t="shared" si="289"/>
        <v>0.19675358767938397</v>
      </c>
      <c r="U58" s="121">
        <f t="shared" si="289"/>
        <v>0.22961337629152315</v>
      </c>
      <c r="V58" s="121">
        <f t="shared" si="289"/>
        <v>0.21752923739137497</v>
      </c>
      <c r="W58" s="121">
        <f t="shared" si="289"/>
        <v>0.25601440107170764</v>
      </c>
      <c r="X58" s="121">
        <f t="shared" si="289"/>
        <v>0.21255338888110908</v>
      </c>
      <c r="Y58" s="121">
        <f t="shared" si="289"/>
        <v>0.27682079540009585</v>
      </c>
      <c r="Z58" s="121">
        <f t="shared" si="289"/>
        <v>0.25481054215494048</v>
      </c>
      <c r="AA58" s="121">
        <f t="shared" si="289"/>
        <v>0.29192047684815003</v>
      </c>
      <c r="AB58" s="121">
        <f t="shared" si="289"/>
        <v>0.21338718780866373</v>
      </c>
      <c r="AC58" s="121">
        <f t="shared" si="289"/>
        <v>0.16070783072041558</v>
      </c>
      <c r="AD58" s="121">
        <f t="shared" si="289"/>
        <v>0.11133095353032342</v>
      </c>
      <c r="AE58" s="121">
        <f t="shared" si="289"/>
        <v>0.13016224188790554</v>
      </c>
      <c r="AF58" s="121">
        <f t="shared" si="289"/>
        <v>0.11213757982566541</v>
      </c>
      <c r="AG58" s="121">
        <f t="shared" ref="AG58" si="290">IFERROR(AG55/AG12,"n/a")</f>
        <v>0.13088091389869272</v>
      </c>
      <c r="AH58" s="121"/>
      <c r="AI58" s="121"/>
      <c r="AJ58" s="121"/>
      <c r="AK58" s="121"/>
      <c r="AL58" s="121"/>
      <c r="AM58" s="121"/>
      <c r="AN58" s="101"/>
      <c r="AO58" s="101"/>
      <c r="AP58" s="101"/>
      <c r="AQ58" s="121" t="str">
        <f t="shared" ref="AQ58:AW58" si="291">IFERROR(AQ55/AQ12,"n/a")</f>
        <v>n/a</v>
      </c>
      <c r="AR58" s="121" t="str">
        <f t="shared" si="291"/>
        <v>n/a</v>
      </c>
      <c r="AS58" s="121">
        <f t="shared" si="291"/>
        <v>0.1953880728267596</v>
      </c>
      <c r="AT58" s="121">
        <f t="shared" si="291"/>
        <v>0.20393993993993992</v>
      </c>
      <c r="AU58" s="121">
        <f t="shared" si="291"/>
        <v>0.22700411168025703</v>
      </c>
      <c r="AV58" s="121">
        <f t="shared" si="291"/>
        <v>0.26077399770364429</v>
      </c>
      <c r="AW58" s="121">
        <f t="shared" si="291"/>
        <v>0.15192979605102785</v>
      </c>
    </row>
    <row r="59" spans="2:52" ht="10.15" x14ac:dyDescent="0.2">
      <c r="B59" s="13" t="s">
        <v>291</v>
      </c>
      <c r="D59" s="239" t="str">
        <f t="shared" ref="D59:O59" si="292">+IFERROR(D63-D312,"n/a")</f>
        <v>n/a</v>
      </c>
      <c r="E59" s="239" t="str">
        <f t="shared" si="292"/>
        <v>n/a</v>
      </c>
      <c r="F59" s="239" t="str">
        <f t="shared" si="292"/>
        <v>n/a</v>
      </c>
      <c r="G59" s="239" t="str">
        <f t="shared" si="292"/>
        <v>n/a</v>
      </c>
      <c r="H59" s="239" t="str">
        <f t="shared" si="292"/>
        <v>n/a</v>
      </c>
      <c r="I59" s="239" t="str">
        <f t="shared" si="292"/>
        <v>n/a</v>
      </c>
      <c r="J59" s="239" t="str">
        <f t="shared" si="292"/>
        <v>n/a</v>
      </c>
      <c r="K59" s="239" t="str">
        <f t="shared" si="292"/>
        <v>n/a</v>
      </c>
      <c r="L59" s="239" t="str">
        <f t="shared" si="292"/>
        <v>n/a</v>
      </c>
      <c r="M59" s="239" t="str">
        <f t="shared" si="292"/>
        <v>n/a</v>
      </c>
      <c r="N59" s="239" t="str">
        <f t="shared" si="292"/>
        <v>n/a</v>
      </c>
      <c r="O59" s="239" t="str">
        <f t="shared" si="292"/>
        <v>n/a</v>
      </c>
      <c r="P59" s="239">
        <f t="shared" ref="P59:AF59" si="293">+IFERROR(P63-P312-P319-P326-P333,"n/a")</f>
        <v>6.4832500000000008</v>
      </c>
      <c r="Q59" s="239">
        <f t="shared" si="293"/>
        <v>6.3102500000000008</v>
      </c>
      <c r="R59" s="239">
        <f t="shared" si="293"/>
        <v>7.6822500000000016</v>
      </c>
      <c r="S59" s="239">
        <f t="shared" si="293"/>
        <v>8.4092500000000001</v>
      </c>
      <c r="T59" s="239">
        <f t="shared" si="293"/>
        <v>8.3972500000000014</v>
      </c>
      <c r="U59" s="239">
        <f t="shared" si="293"/>
        <v>7.9122499999999985</v>
      </c>
      <c r="V59" s="239">
        <f t="shared" si="293"/>
        <v>9.8602499999999988</v>
      </c>
      <c r="W59" s="239">
        <f t="shared" si="293"/>
        <v>11.774249999999999</v>
      </c>
      <c r="X59" s="239">
        <f t="shared" si="293"/>
        <v>13.55425</v>
      </c>
      <c r="Y59" s="239">
        <f t="shared" si="293"/>
        <v>13.28525</v>
      </c>
      <c r="Z59" s="239">
        <f t="shared" si="293"/>
        <v>13.61525</v>
      </c>
      <c r="AA59" s="239">
        <f t="shared" si="293"/>
        <v>17.880249999999997</v>
      </c>
      <c r="AB59" s="239">
        <f t="shared" si="293"/>
        <v>19.845250000000004</v>
      </c>
      <c r="AC59" s="239">
        <f t="shared" si="293"/>
        <v>17.393249999999998</v>
      </c>
      <c r="AD59" s="239">
        <f t="shared" si="293"/>
        <v>20.50825</v>
      </c>
      <c r="AE59" s="239">
        <f t="shared" si="293"/>
        <v>19.302250000000004</v>
      </c>
      <c r="AF59" s="239">
        <f t="shared" si="293"/>
        <v>21.404250000000001</v>
      </c>
      <c r="AG59" s="239">
        <f t="shared" ref="AG59" si="294">+IFERROR(AG63-AG312-AG319-AG326-AG333,"n/a")</f>
        <v>21.887249999999998</v>
      </c>
      <c r="AH59" s="121"/>
      <c r="AI59" s="121"/>
      <c r="AJ59" s="121"/>
      <c r="AK59" s="121"/>
      <c r="AL59" s="121"/>
      <c r="AM59" s="121"/>
      <c r="AN59" s="101"/>
      <c r="AO59" s="101"/>
      <c r="AP59" s="101"/>
      <c r="AQ59" s="239" t="str">
        <f t="shared" ref="AQ59:AW59" si="295">+IFERROR(AQ63-AQ312-AQ319-AQ326-AQ333,"n/a")</f>
        <v>n/a</v>
      </c>
      <c r="AR59" s="239" t="str">
        <f t="shared" si="295"/>
        <v>n/a</v>
      </c>
      <c r="AS59" s="239">
        <f t="shared" si="295"/>
        <v>23.668999999999993</v>
      </c>
      <c r="AT59" s="239">
        <f t="shared" si="295"/>
        <v>28.885000000000002</v>
      </c>
      <c r="AU59" s="239">
        <f t="shared" si="295"/>
        <v>37.943999999999988</v>
      </c>
      <c r="AV59" s="239">
        <f t="shared" si="295"/>
        <v>58.33499999999998</v>
      </c>
      <c r="AW59" s="239">
        <f t="shared" si="295"/>
        <v>77.049000000000007</v>
      </c>
    </row>
    <row r="60" spans="2:52" ht="10.15" x14ac:dyDescent="0.2">
      <c r="B60" s="20" t="s">
        <v>18</v>
      </c>
      <c r="D60" s="121"/>
      <c r="E60" s="121"/>
      <c r="F60" s="121"/>
      <c r="G60" s="121"/>
      <c r="H60" s="120" t="str">
        <f t="shared" ref="H60" si="296">IFERROR(H59/D59-1,"n/a")</f>
        <v>n/a</v>
      </c>
      <c r="I60" s="120" t="str">
        <f t="shared" ref="I60" si="297">IFERROR(I59/E59-1,"n/a")</f>
        <v>n/a</v>
      </c>
      <c r="J60" s="120" t="str">
        <f t="shared" ref="J60" si="298">IFERROR(J59/F59-1,"n/a")</f>
        <v>n/a</v>
      </c>
      <c r="K60" s="120" t="str">
        <f t="shared" ref="K60" si="299">IFERROR(K59/G59-1,"n/a")</f>
        <v>n/a</v>
      </c>
      <c r="L60" s="120" t="str">
        <f t="shared" ref="L60" si="300">IFERROR(L59/H59-1,"n/a")</f>
        <v>n/a</v>
      </c>
      <c r="M60" s="120" t="str">
        <f t="shared" ref="M60" si="301">IFERROR(M59/I59-1,"n/a")</f>
        <v>n/a</v>
      </c>
      <c r="N60" s="120" t="str">
        <f t="shared" ref="N60" si="302">IFERROR(N59/J59-1,"n/a")</f>
        <v>n/a</v>
      </c>
      <c r="O60" s="120" t="str">
        <f t="shared" ref="O60" si="303">IFERROR(O59/K59-1,"n/a")</f>
        <v>n/a</v>
      </c>
      <c r="P60" s="120" t="str">
        <f>IFERROR(P59/L59-1,"n/a")</f>
        <v>n/a</v>
      </c>
      <c r="Q60" s="120" t="str">
        <f t="shared" ref="Q60" si="304">IFERROR(Q59/M59-1,"n/a")</f>
        <v>n/a</v>
      </c>
      <c r="R60" s="120" t="str">
        <f t="shared" ref="R60" si="305">IFERROR(R59/N59-1,"n/a")</f>
        <v>n/a</v>
      </c>
      <c r="S60" s="120" t="str">
        <f t="shared" ref="S60" si="306">IFERROR(S59/O59-1,"n/a")</f>
        <v>n/a</v>
      </c>
      <c r="T60" s="120">
        <f t="shared" ref="T60" si="307">IFERROR(T59/P59-1,"n/a")</f>
        <v>0.29522230362858148</v>
      </c>
      <c r="U60" s="120">
        <f t="shared" ref="U60" si="308">IFERROR(U59/Q59-1,"n/a")</f>
        <v>0.25387266748543991</v>
      </c>
      <c r="V60" s="120">
        <f t="shared" ref="V60" si="309">IFERROR(V59/R59-1,"n/a")</f>
        <v>0.283510690227472</v>
      </c>
      <c r="W60" s="120">
        <f t="shared" ref="W60" si="310">IFERROR(W59/S59-1,"n/a")</f>
        <v>0.40015459166988721</v>
      </c>
      <c r="X60" s="120">
        <f t="shared" ref="X60" si="311">IFERROR(X59/T59-1,"n/a")</f>
        <v>0.61412962577034125</v>
      </c>
      <c r="Y60" s="120">
        <f t="shared" ref="Y60" si="312">IFERROR(Y59/U59-1,"n/a")</f>
        <v>0.67907358842301524</v>
      </c>
      <c r="Z60" s="120">
        <f t="shared" ref="Z60:AG60" si="313">IFERROR(Z59/V59-1,"n/a")</f>
        <v>0.38082198727212813</v>
      </c>
      <c r="AA60" s="120">
        <f t="shared" si="313"/>
        <v>0.51858929443488955</v>
      </c>
      <c r="AB60" s="120">
        <f t="shared" si="313"/>
        <v>0.464134865448107</v>
      </c>
      <c r="AC60" s="120">
        <f t="shared" si="313"/>
        <v>0.3092151069795448</v>
      </c>
      <c r="AD60" s="120">
        <f t="shared" si="313"/>
        <v>0.50627054222287504</v>
      </c>
      <c r="AE60" s="120">
        <f t="shared" si="313"/>
        <v>7.9529089358370664E-2</v>
      </c>
      <c r="AF60" s="120">
        <f t="shared" si="313"/>
        <v>7.855784129703558E-2</v>
      </c>
      <c r="AG60" s="120">
        <f t="shared" si="313"/>
        <v>0.25837609417446417</v>
      </c>
      <c r="AH60" s="120"/>
      <c r="AI60" s="120"/>
      <c r="AJ60" s="120"/>
      <c r="AK60" s="120"/>
      <c r="AL60" s="120"/>
      <c r="AM60" s="120"/>
      <c r="AN60" s="238"/>
      <c r="AO60" s="238"/>
      <c r="AP60" s="120"/>
      <c r="AQ60" s="120"/>
      <c r="AR60" s="120" t="str">
        <f t="shared" ref="AR60" si="314">IFERROR(AR59/AQ59-1,"n/a")</f>
        <v>n/a</v>
      </c>
      <c r="AS60" s="120" t="str">
        <f t="shared" ref="AS60" si="315">IFERROR(AS59/AR59-1,"n/a")</f>
        <v>n/a</v>
      </c>
      <c r="AT60" s="120">
        <f t="shared" ref="AT60" si="316">IFERROR(AT59/AS59-1,"n/a")</f>
        <v>0.22037263931725093</v>
      </c>
      <c r="AU60" s="120">
        <f t="shared" ref="AU60:AW60" si="317">IFERROR(AU59/AT59-1,"n/a")</f>
        <v>0.31362298770988351</v>
      </c>
      <c r="AV60" s="120">
        <f t="shared" si="317"/>
        <v>0.53739721695129661</v>
      </c>
      <c r="AW60" s="120">
        <f t="shared" si="317"/>
        <v>0.32080226279249224</v>
      </c>
    </row>
    <row r="61" spans="2:52" hidden="1" outlineLevel="1" x14ac:dyDescent="0.2">
      <c r="B61" s="20" t="s">
        <v>289</v>
      </c>
      <c r="D61" s="121"/>
      <c r="E61" s="121"/>
      <c r="F61" s="121"/>
      <c r="G61" s="121"/>
      <c r="H61" s="239" t="str">
        <f t="shared" ref="H61" si="318">+IFERROR(H59-D59,"n/a")</f>
        <v>n/a</v>
      </c>
      <c r="I61" s="239" t="str">
        <f t="shared" ref="I61" si="319">+IFERROR(I59-E59,"n/a")</f>
        <v>n/a</v>
      </c>
      <c r="J61" s="239" t="str">
        <f t="shared" ref="J61" si="320">+IFERROR(J59-F59,"n/a")</f>
        <v>n/a</v>
      </c>
      <c r="K61" s="239" t="str">
        <f t="shared" ref="K61" si="321">+IFERROR(K59-G59,"n/a")</f>
        <v>n/a</v>
      </c>
      <c r="L61" s="239" t="str">
        <f t="shared" ref="L61" si="322">+IFERROR(L59-H59,"n/a")</f>
        <v>n/a</v>
      </c>
      <c r="M61" s="239" t="str">
        <f t="shared" ref="M61" si="323">+IFERROR(M59-I59,"n/a")</f>
        <v>n/a</v>
      </c>
      <c r="N61" s="239" t="str">
        <f t="shared" ref="N61" si="324">+IFERROR(N59-J59,"n/a")</f>
        <v>n/a</v>
      </c>
      <c r="O61" s="239" t="str">
        <f t="shared" ref="O61" si="325">+IFERROR(O59-K59,"n/a")</f>
        <v>n/a</v>
      </c>
      <c r="P61" s="239" t="str">
        <f t="shared" ref="P61" si="326">+IFERROR(P59-L59,"n/a")</f>
        <v>n/a</v>
      </c>
      <c r="Q61" s="239" t="str">
        <f t="shared" ref="Q61" si="327">+IFERROR(Q59-M59,"n/a")</f>
        <v>n/a</v>
      </c>
      <c r="R61" s="239" t="str">
        <f t="shared" ref="R61" si="328">+IFERROR(R59-N59,"n/a")</f>
        <v>n/a</v>
      </c>
      <c r="S61" s="239" t="str">
        <f>+IFERROR(S59-O59,"n/a")</f>
        <v>n/a</v>
      </c>
      <c r="T61" s="239">
        <f t="shared" ref="T61:AG61" si="329">+IFERROR(T59-P59,"n/a")</f>
        <v>1.9140000000000006</v>
      </c>
      <c r="U61" s="239">
        <f t="shared" si="329"/>
        <v>1.6019999999999976</v>
      </c>
      <c r="V61" s="239">
        <f t="shared" si="329"/>
        <v>2.1779999999999973</v>
      </c>
      <c r="W61" s="239">
        <f t="shared" si="329"/>
        <v>3.3649999999999984</v>
      </c>
      <c r="X61" s="239">
        <f t="shared" si="329"/>
        <v>5.1569999999999983</v>
      </c>
      <c r="Y61" s="239">
        <f t="shared" si="329"/>
        <v>5.3730000000000011</v>
      </c>
      <c r="Z61" s="239">
        <f t="shared" si="329"/>
        <v>3.7550000000000008</v>
      </c>
      <c r="AA61" s="239">
        <f t="shared" si="329"/>
        <v>6.1059999999999981</v>
      </c>
      <c r="AB61" s="239">
        <f t="shared" si="329"/>
        <v>6.2910000000000039</v>
      </c>
      <c r="AC61" s="239">
        <f t="shared" si="329"/>
        <v>4.1079999999999988</v>
      </c>
      <c r="AD61" s="239">
        <f t="shared" si="329"/>
        <v>6.8930000000000007</v>
      </c>
      <c r="AE61" s="239">
        <f t="shared" si="329"/>
        <v>1.4220000000000077</v>
      </c>
      <c r="AF61" s="239">
        <f t="shared" si="329"/>
        <v>1.5589999999999975</v>
      </c>
      <c r="AG61" s="239">
        <f t="shared" si="329"/>
        <v>4.4939999999999998</v>
      </c>
      <c r="AH61" s="121"/>
      <c r="AI61" s="121"/>
      <c r="AJ61" s="121"/>
      <c r="AK61" s="121"/>
      <c r="AL61" s="121"/>
      <c r="AM61" s="121"/>
      <c r="AN61" s="101"/>
      <c r="AO61" s="101"/>
      <c r="AP61" s="101"/>
      <c r="AQ61" s="121"/>
      <c r="AR61" s="119" t="str">
        <f t="shared" ref="AR61:AW61" si="330">+IFERROR(AR59-AQ59,"n/a")</f>
        <v>n/a</v>
      </c>
      <c r="AS61" s="119" t="str">
        <f t="shared" si="330"/>
        <v>n/a</v>
      </c>
      <c r="AT61" s="119">
        <f t="shared" si="330"/>
        <v>5.2160000000000082</v>
      </c>
      <c r="AU61" s="119">
        <f t="shared" si="330"/>
        <v>9.0589999999999868</v>
      </c>
      <c r="AV61" s="119">
        <f t="shared" si="330"/>
        <v>20.390999999999991</v>
      </c>
      <c r="AW61" s="119">
        <f t="shared" si="330"/>
        <v>18.714000000000027</v>
      </c>
    </row>
    <row r="62" spans="2:52" ht="10.15" collapsed="1" x14ac:dyDescent="0.2">
      <c r="B62" s="20" t="s">
        <v>26</v>
      </c>
      <c r="D62" s="121"/>
      <c r="E62" s="121"/>
      <c r="F62" s="121"/>
      <c r="G62" s="121"/>
      <c r="H62" s="121" t="str">
        <f t="shared" ref="H62:AE62" si="331">IFERROR(H59/H12,"n/a")</f>
        <v>n/a</v>
      </c>
      <c r="I62" s="121" t="str">
        <f t="shared" si="331"/>
        <v>n/a</v>
      </c>
      <c r="J62" s="121" t="str">
        <f t="shared" si="331"/>
        <v>n/a</v>
      </c>
      <c r="K62" s="121" t="str">
        <f t="shared" si="331"/>
        <v>n/a</v>
      </c>
      <c r="L62" s="121" t="str">
        <f t="shared" si="331"/>
        <v>n/a</v>
      </c>
      <c r="M62" s="121" t="str">
        <f t="shared" si="331"/>
        <v>n/a</v>
      </c>
      <c r="N62" s="121" t="str">
        <f t="shared" si="331"/>
        <v>n/a</v>
      </c>
      <c r="O62" s="121" t="str">
        <f t="shared" si="331"/>
        <v>n/a</v>
      </c>
      <c r="P62" s="121">
        <f t="shared" si="331"/>
        <v>0.23331953791341278</v>
      </c>
      <c r="Q62" s="121">
        <f t="shared" si="331"/>
        <v>0.22178581470546888</v>
      </c>
      <c r="R62" s="121">
        <f t="shared" si="331"/>
        <v>0.23860883339545291</v>
      </c>
      <c r="S62" s="121">
        <f t="shared" si="331"/>
        <v>0.23076975850713505</v>
      </c>
      <c r="T62" s="121">
        <f t="shared" si="331"/>
        <v>0.20994174708735441</v>
      </c>
      <c r="U62" s="121">
        <f t="shared" si="331"/>
        <v>0.17580824352849678</v>
      </c>
      <c r="V62" s="121">
        <f t="shared" si="331"/>
        <v>0.20019999187850238</v>
      </c>
      <c r="W62" s="121">
        <f t="shared" si="331"/>
        <v>0.21907211699475307</v>
      </c>
      <c r="X62" s="121">
        <f t="shared" si="331"/>
        <v>0.23726106287634785</v>
      </c>
      <c r="Y62" s="121">
        <f t="shared" si="331"/>
        <v>0.21219054464143108</v>
      </c>
      <c r="Z62" s="121">
        <f t="shared" si="331"/>
        <v>0.20694070797805236</v>
      </c>
      <c r="AA62" s="121">
        <f t="shared" si="331"/>
        <v>0.25994402849458453</v>
      </c>
      <c r="AB62" s="121">
        <f t="shared" si="331"/>
        <v>0.28002328206575422</v>
      </c>
      <c r="AC62" s="121">
        <f t="shared" si="331"/>
        <v>0.23286318664399608</v>
      </c>
      <c r="AD62" s="121">
        <f t="shared" si="331"/>
        <v>0.26052808760385171</v>
      </c>
      <c r="AE62" s="121">
        <f t="shared" si="331"/>
        <v>0.23145849821330075</v>
      </c>
      <c r="AF62" s="121">
        <f t="shared" ref="AF62:AG62" si="332">IFERROR(AF59/AF12,"n/a")</f>
        <v>0.24943189763669418</v>
      </c>
      <c r="AG62" s="121">
        <f t="shared" si="332"/>
        <v>0.24064881089817594</v>
      </c>
      <c r="AH62" s="121"/>
      <c r="AI62" s="121"/>
      <c r="AJ62" s="121"/>
      <c r="AK62" s="121"/>
      <c r="AL62" s="121"/>
      <c r="AM62" s="121"/>
      <c r="AN62" s="101"/>
      <c r="AO62" s="101"/>
      <c r="AP62" s="101"/>
      <c r="AQ62" s="121" t="str">
        <f t="shared" ref="AQ62:AW62" si="333">IFERROR(AQ59/AQ12,"n/a")</f>
        <v>n/a</v>
      </c>
      <c r="AR62" s="121" t="str">
        <f t="shared" si="333"/>
        <v>n/a</v>
      </c>
      <c r="AS62" s="121">
        <f t="shared" si="333"/>
        <v>0.25696728875571329</v>
      </c>
      <c r="AT62" s="121">
        <f t="shared" si="333"/>
        <v>0.23131131131131133</v>
      </c>
      <c r="AU62" s="121">
        <f t="shared" si="333"/>
        <v>0.20182871367705485</v>
      </c>
      <c r="AV62" s="121">
        <f t="shared" si="333"/>
        <v>0.22937998395696685</v>
      </c>
      <c r="AW62" s="121">
        <f t="shared" si="333"/>
        <v>0.25042333631266761</v>
      </c>
    </row>
    <row r="63" spans="2:52" ht="10.15" hidden="1" outlineLevel="1" x14ac:dyDescent="0.2">
      <c r="B63" s="13" t="s">
        <v>292</v>
      </c>
      <c r="D63" s="119" t="str">
        <f t="shared" ref="D63:AF63" si="334">+IFERROR(D280-D55,"n/a")</f>
        <v>n/a</v>
      </c>
      <c r="E63" s="119" t="str">
        <f t="shared" si="334"/>
        <v>n/a</v>
      </c>
      <c r="F63" s="119" t="str">
        <f t="shared" si="334"/>
        <v>n/a</v>
      </c>
      <c r="G63" s="119" t="str">
        <f t="shared" si="334"/>
        <v>n/a</v>
      </c>
      <c r="H63" s="119" t="str">
        <f t="shared" si="334"/>
        <v>n/a</v>
      </c>
      <c r="I63" s="119" t="str">
        <f t="shared" si="334"/>
        <v>n/a</v>
      </c>
      <c r="J63" s="119" t="str">
        <f t="shared" si="334"/>
        <v>n/a</v>
      </c>
      <c r="K63" s="119" t="str">
        <f t="shared" si="334"/>
        <v>n/a</v>
      </c>
      <c r="L63" s="119" t="str">
        <f t="shared" si="334"/>
        <v>n/a</v>
      </c>
      <c r="M63" s="119" t="str">
        <f t="shared" si="334"/>
        <v>n/a</v>
      </c>
      <c r="N63" s="119" t="str">
        <f t="shared" si="334"/>
        <v>n/a</v>
      </c>
      <c r="O63" s="119" t="str">
        <f t="shared" si="334"/>
        <v>n/a</v>
      </c>
      <c r="P63" s="119">
        <f t="shared" si="334"/>
        <v>6.510250000000001</v>
      </c>
      <c r="Q63" s="119">
        <f t="shared" si="334"/>
        <v>6.3372500000000009</v>
      </c>
      <c r="R63" s="119">
        <f t="shared" si="334"/>
        <v>7.7182500000000012</v>
      </c>
      <c r="S63" s="119">
        <f t="shared" si="334"/>
        <v>8.4852500000000006</v>
      </c>
      <c r="T63" s="119">
        <f t="shared" si="334"/>
        <v>8.5872500000000009</v>
      </c>
      <c r="U63" s="119">
        <f t="shared" si="334"/>
        <v>7.9642499999999981</v>
      </c>
      <c r="V63" s="119">
        <f t="shared" si="334"/>
        <v>9.9602499999999985</v>
      </c>
      <c r="W63" s="119">
        <f t="shared" si="334"/>
        <v>11.934249999999999</v>
      </c>
      <c r="X63" s="119">
        <f t="shared" si="334"/>
        <v>13.687249999999999</v>
      </c>
      <c r="Y63" s="119">
        <f t="shared" si="334"/>
        <v>13.562249999999999</v>
      </c>
      <c r="Z63" s="119">
        <f t="shared" si="334"/>
        <v>13.80425</v>
      </c>
      <c r="AA63" s="119">
        <f t="shared" si="334"/>
        <v>19.516249999999996</v>
      </c>
      <c r="AB63" s="119">
        <f t="shared" si="334"/>
        <v>20.373250000000002</v>
      </c>
      <c r="AC63" s="119">
        <f t="shared" si="334"/>
        <v>18.233249999999998</v>
      </c>
      <c r="AD63" s="119">
        <f t="shared" si="334"/>
        <v>21.330249999999999</v>
      </c>
      <c r="AE63" s="119">
        <f t="shared" si="334"/>
        <v>20.189250000000005</v>
      </c>
      <c r="AF63" s="119">
        <f t="shared" si="334"/>
        <v>24.298249999999999</v>
      </c>
      <c r="AG63" s="119">
        <f t="shared" ref="AG63" si="335">+IFERROR(AG280-AG55,"n/a")</f>
        <v>23.096249999999998</v>
      </c>
      <c r="AH63" s="121"/>
      <c r="AI63" s="121"/>
      <c r="AJ63" s="121"/>
      <c r="AK63" s="121"/>
      <c r="AL63" s="121"/>
      <c r="AM63" s="121"/>
      <c r="AN63" s="101"/>
      <c r="AO63" s="101"/>
      <c r="AP63" s="101"/>
      <c r="AQ63" s="119" t="str">
        <f t="shared" ref="AQ63:AW63" si="336">+IFERROR(AQ280-AQ55,"n/a")</f>
        <v>n/a</v>
      </c>
      <c r="AR63" s="119" t="str">
        <f t="shared" si="336"/>
        <v>n/a</v>
      </c>
      <c r="AS63" s="119">
        <f t="shared" si="336"/>
        <v>23.721999999999994</v>
      </c>
      <c r="AT63" s="119">
        <f t="shared" si="336"/>
        <v>29.051000000000002</v>
      </c>
      <c r="AU63" s="119">
        <f t="shared" si="336"/>
        <v>38.445999999999991</v>
      </c>
      <c r="AV63" s="119">
        <f t="shared" si="336"/>
        <v>60.569999999999979</v>
      </c>
      <c r="AW63" s="119">
        <f t="shared" si="336"/>
        <v>80.126000000000005</v>
      </c>
    </row>
    <row r="64" spans="2:52" ht="10.15" hidden="1" outlineLevel="1" x14ac:dyDescent="0.2">
      <c r="B64" s="20" t="s">
        <v>18</v>
      </c>
      <c r="D64" s="120" t="str">
        <f t="shared" ref="D64:G64" si="337">IFERROR(D63/#REF!-1,"n/a")</f>
        <v>n/a</v>
      </c>
      <c r="E64" s="120" t="str">
        <f t="shared" si="337"/>
        <v>n/a</v>
      </c>
      <c r="F64" s="120" t="str">
        <f t="shared" si="337"/>
        <v>n/a</v>
      </c>
      <c r="G64" s="120" t="str">
        <f t="shared" si="337"/>
        <v>n/a</v>
      </c>
      <c r="H64" s="120" t="str">
        <f t="shared" ref="H64" si="338">IFERROR(H63/D63-1,"n/a")</f>
        <v>n/a</v>
      </c>
      <c r="I64" s="120" t="str">
        <f t="shared" ref="I64" si="339">IFERROR(I63/E63-1,"n/a")</f>
        <v>n/a</v>
      </c>
      <c r="J64" s="120" t="str">
        <f t="shared" ref="J64" si="340">IFERROR(J63/F63-1,"n/a")</f>
        <v>n/a</v>
      </c>
      <c r="K64" s="120" t="str">
        <f t="shared" ref="K64" si="341">IFERROR(K63/G63-1,"n/a")</f>
        <v>n/a</v>
      </c>
      <c r="L64" s="120" t="str">
        <f t="shared" ref="L64" si="342">IFERROR(L63/H63-1,"n/a")</f>
        <v>n/a</v>
      </c>
      <c r="M64" s="120" t="str">
        <f t="shared" ref="M64" si="343">IFERROR(M63/I63-1,"n/a")</f>
        <v>n/a</v>
      </c>
      <c r="N64" s="120" t="str">
        <f t="shared" ref="N64" si="344">IFERROR(N63/J63-1,"n/a")</f>
        <v>n/a</v>
      </c>
      <c r="O64" s="120" t="str">
        <f t="shared" ref="O64" si="345">IFERROR(O63/K63-1,"n/a")</f>
        <v>n/a</v>
      </c>
      <c r="P64" s="120" t="str">
        <f>IFERROR(P63/L63-1,"n/a")</f>
        <v>n/a</v>
      </c>
      <c r="Q64" s="120" t="str">
        <f t="shared" ref="Q64" si="346">IFERROR(Q63/M63-1,"n/a")</f>
        <v>n/a</v>
      </c>
      <c r="R64" s="120" t="str">
        <f t="shared" ref="R64" si="347">IFERROR(R63/N63-1,"n/a")</f>
        <v>n/a</v>
      </c>
      <c r="S64" s="120" t="str">
        <f t="shared" ref="S64" si="348">IFERROR(S63/O63-1,"n/a")</f>
        <v>n/a</v>
      </c>
      <c r="T64" s="120">
        <f t="shared" ref="T64" si="349">IFERROR(T63/P63-1,"n/a")</f>
        <v>0.31903536730540294</v>
      </c>
      <c r="U64" s="120">
        <f t="shared" ref="U64" si="350">IFERROR(U63/Q63-1,"n/a")</f>
        <v>0.25673596591581482</v>
      </c>
      <c r="V64" s="120">
        <f t="shared" ref="V64" si="351">IFERROR(V63/R63-1,"n/a")</f>
        <v>0.29048035500275282</v>
      </c>
      <c r="W64" s="120">
        <f t="shared" ref="W64" si="352">IFERROR(W63/S63-1,"n/a")</f>
        <v>0.40647005097080191</v>
      </c>
      <c r="X64" s="120">
        <f t="shared" ref="X64" si="353">IFERROR(X63/T63-1,"n/a")</f>
        <v>0.59390375265655448</v>
      </c>
      <c r="Y64" s="120">
        <f t="shared" ref="Y64" si="354">IFERROR(Y63/U63-1,"n/a")</f>
        <v>0.70289104435445915</v>
      </c>
      <c r="Z64" s="120">
        <f t="shared" ref="Z64:AG64" si="355">IFERROR(Z63/V63-1,"n/a")</f>
        <v>0.38593408799979945</v>
      </c>
      <c r="AA64" s="120">
        <f t="shared" si="355"/>
        <v>0.63531432641347374</v>
      </c>
      <c r="AB64" s="120">
        <f t="shared" si="355"/>
        <v>0.4884838079234326</v>
      </c>
      <c r="AC64" s="120">
        <f t="shared" si="355"/>
        <v>0.34441187855997346</v>
      </c>
      <c r="AD64" s="120">
        <f t="shared" si="355"/>
        <v>0.54519441476356922</v>
      </c>
      <c r="AE64" s="120">
        <f t="shared" si="355"/>
        <v>3.4484083776340713E-2</v>
      </c>
      <c r="AF64" s="120">
        <f t="shared" si="355"/>
        <v>0.19265458382928569</v>
      </c>
      <c r="AG64" s="120">
        <f t="shared" si="355"/>
        <v>0.26671054255275384</v>
      </c>
      <c r="AH64" s="121"/>
      <c r="AI64" s="121"/>
      <c r="AJ64" s="121"/>
      <c r="AK64" s="121"/>
      <c r="AL64" s="121"/>
      <c r="AM64" s="121"/>
      <c r="AN64" s="101"/>
      <c r="AO64" s="101"/>
      <c r="AP64" s="101"/>
      <c r="AQ64" s="120"/>
      <c r="AR64" s="120" t="str">
        <f t="shared" ref="AR64" si="356">IFERROR(AR63/AQ63-1,"n/a")</f>
        <v>n/a</v>
      </c>
      <c r="AS64" s="120" t="str">
        <f t="shared" ref="AS64" si="357">IFERROR(AS63/AR63-1,"n/a")</f>
        <v>n/a</v>
      </c>
      <c r="AT64" s="120">
        <f t="shared" ref="AT64" si="358">IFERROR(AT63/AS63-1,"n/a")</f>
        <v>0.22464379057415096</v>
      </c>
      <c r="AU64" s="120">
        <f t="shared" ref="AU64:AW64" si="359">IFERROR(AU63/AT63-1,"n/a")</f>
        <v>0.32339678496437263</v>
      </c>
      <c r="AV64" s="120">
        <f t="shared" si="359"/>
        <v>0.57545648441970543</v>
      </c>
      <c r="AW64" s="120">
        <f t="shared" si="359"/>
        <v>0.32286610533267357</v>
      </c>
    </row>
    <row r="65" spans="1:52" hidden="1" outlineLevel="1" x14ac:dyDescent="0.2">
      <c r="B65" s="20" t="s">
        <v>289</v>
      </c>
      <c r="D65" s="120"/>
      <c r="E65" s="120"/>
      <c r="F65" s="120"/>
      <c r="G65" s="120"/>
      <c r="H65" s="120"/>
      <c r="I65" s="120"/>
      <c r="J65" s="120"/>
      <c r="K65" s="120"/>
      <c r="L65" s="120"/>
      <c r="M65" s="120"/>
      <c r="N65" s="120"/>
      <c r="O65" s="120"/>
      <c r="P65" s="120"/>
      <c r="Q65" s="120"/>
      <c r="R65" s="120"/>
      <c r="S65" s="120"/>
      <c r="T65" s="115">
        <f>2.156-0.079</f>
        <v>2.077</v>
      </c>
      <c r="U65" s="115">
        <f>1.682-0.055</f>
        <v>1.627</v>
      </c>
      <c r="V65" s="115">
        <f>1.975+0.267</f>
        <v>2.242</v>
      </c>
      <c r="W65" s="239">
        <f>+AU65-SUM(T65:V65)</f>
        <v>3.4489999999999892</v>
      </c>
      <c r="X65" s="115">
        <f>3.897+1.203</f>
        <v>5.0999999999999996</v>
      </c>
      <c r="Y65" s="115">
        <f>3.808+1.79</f>
        <v>5.5979999999999999</v>
      </c>
      <c r="Z65" s="115">
        <f>3.297+0.547</f>
        <v>3.8440000000000003</v>
      </c>
      <c r="AA65" s="119">
        <f>+AV65-SUM(X65:Z65)</f>
        <v>7.5819999999999865</v>
      </c>
      <c r="AB65" s="115">
        <f>5.552+1.134</f>
        <v>6.6859999999999999</v>
      </c>
      <c r="AC65" s="115">
        <f>6.039-1.368</f>
        <v>4.6709999999999994</v>
      </c>
      <c r="AD65" s="115">
        <f>6.943+0.583</f>
        <v>7.5259999999999998</v>
      </c>
      <c r="AE65" s="119">
        <f>+AW65-SUM(AB65:AD65)</f>
        <v>0.67300000000002669</v>
      </c>
      <c r="AF65" s="239">
        <f>+AF63-AB63</f>
        <v>3.9249999999999972</v>
      </c>
      <c r="AG65" s="239">
        <f>+AG63-AC63</f>
        <v>4.8629999999999995</v>
      </c>
      <c r="AH65" s="121"/>
      <c r="AI65" s="121"/>
      <c r="AJ65" s="121"/>
      <c r="AK65" s="121"/>
      <c r="AL65" s="121"/>
      <c r="AM65" s="121"/>
      <c r="AN65" s="101"/>
      <c r="AO65" s="101"/>
      <c r="AP65" s="101"/>
      <c r="AQ65" s="120"/>
      <c r="AR65" s="119" t="str">
        <f t="shared" ref="AR65:AW65" si="360">+IFERROR(AR63-AQ63,"n/a")</f>
        <v>n/a</v>
      </c>
      <c r="AS65" s="119" t="str">
        <f t="shared" si="360"/>
        <v>n/a</v>
      </c>
      <c r="AT65" s="119">
        <f t="shared" si="360"/>
        <v>5.3290000000000077</v>
      </c>
      <c r="AU65" s="119">
        <f t="shared" si="360"/>
        <v>9.3949999999999889</v>
      </c>
      <c r="AV65" s="119">
        <f t="shared" si="360"/>
        <v>22.123999999999988</v>
      </c>
      <c r="AW65" s="119">
        <f t="shared" si="360"/>
        <v>19.556000000000026</v>
      </c>
    </row>
    <row r="66" spans="1:52" ht="10.15" hidden="1" outlineLevel="1" x14ac:dyDescent="0.2">
      <c r="B66" s="20" t="s">
        <v>26</v>
      </c>
      <c r="D66" s="121" t="str">
        <f t="shared" ref="D66:AF66" si="361">IFERROR(D63/D12,"n/a")</f>
        <v>n/a</v>
      </c>
      <c r="E66" s="121" t="str">
        <f t="shared" si="361"/>
        <v>n/a</v>
      </c>
      <c r="F66" s="121" t="str">
        <f t="shared" si="361"/>
        <v>n/a</v>
      </c>
      <c r="G66" s="121" t="str">
        <f t="shared" si="361"/>
        <v>n/a</v>
      </c>
      <c r="H66" s="121" t="str">
        <f t="shared" si="361"/>
        <v>n/a</v>
      </c>
      <c r="I66" s="121" t="str">
        <f t="shared" si="361"/>
        <v>n/a</v>
      </c>
      <c r="J66" s="121" t="str">
        <f t="shared" si="361"/>
        <v>n/a</v>
      </c>
      <c r="K66" s="121" t="str">
        <f t="shared" si="361"/>
        <v>n/a</v>
      </c>
      <c r="L66" s="121" t="str">
        <f t="shared" si="361"/>
        <v>n/a</v>
      </c>
      <c r="M66" s="121" t="str">
        <f t="shared" si="361"/>
        <v>n/a</v>
      </c>
      <c r="N66" s="121" t="str">
        <f t="shared" si="361"/>
        <v>n/a</v>
      </c>
      <c r="O66" s="121" t="str">
        <f t="shared" si="361"/>
        <v>n/a</v>
      </c>
      <c r="P66" s="121">
        <f t="shared" si="361"/>
        <v>0.23429121531651495</v>
      </c>
      <c r="Q66" s="121">
        <f t="shared" si="361"/>
        <v>0.22273478138619432</v>
      </c>
      <c r="R66" s="121">
        <f t="shared" si="361"/>
        <v>0.23972698471859863</v>
      </c>
      <c r="S66" s="121">
        <f t="shared" si="361"/>
        <v>0.23285537870472012</v>
      </c>
      <c r="T66" s="121">
        <f t="shared" si="361"/>
        <v>0.21469198459923</v>
      </c>
      <c r="U66" s="121">
        <f t="shared" si="361"/>
        <v>0.17696367070325514</v>
      </c>
      <c r="V66" s="121">
        <f t="shared" si="361"/>
        <v>0.20223036627954191</v>
      </c>
      <c r="W66" s="121">
        <f t="shared" si="361"/>
        <v>0.22204908272243512</v>
      </c>
      <c r="X66" s="121">
        <f t="shared" si="361"/>
        <v>0.23958916818372775</v>
      </c>
      <c r="Y66" s="121">
        <f t="shared" si="361"/>
        <v>0.21661475802587443</v>
      </c>
      <c r="Z66" s="121">
        <f t="shared" si="361"/>
        <v>0.20981335400422535</v>
      </c>
      <c r="AA66" s="121">
        <f t="shared" si="361"/>
        <v>0.28372828378280146</v>
      </c>
      <c r="AB66" s="121">
        <f t="shared" si="361"/>
        <v>0.2874735431070975</v>
      </c>
      <c r="AC66" s="121">
        <f t="shared" si="361"/>
        <v>0.24410922040887365</v>
      </c>
      <c r="AD66" s="121">
        <f t="shared" si="361"/>
        <v>0.27097042607789829</v>
      </c>
      <c r="AE66" s="121">
        <f t="shared" si="361"/>
        <v>0.24209475501834668</v>
      </c>
      <c r="AF66" s="121">
        <f t="shared" si="361"/>
        <v>0.2831567845988906</v>
      </c>
      <c r="AG66" s="121">
        <f t="shared" ref="AG66" si="362">IFERROR(AG63/AG12,"n/a")</f>
        <v>0.25394168288419039</v>
      </c>
      <c r="AH66" s="121"/>
      <c r="AI66" s="121"/>
      <c r="AJ66" s="121"/>
      <c r="AK66" s="121"/>
      <c r="AL66" s="121"/>
      <c r="AM66" s="121"/>
      <c r="AN66" s="101"/>
      <c r="AO66" s="101"/>
      <c r="AP66" s="101"/>
      <c r="AQ66" s="121" t="str">
        <f t="shared" ref="AQ66:AW66" si="363">IFERROR(AQ63/AQ12,"n/a")</f>
        <v>n/a</v>
      </c>
      <c r="AR66" s="121" t="str">
        <f t="shared" si="363"/>
        <v>n/a</v>
      </c>
      <c r="AS66" s="121">
        <f t="shared" si="363"/>
        <v>0.25754269398212981</v>
      </c>
      <c r="AT66" s="121">
        <f t="shared" si="363"/>
        <v>0.23264064064064066</v>
      </c>
      <c r="AU66" s="121">
        <f t="shared" si="363"/>
        <v>0.20449891223982847</v>
      </c>
      <c r="AV66" s="121">
        <f t="shared" si="363"/>
        <v>0.23816826310574238</v>
      </c>
      <c r="AW66" s="121">
        <f t="shared" si="363"/>
        <v>0.26042414885837328</v>
      </c>
    </row>
    <row r="67" spans="1:52" hidden="1" outlineLevel="1" x14ac:dyDescent="0.2">
      <c r="B67" s="13" t="s">
        <v>286</v>
      </c>
      <c r="D67" s="121"/>
      <c r="E67" s="121"/>
      <c r="F67" s="121"/>
      <c r="G67" s="121"/>
      <c r="H67" s="115" t="s">
        <v>91</v>
      </c>
      <c r="I67" s="115" t="s">
        <v>91</v>
      </c>
      <c r="J67" s="115" t="s">
        <v>91</v>
      </c>
      <c r="K67" s="115" t="s">
        <v>91</v>
      </c>
      <c r="L67" s="115" t="s">
        <v>91</v>
      </c>
      <c r="M67" s="115" t="s">
        <v>91</v>
      </c>
      <c r="N67" s="115" t="s">
        <v>91</v>
      </c>
      <c r="O67" s="115" t="s">
        <v>91</v>
      </c>
      <c r="P67" s="115" t="s">
        <v>91</v>
      </c>
      <c r="Q67" s="115" t="s">
        <v>91</v>
      </c>
      <c r="R67" s="115" t="s">
        <v>91</v>
      </c>
      <c r="S67" s="160">
        <v>0.1</v>
      </c>
      <c r="T67" s="160">
        <v>0.24</v>
      </c>
      <c r="U67" s="160">
        <v>0.04</v>
      </c>
      <c r="V67" s="160">
        <v>0.09</v>
      </c>
      <c r="W67" s="160">
        <v>0.24</v>
      </c>
      <c r="X67" s="160">
        <v>0.36</v>
      </c>
      <c r="Y67" s="160">
        <v>0.41</v>
      </c>
      <c r="Z67" s="160">
        <v>0.28000000000000003</v>
      </c>
      <c r="AA67" s="160">
        <v>0.38</v>
      </c>
      <c r="AB67" s="160">
        <v>0.26</v>
      </c>
      <c r="AC67" s="160">
        <v>0.27</v>
      </c>
      <c r="AD67" s="160">
        <v>0.25</v>
      </c>
      <c r="AE67" s="160">
        <v>0.17</v>
      </c>
      <c r="AF67" s="160" t="s">
        <v>91</v>
      </c>
      <c r="AG67" s="160" t="s">
        <v>91</v>
      </c>
      <c r="AH67" s="121"/>
      <c r="AI67" s="121"/>
      <c r="AJ67" s="121"/>
      <c r="AK67" s="121"/>
      <c r="AL67" s="121"/>
      <c r="AM67" s="121"/>
      <c r="AN67" s="101"/>
      <c r="AO67" s="101"/>
      <c r="AP67" s="101"/>
      <c r="AQ67" s="115" t="s">
        <v>91</v>
      </c>
      <c r="AR67" s="115" t="s">
        <v>91</v>
      </c>
      <c r="AS67" s="115" t="s">
        <v>91</v>
      </c>
      <c r="AT67" s="160">
        <v>0.1</v>
      </c>
      <c r="AU67" s="160">
        <v>0.24</v>
      </c>
      <c r="AV67" s="160">
        <v>0.38</v>
      </c>
      <c r="AW67" s="160">
        <v>0.17</v>
      </c>
    </row>
    <row r="68" spans="1:52" hidden="1" outlineLevel="1" x14ac:dyDescent="0.2">
      <c r="B68" s="13" t="s">
        <v>287</v>
      </c>
      <c r="D68" s="121"/>
      <c r="E68" s="121"/>
      <c r="F68" s="121"/>
      <c r="G68" s="121"/>
      <c r="H68" s="115" t="s">
        <v>91</v>
      </c>
      <c r="I68" s="115" t="s">
        <v>91</v>
      </c>
      <c r="J68" s="115" t="s">
        <v>91</v>
      </c>
      <c r="K68" s="115" t="s">
        <v>91</v>
      </c>
      <c r="L68" s="115" t="s">
        <v>91</v>
      </c>
      <c r="M68" s="115" t="s">
        <v>91</v>
      </c>
      <c r="N68" s="115" t="s">
        <v>91</v>
      </c>
      <c r="O68" s="115" t="s">
        <v>91</v>
      </c>
      <c r="P68" s="115" t="s">
        <v>91</v>
      </c>
      <c r="Q68" s="115" t="s">
        <v>91</v>
      </c>
      <c r="R68" s="115" t="s">
        <v>91</v>
      </c>
      <c r="S68" s="160">
        <v>0.34</v>
      </c>
      <c r="T68" s="160">
        <v>0.31</v>
      </c>
      <c r="U68" s="160">
        <v>0.26</v>
      </c>
      <c r="V68" s="160">
        <v>0.24</v>
      </c>
      <c r="W68" s="160">
        <v>0.23</v>
      </c>
      <c r="X68" s="160">
        <v>0.24</v>
      </c>
      <c r="Y68" s="160">
        <v>0.25</v>
      </c>
      <c r="Z68" s="160">
        <v>0.18</v>
      </c>
      <c r="AA68" s="160">
        <v>0.4</v>
      </c>
      <c r="AB68" s="160">
        <v>0.19</v>
      </c>
      <c r="AC68" s="160">
        <v>0.16</v>
      </c>
      <c r="AD68" s="160">
        <v>0.14000000000000001</v>
      </c>
      <c r="AE68" s="160">
        <v>0.12</v>
      </c>
      <c r="AF68" s="160">
        <v>0.08</v>
      </c>
      <c r="AG68" s="160">
        <v>0.09</v>
      </c>
      <c r="AH68" s="121"/>
      <c r="AI68" s="121"/>
      <c r="AJ68" s="121"/>
      <c r="AK68" s="121"/>
      <c r="AL68" s="121"/>
      <c r="AM68" s="121"/>
      <c r="AN68" s="101"/>
      <c r="AO68" s="101"/>
      <c r="AP68" s="101"/>
      <c r="AQ68" s="115" t="s">
        <v>91</v>
      </c>
      <c r="AR68" s="115" t="s">
        <v>91</v>
      </c>
      <c r="AS68" s="115" t="s">
        <v>91</v>
      </c>
      <c r="AT68" s="160">
        <v>0.34</v>
      </c>
      <c r="AU68" s="160">
        <v>0.23</v>
      </c>
      <c r="AV68" s="160">
        <v>0.4</v>
      </c>
      <c r="AW68" s="160">
        <v>0.12</v>
      </c>
    </row>
    <row r="69" spans="1:52" hidden="1" outlineLevel="1" x14ac:dyDescent="0.2">
      <c r="B69" s="13" t="s">
        <v>288</v>
      </c>
      <c r="D69" s="121"/>
      <c r="E69" s="121"/>
      <c r="F69" s="121"/>
      <c r="G69" s="121"/>
      <c r="H69" s="115" t="s">
        <v>91</v>
      </c>
      <c r="I69" s="115" t="s">
        <v>91</v>
      </c>
      <c r="J69" s="115" t="s">
        <v>91</v>
      </c>
      <c r="K69" s="115" t="s">
        <v>91</v>
      </c>
      <c r="L69" s="115" t="s">
        <v>91</v>
      </c>
      <c r="M69" s="115" t="s">
        <v>91</v>
      </c>
      <c r="N69" s="115" t="s">
        <v>91</v>
      </c>
      <c r="O69" s="115" t="s">
        <v>91</v>
      </c>
      <c r="P69" s="115" t="s">
        <v>91</v>
      </c>
      <c r="Q69" s="115" t="s">
        <v>91</v>
      </c>
      <c r="R69" s="115" t="s">
        <v>91</v>
      </c>
      <c r="S69" s="160">
        <v>0.49</v>
      </c>
      <c r="T69" s="160">
        <v>0.47</v>
      </c>
      <c r="U69" s="160">
        <v>0.34</v>
      </c>
      <c r="V69" s="160">
        <v>0.24</v>
      </c>
      <c r="W69" s="160">
        <v>0.09</v>
      </c>
      <c r="X69" s="160">
        <v>0.16</v>
      </c>
      <c r="Y69" s="160">
        <v>0.2</v>
      </c>
      <c r="Z69" s="160">
        <v>0.16</v>
      </c>
      <c r="AA69" s="160">
        <v>0.41</v>
      </c>
      <c r="AB69" s="160">
        <v>0.18</v>
      </c>
      <c r="AC69" s="160">
        <v>0.1</v>
      </c>
      <c r="AD69" s="160">
        <v>0.08</v>
      </c>
      <c r="AE69" s="160">
        <v>0.09</v>
      </c>
      <c r="AF69" s="160" t="s">
        <v>91</v>
      </c>
      <c r="AG69" s="160" t="s">
        <v>91</v>
      </c>
      <c r="AH69" s="121"/>
      <c r="AI69" s="121"/>
      <c r="AJ69" s="121"/>
      <c r="AK69" s="121"/>
      <c r="AL69" s="121"/>
      <c r="AM69" s="121"/>
      <c r="AN69" s="101"/>
      <c r="AO69" s="101"/>
      <c r="AP69" s="101"/>
      <c r="AQ69" s="115" t="s">
        <v>91</v>
      </c>
      <c r="AR69" s="115" t="s">
        <v>91</v>
      </c>
      <c r="AS69" s="115" t="s">
        <v>91</v>
      </c>
      <c r="AT69" s="160">
        <v>0.49</v>
      </c>
      <c r="AU69" s="160">
        <v>0.09</v>
      </c>
      <c r="AV69" s="160">
        <v>0.41</v>
      </c>
      <c r="AW69" s="160">
        <v>0.09</v>
      </c>
    </row>
    <row r="70" spans="1:52" ht="10.15" collapsed="1" x14ac:dyDescent="0.2">
      <c r="B70" s="20"/>
      <c r="D70" s="121"/>
      <c r="E70" s="121"/>
      <c r="F70" s="121"/>
      <c r="G70" s="121"/>
      <c r="H70" s="121"/>
      <c r="I70" s="121"/>
      <c r="J70" s="121"/>
      <c r="K70" s="121"/>
      <c r="L70" s="121"/>
      <c r="M70" s="121"/>
      <c r="N70" s="121"/>
      <c r="O70" s="121"/>
      <c r="P70" s="121"/>
      <c r="Q70" s="121"/>
      <c r="R70" s="121"/>
      <c r="S70" s="121"/>
      <c r="T70" s="241"/>
      <c r="U70" s="241"/>
      <c r="V70" s="241"/>
      <c r="W70" s="241"/>
      <c r="X70" s="241"/>
      <c r="Y70" s="241"/>
      <c r="Z70" s="241"/>
      <c r="AA70" s="121"/>
      <c r="AB70" s="121"/>
      <c r="AC70" s="121"/>
      <c r="AD70" s="121"/>
      <c r="AE70" s="121"/>
      <c r="AF70" s="121"/>
      <c r="AG70" s="121"/>
      <c r="AH70" s="121"/>
      <c r="AI70" s="121"/>
      <c r="AJ70" s="121"/>
      <c r="AK70" s="121"/>
      <c r="AL70" s="121"/>
      <c r="AM70" s="121"/>
      <c r="AN70" s="101"/>
      <c r="AO70" s="101"/>
      <c r="AP70" s="101"/>
      <c r="AQ70" s="121"/>
      <c r="AR70" s="121"/>
      <c r="AS70" s="121"/>
      <c r="AT70" s="121"/>
      <c r="AU70" s="121"/>
      <c r="AV70" s="121"/>
      <c r="AW70" s="121"/>
    </row>
    <row r="71" spans="1:52" s="3" customFormat="1" ht="10.15" x14ac:dyDescent="0.2">
      <c r="A71" s="2"/>
      <c r="B71" s="3" t="s">
        <v>369</v>
      </c>
      <c r="D71" s="125" t="str">
        <f>+IFERROR(D31-D38,"n/a")</f>
        <v>n/a</v>
      </c>
      <c r="E71" s="125" t="str">
        <f t="shared" ref="E71:AI71" si="364">+IFERROR(E31-E38,"n/a")</f>
        <v>n/a</v>
      </c>
      <c r="F71" s="125" t="str">
        <f t="shared" si="364"/>
        <v>n/a</v>
      </c>
      <c r="G71" s="125" t="str">
        <f t="shared" si="364"/>
        <v>n/a</v>
      </c>
      <c r="H71" s="125" t="str">
        <f t="shared" si="364"/>
        <v>n/a</v>
      </c>
      <c r="I71" s="125" t="str">
        <f t="shared" si="364"/>
        <v>n/a</v>
      </c>
      <c r="J71" s="125" t="str">
        <f t="shared" si="364"/>
        <v>n/a</v>
      </c>
      <c r="K71" s="125" t="str">
        <f t="shared" si="364"/>
        <v>n/a</v>
      </c>
      <c r="L71" s="125">
        <f t="shared" si="364"/>
        <v>-1.1039999999999992</v>
      </c>
      <c r="M71" s="125">
        <f t="shared" si="364"/>
        <v>-1.2059999999999995</v>
      </c>
      <c r="N71" s="125">
        <f t="shared" si="364"/>
        <v>-1.4349999999999987</v>
      </c>
      <c r="O71" s="125">
        <f t="shared" si="364"/>
        <v>-3.9739999999999966</v>
      </c>
      <c r="P71" s="125">
        <f t="shared" si="364"/>
        <v>-1.6660000000000039</v>
      </c>
      <c r="Q71" s="125">
        <f t="shared" si="364"/>
        <v>-1.6690000000000005</v>
      </c>
      <c r="R71" s="125">
        <f t="shared" si="364"/>
        <v>-0.49700000000000344</v>
      </c>
      <c r="S71" s="125">
        <f t="shared" si="364"/>
        <v>-1.1650000000000027</v>
      </c>
      <c r="T71" s="125">
        <f t="shared" si="364"/>
        <v>2.16</v>
      </c>
      <c r="U71" s="125">
        <f t="shared" si="364"/>
        <v>0.60900000000000176</v>
      </c>
      <c r="V71" s="125">
        <f t="shared" si="364"/>
        <v>0.35199999999999676</v>
      </c>
      <c r="W71" s="125">
        <f t="shared" si="364"/>
        <v>-2.644999999999996</v>
      </c>
      <c r="X71" s="125">
        <f t="shared" si="364"/>
        <v>-1.3689999999999998</v>
      </c>
      <c r="Y71" s="125">
        <f t="shared" si="364"/>
        <v>-2.0389999999999944</v>
      </c>
      <c r="Z71" s="125">
        <f t="shared" si="364"/>
        <v>-1.813999999999993</v>
      </c>
      <c r="AA71" s="125">
        <f t="shared" si="364"/>
        <v>-10.614000000000004</v>
      </c>
      <c r="AB71" s="125">
        <f t="shared" si="364"/>
        <v>-6.4669999999999845</v>
      </c>
      <c r="AC71" s="125">
        <f t="shared" si="364"/>
        <v>2.2929999999999993</v>
      </c>
      <c r="AD71" s="125">
        <f t="shared" si="364"/>
        <v>7.5080000000000098</v>
      </c>
      <c r="AE71" s="125">
        <f t="shared" si="364"/>
        <v>8.3070000000000164</v>
      </c>
      <c r="AF71" s="125">
        <f t="shared" si="364"/>
        <v>9.7370000000000019</v>
      </c>
      <c r="AG71" s="125">
        <f t="shared" ref="AG71" si="365">+IFERROR(AG31-AG38,"n/a")</f>
        <v>12.186999999999998</v>
      </c>
      <c r="AH71" s="125">
        <f t="shared" si="364"/>
        <v>12.256197260273979</v>
      </c>
      <c r="AI71" s="125">
        <f t="shared" si="364"/>
        <v>12.350115068493139</v>
      </c>
      <c r="AJ71" s="125">
        <f t="shared" ref="AJ71:AM71" si="366">+IFERROR(AJ31-AJ38,"n/a")</f>
        <v>15.795361643835619</v>
      </c>
      <c r="AK71" s="125">
        <f t="shared" si="366"/>
        <v>18.255837808219184</v>
      </c>
      <c r="AL71" s="125">
        <f t="shared" si="366"/>
        <v>20.425998904109591</v>
      </c>
      <c r="AM71" s="125">
        <f t="shared" si="366"/>
        <v>20.89749479452054</v>
      </c>
      <c r="AQ71" s="125">
        <f t="shared" ref="AQ71:AW71" si="367">+IFERROR(AQ31-AQ38,"n/a")</f>
        <v>-3.0859999999999985</v>
      </c>
      <c r="AR71" s="125">
        <f t="shared" si="367"/>
        <v>-6.365000000000002</v>
      </c>
      <c r="AS71" s="125">
        <f t="shared" si="367"/>
        <v>-7.7189999999999941</v>
      </c>
      <c r="AT71" s="125">
        <f t="shared" si="367"/>
        <v>-4.9969999999999999</v>
      </c>
      <c r="AU71" s="125">
        <f t="shared" si="367"/>
        <v>0.47600000000002751</v>
      </c>
      <c r="AV71" s="125">
        <f t="shared" si="367"/>
        <v>-15.835999999999984</v>
      </c>
      <c r="AW71" s="125">
        <f t="shared" si="367"/>
        <v>11.641000000000048</v>
      </c>
      <c r="AX71" s="23">
        <f>+SUM(AF71:AI71)</f>
        <v>46.530312328767117</v>
      </c>
      <c r="AY71" s="23">
        <f>+SUM(AJ71:AM71)</f>
        <v>75.374693150684934</v>
      </c>
      <c r="AZ71" s="23"/>
    </row>
    <row r="72" spans="1:52" ht="10.15" x14ac:dyDescent="0.2">
      <c r="B72" s="13" t="s">
        <v>20</v>
      </c>
      <c r="D72" s="121" t="str">
        <f t="shared" ref="D72:AI72" si="368">+IFERROR(D71/D12,"n/a")</f>
        <v>n/a</v>
      </c>
      <c r="E72" s="121" t="str">
        <f t="shared" si="368"/>
        <v>n/a</v>
      </c>
      <c r="F72" s="121" t="str">
        <f t="shared" si="368"/>
        <v>n/a</v>
      </c>
      <c r="G72" s="121" t="str">
        <f t="shared" si="368"/>
        <v>n/a</v>
      </c>
      <c r="H72" s="121" t="str">
        <f t="shared" si="368"/>
        <v>n/a</v>
      </c>
      <c r="I72" s="121" t="str">
        <f t="shared" si="368"/>
        <v>n/a</v>
      </c>
      <c r="J72" s="121" t="str">
        <f t="shared" si="368"/>
        <v>n/a</v>
      </c>
      <c r="K72" s="121" t="str">
        <f t="shared" si="368"/>
        <v>n/a</v>
      </c>
      <c r="L72" s="121">
        <f t="shared" si="368"/>
        <v>-5.4194688527809107E-2</v>
      </c>
      <c r="M72" s="121">
        <f t="shared" si="368"/>
        <v>-5.4510938347495916E-2</v>
      </c>
      <c r="N72" s="121">
        <f t="shared" si="368"/>
        <v>-6.0215685451722491E-2</v>
      </c>
      <c r="O72" s="121">
        <f t="shared" si="368"/>
        <v>-0.15413256797114364</v>
      </c>
      <c r="P72" s="121">
        <f t="shared" si="368"/>
        <v>-5.9956094576600713E-2</v>
      </c>
      <c r="Q72" s="121">
        <f t="shared" si="368"/>
        <v>-5.866019963447211E-2</v>
      </c>
      <c r="R72" s="121">
        <f t="shared" si="368"/>
        <v>-1.5436700211206468E-2</v>
      </c>
      <c r="S72" s="121">
        <f t="shared" si="368"/>
        <v>-3.1970362239297549E-2</v>
      </c>
      <c r="T72" s="121">
        <f t="shared" si="368"/>
        <v>5.4002700135006756E-2</v>
      </c>
      <c r="U72" s="121">
        <f t="shared" si="368"/>
        <v>1.3531829796689295E-2</v>
      </c>
      <c r="V72" s="121">
        <f t="shared" si="368"/>
        <v>7.1469178916591554E-3</v>
      </c>
      <c r="W72" s="121">
        <f t="shared" si="368"/>
        <v>-4.921296468574398E-2</v>
      </c>
      <c r="X72" s="121">
        <f t="shared" si="368"/>
        <v>-2.3963730569948181E-2</v>
      </c>
      <c r="Y72" s="121">
        <f t="shared" si="368"/>
        <v>-3.2566682638556055E-2</v>
      </c>
      <c r="Z72" s="121">
        <f t="shared" si="368"/>
        <v>-2.7571322177131197E-2</v>
      </c>
      <c r="AA72" s="121">
        <f t="shared" si="368"/>
        <v>-0.15430689830631686</v>
      </c>
      <c r="AB72" s="121">
        <f t="shared" si="368"/>
        <v>-9.125158741357392E-2</v>
      </c>
      <c r="AC72" s="121">
        <f t="shared" si="368"/>
        <v>3.0698994551028869E-2</v>
      </c>
      <c r="AD72" s="121">
        <f t="shared" si="368"/>
        <v>9.5378439492873418E-2</v>
      </c>
      <c r="AE72" s="121">
        <f t="shared" si="368"/>
        <v>9.9611482840492316E-2</v>
      </c>
      <c r="AF72" s="121">
        <f t="shared" si="368"/>
        <v>0.11346897869761807</v>
      </c>
      <c r="AG72" s="121">
        <f t="shared" ref="AG72" si="369">+IFERROR(AG71/AG12,"n/a")</f>
        <v>0.13399522819979987</v>
      </c>
      <c r="AH72" s="121">
        <f t="shared" si="368"/>
        <v>0.12590660392227507</v>
      </c>
      <c r="AI72" s="121">
        <f t="shared" si="368"/>
        <v>0.12197595003842354</v>
      </c>
      <c r="AJ72" s="121">
        <f t="shared" ref="AJ72:AM72" si="370">+IFERROR(AJ71/AJ12,"n/a")</f>
        <v>0.15336118426302772</v>
      </c>
      <c r="AK72" s="121">
        <f t="shared" si="370"/>
        <v>0.16825359566903689</v>
      </c>
      <c r="AL72" s="121">
        <f t="shared" si="370"/>
        <v>0.17960534227567068</v>
      </c>
      <c r="AM72" s="121">
        <f t="shared" si="370"/>
        <v>0.17783899427377681</v>
      </c>
      <c r="AN72" s="101"/>
      <c r="AO72" s="101"/>
      <c r="AP72" s="101"/>
      <c r="AQ72" s="121">
        <f t="shared" ref="AQ72:AX72" si="371">+IFERROR(AQ71/AQ12,"n/a")</f>
        <v>-8.03499362095451E-2</v>
      </c>
      <c r="AR72" s="121">
        <f t="shared" si="371"/>
        <v>-0.10020308244517565</v>
      </c>
      <c r="AS72" s="121">
        <f t="shared" si="371"/>
        <v>-8.3802885711493927E-2</v>
      </c>
      <c r="AT72" s="121">
        <f t="shared" si="371"/>
        <v>-4.0016016016016016E-2</v>
      </c>
      <c r="AU72" s="121">
        <f t="shared" si="371"/>
        <v>2.5319014260563907E-3</v>
      </c>
      <c r="AV72" s="121">
        <f t="shared" si="371"/>
        <v>-6.2268988187923625E-2</v>
      </c>
      <c r="AW72" s="121">
        <f t="shared" si="371"/>
        <v>3.7835378240026155E-2</v>
      </c>
      <c r="AX72" s="121">
        <f t="shared" si="371"/>
        <v>0.12396282931984488</v>
      </c>
      <c r="AY72" s="121">
        <f t="shared" ref="AY72" si="372">+IFERROR(AY71/AY12,"n/a")</f>
        <v>0.17024921873549631</v>
      </c>
      <c r="AZ72" s="121"/>
    </row>
    <row r="73" spans="1:52" ht="10.15" x14ac:dyDescent="0.2">
      <c r="B73" s="20"/>
      <c r="T73" s="145"/>
      <c r="U73" s="145"/>
      <c r="V73" s="145"/>
      <c r="W73" s="145"/>
      <c r="X73" s="145"/>
      <c r="Y73" s="145"/>
      <c r="Z73" s="145"/>
      <c r="AA73" s="145"/>
      <c r="AB73" s="145"/>
      <c r="AC73" s="145"/>
      <c r="AD73" s="145"/>
      <c r="AE73" s="145"/>
      <c r="AF73" s="145"/>
      <c r="AG73" s="145"/>
      <c r="AH73" s="145"/>
      <c r="AI73" s="145"/>
      <c r="AJ73" s="145"/>
      <c r="AK73" s="145"/>
      <c r="AL73" s="145"/>
      <c r="AM73" s="145"/>
      <c r="AQ73" s="145"/>
      <c r="AR73" s="145"/>
      <c r="AS73" s="145"/>
      <c r="AT73" s="145"/>
      <c r="AU73" s="145"/>
      <c r="AV73" s="145"/>
      <c r="AW73" s="145"/>
      <c r="AX73" s="145"/>
      <c r="AY73" s="145"/>
      <c r="AZ73" s="145"/>
    </row>
    <row r="74" spans="1:52" ht="12" x14ac:dyDescent="0.35">
      <c r="B74" t="s">
        <v>24</v>
      </c>
      <c r="D74" s="114" t="str">
        <f>IFERROR(-D315,"n/a")</f>
        <v>n/a</v>
      </c>
      <c r="E74" s="114" t="str">
        <f t="shared" ref="E74:K74" si="373">IFERROR(-E315,"n/a")</f>
        <v>n/a</v>
      </c>
      <c r="F74" s="114" t="str">
        <f t="shared" si="373"/>
        <v>n/a</v>
      </c>
      <c r="G74" s="114" t="str">
        <f t="shared" si="373"/>
        <v>n/a</v>
      </c>
      <c r="H74" s="114" t="str">
        <f t="shared" si="373"/>
        <v>n/a</v>
      </c>
      <c r="I74" s="114" t="str">
        <f t="shared" si="373"/>
        <v>n/a</v>
      </c>
      <c r="J74" s="114" t="str">
        <f t="shared" si="373"/>
        <v>n/a</v>
      </c>
      <c r="K74" s="114" t="str">
        <f t="shared" si="373"/>
        <v>n/a</v>
      </c>
      <c r="L74" s="18">
        <f>IFERROR(-L315,"n/a")</f>
        <v>-5.6000000000000001E-2</v>
      </c>
      <c r="M74" s="18">
        <f t="shared" ref="M74:S74" si="374">IFERROR(-M315,"n/a")</f>
        <v>-8.6999999999999994E-2</v>
      </c>
      <c r="N74" s="18">
        <f t="shared" si="374"/>
        <v>-9.9000000000000005E-2</v>
      </c>
      <c r="O74" s="18">
        <f t="shared" si="374"/>
        <v>-0.26100000000000001</v>
      </c>
      <c r="P74" s="18">
        <f t="shared" si="374"/>
        <v>-0.20499999999999999</v>
      </c>
      <c r="Q74" s="18">
        <f t="shared" si="374"/>
        <v>-0.20899999999999999</v>
      </c>
      <c r="R74" s="18">
        <f t="shared" si="374"/>
        <v>-0.25800000000000001</v>
      </c>
      <c r="S74" s="18">
        <f t="shared" si="374"/>
        <v>-0.40699999999999997</v>
      </c>
      <c r="T74" s="18">
        <f t="shared" ref="T74:U74" si="375">IFERROR(-T315,"n/a")</f>
        <v>-0.59299999999999997</v>
      </c>
      <c r="U74" s="18">
        <f t="shared" si="375"/>
        <v>-0.56899999999999995</v>
      </c>
      <c r="V74" s="18">
        <f t="shared" ref="V74:W74" si="376">IFERROR(-V315,"n/a")</f>
        <v>-0.627</v>
      </c>
      <c r="W74" s="18">
        <f t="shared" si="376"/>
        <v>-0.95299999999999996</v>
      </c>
      <c r="X74" s="18">
        <f t="shared" ref="X74:Y74" si="377">IFERROR(-X315,"n/a")</f>
        <v>-0.93200000000000005</v>
      </c>
      <c r="Y74" s="18">
        <f t="shared" si="377"/>
        <v>-2.2040000000000002</v>
      </c>
      <c r="Z74" s="18">
        <f t="shared" ref="Z74:AA74" si="378">IFERROR(-Z315,"n/a")</f>
        <v>-1.98</v>
      </c>
      <c r="AA74" s="18">
        <f t="shared" si="378"/>
        <v>-2.2769999999999997</v>
      </c>
      <c r="AB74" s="18">
        <f t="shared" ref="AB74:AC74" si="379">IFERROR(-AB315,"n/a")</f>
        <v>-2.7960000000000003</v>
      </c>
      <c r="AC74" s="18">
        <f t="shared" si="379"/>
        <v>-3.7650000000000001</v>
      </c>
      <c r="AD74" s="18">
        <f t="shared" ref="AD74:AE74" si="380">IFERROR(-AD315,"n/a")</f>
        <v>-4.2030000000000003</v>
      </c>
      <c r="AE74" s="18">
        <f t="shared" si="380"/>
        <v>-4.5730000000000004</v>
      </c>
      <c r="AF74" s="18">
        <f t="shared" ref="AF74:AG74" si="381">IFERROR(-AF315,"n/a")</f>
        <v>-5.1150000000000002</v>
      </c>
      <c r="AG74" s="18">
        <f t="shared" si="381"/>
        <v>-7.1660000000000004</v>
      </c>
      <c r="AH74" s="28">
        <v>-8</v>
      </c>
      <c r="AI74" s="28">
        <v>-8</v>
      </c>
      <c r="AJ74" s="28">
        <f>-0.075*AJ12</f>
        <v>-7.7245890410958893</v>
      </c>
      <c r="AK74" s="28">
        <f t="shared" ref="AK74:AM74" si="382">-0.075*AK12</f>
        <v>-8.1376438356164371</v>
      </c>
      <c r="AL74" s="28">
        <f t="shared" si="382"/>
        <v>-8.5295342465753414</v>
      </c>
      <c r="AM74" s="28">
        <f t="shared" si="382"/>
        <v>-8.8130958904109598</v>
      </c>
      <c r="AN74" s="108"/>
      <c r="AO74" s="108"/>
      <c r="AP74" s="108"/>
      <c r="AQ74" s="114">
        <f>IFERROR(-AQ315,"n/a")</f>
        <v>-0.30199999999999999</v>
      </c>
      <c r="AR74" s="114">
        <f>IFERROR(-AR315,"n/a")</f>
        <v>-0.224</v>
      </c>
      <c r="AS74" s="18">
        <f t="shared" ref="AS74:AV74" si="383">-AS315</f>
        <v>-0.503</v>
      </c>
      <c r="AT74" s="18">
        <f t="shared" si="383"/>
        <v>-1.079</v>
      </c>
      <c r="AU74" s="18">
        <f t="shared" si="383"/>
        <v>-2.742</v>
      </c>
      <c r="AV74" s="18">
        <f t="shared" si="383"/>
        <v>-7.3929999999999989</v>
      </c>
      <c r="AW74" s="18">
        <f>+SUM(AB74:AE74)</f>
        <v>-15.337</v>
      </c>
      <c r="AX74" s="18">
        <f>+SUM(AF74:AI74)</f>
        <v>-28.280999999999999</v>
      </c>
      <c r="AY74" s="18">
        <f>+SUM(AJ74:AM74)</f>
        <v>-33.204863013698628</v>
      </c>
      <c r="AZ74" s="10"/>
    </row>
    <row r="75" spans="1:52" s="3" customFormat="1" ht="10.15" x14ac:dyDescent="0.2">
      <c r="A75" s="2"/>
      <c r="B75" s="24" t="s">
        <v>31</v>
      </c>
      <c r="D75" s="125" t="str">
        <f t="shared" ref="D75:AI75" si="384">+IFERROR(D71+D74,"n/a")</f>
        <v>n/a</v>
      </c>
      <c r="E75" s="125" t="str">
        <f t="shared" si="384"/>
        <v>n/a</v>
      </c>
      <c r="F75" s="125" t="str">
        <f t="shared" si="384"/>
        <v>n/a</v>
      </c>
      <c r="G75" s="125" t="str">
        <f t="shared" si="384"/>
        <v>n/a</v>
      </c>
      <c r="H75" s="125" t="str">
        <f t="shared" si="384"/>
        <v>n/a</v>
      </c>
      <c r="I75" s="125" t="str">
        <f t="shared" si="384"/>
        <v>n/a</v>
      </c>
      <c r="J75" s="125" t="str">
        <f t="shared" si="384"/>
        <v>n/a</v>
      </c>
      <c r="K75" s="125" t="str">
        <f t="shared" si="384"/>
        <v>n/a</v>
      </c>
      <c r="L75" s="125">
        <f t="shared" si="384"/>
        <v>-1.1599999999999993</v>
      </c>
      <c r="M75" s="125">
        <f t="shared" si="384"/>
        <v>-1.2929999999999995</v>
      </c>
      <c r="N75" s="125">
        <f t="shared" si="384"/>
        <v>-1.5339999999999987</v>
      </c>
      <c r="O75" s="125">
        <f t="shared" si="384"/>
        <v>-4.2349999999999968</v>
      </c>
      <c r="P75" s="125">
        <f t="shared" si="384"/>
        <v>-1.871000000000004</v>
      </c>
      <c r="Q75" s="125">
        <f t="shared" si="384"/>
        <v>-1.8780000000000006</v>
      </c>
      <c r="R75" s="125">
        <f t="shared" si="384"/>
        <v>-0.75500000000000345</v>
      </c>
      <c r="S75" s="125">
        <f t="shared" si="384"/>
        <v>-1.5720000000000027</v>
      </c>
      <c r="T75" s="125">
        <f t="shared" si="384"/>
        <v>1.5670000000000002</v>
      </c>
      <c r="U75" s="125">
        <f t="shared" si="384"/>
        <v>4.0000000000001812E-2</v>
      </c>
      <c r="V75" s="125">
        <f t="shared" si="384"/>
        <v>-0.27500000000000324</v>
      </c>
      <c r="W75" s="125">
        <f t="shared" si="384"/>
        <v>-3.5979999999999959</v>
      </c>
      <c r="X75" s="125">
        <f t="shared" si="384"/>
        <v>-2.3009999999999997</v>
      </c>
      <c r="Y75" s="125">
        <f t="shared" si="384"/>
        <v>-4.242999999999995</v>
      </c>
      <c r="Z75" s="125">
        <f t="shared" si="384"/>
        <v>-3.7939999999999929</v>
      </c>
      <c r="AA75" s="125">
        <f t="shared" si="384"/>
        <v>-12.891000000000004</v>
      </c>
      <c r="AB75" s="125">
        <f t="shared" si="384"/>
        <v>-9.2629999999999839</v>
      </c>
      <c r="AC75" s="125">
        <f t="shared" si="384"/>
        <v>-1.4720000000000009</v>
      </c>
      <c r="AD75" s="125">
        <f t="shared" si="384"/>
        <v>3.3050000000000095</v>
      </c>
      <c r="AE75" s="125">
        <f t="shared" si="384"/>
        <v>3.734000000000016</v>
      </c>
      <c r="AF75" s="125">
        <f t="shared" si="384"/>
        <v>4.6220000000000017</v>
      </c>
      <c r="AG75" s="125">
        <f t="shared" ref="AG75" si="385">+IFERROR(AG71+AG74,"n/a")</f>
        <v>5.0209999999999972</v>
      </c>
      <c r="AH75" s="125">
        <f t="shared" si="384"/>
        <v>4.2561972602739786</v>
      </c>
      <c r="AI75" s="125">
        <f t="shared" si="384"/>
        <v>4.3501150684931389</v>
      </c>
      <c r="AJ75" s="125">
        <f t="shared" ref="AJ75:AM75" si="386">+IFERROR(AJ71+AJ74,"n/a")</f>
        <v>8.07077260273973</v>
      </c>
      <c r="AK75" s="125">
        <f t="shared" si="386"/>
        <v>10.118193972602747</v>
      </c>
      <c r="AL75" s="125">
        <f t="shared" si="386"/>
        <v>11.896464657534249</v>
      </c>
      <c r="AM75" s="125">
        <f t="shared" si="386"/>
        <v>12.08439890410958</v>
      </c>
      <c r="AQ75" s="125">
        <f t="shared" ref="AQ75:AW75" si="387">+IFERROR(AQ71+AQ74,"n/a")</f>
        <v>-3.3879999999999986</v>
      </c>
      <c r="AR75" s="125">
        <f t="shared" si="387"/>
        <v>-6.5890000000000022</v>
      </c>
      <c r="AS75" s="125">
        <f t="shared" si="387"/>
        <v>-8.2219999999999942</v>
      </c>
      <c r="AT75" s="125">
        <f t="shared" si="387"/>
        <v>-6.0759999999999996</v>
      </c>
      <c r="AU75" s="125">
        <f t="shared" si="387"/>
        <v>-2.2659999999999725</v>
      </c>
      <c r="AV75" s="125">
        <f t="shared" si="387"/>
        <v>-23.228999999999985</v>
      </c>
      <c r="AW75" s="125">
        <f t="shared" si="387"/>
        <v>-3.6959999999999518</v>
      </c>
      <c r="AX75" s="23">
        <f t="shared" ref="AX75" si="388">+SUM(AF75:AI75)</f>
        <v>18.249312328767118</v>
      </c>
      <c r="AY75" s="23">
        <f>+SUM(AJ75:AM75)</f>
        <v>42.169830136986306</v>
      </c>
      <c r="AZ75" s="23"/>
    </row>
    <row r="76" spans="1:52" ht="10.15" x14ac:dyDescent="0.2">
      <c r="B76" s="20" t="s">
        <v>20</v>
      </c>
      <c r="D76" s="121" t="str">
        <f t="shared" ref="D76:AI76" si="389">+IFERROR(D75/D12,"n/a")</f>
        <v>n/a</v>
      </c>
      <c r="E76" s="121" t="str">
        <f t="shared" si="389"/>
        <v>n/a</v>
      </c>
      <c r="F76" s="121" t="str">
        <f t="shared" si="389"/>
        <v>n/a</v>
      </c>
      <c r="G76" s="121" t="str">
        <f t="shared" si="389"/>
        <v>n/a</v>
      </c>
      <c r="H76" s="121" t="str">
        <f t="shared" si="389"/>
        <v>n/a</v>
      </c>
      <c r="I76" s="121" t="str">
        <f t="shared" si="389"/>
        <v>n/a</v>
      </c>
      <c r="J76" s="121" t="str">
        <f t="shared" si="389"/>
        <v>n/a</v>
      </c>
      <c r="K76" s="121" t="str">
        <f t="shared" si="389"/>
        <v>n/a</v>
      </c>
      <c r="L76" s="121">
        <f t="shared" si="389"/>
        <v>-5.6943694467625511E-2</v>
      </c>
      <c r="M76" s="121">
        <f t="shared" si="389"/>
        <v>-5.8443319472066511E-2</v>
      </c>
      <c r="N76" s="121">
        <f t="shared" si="389"/>
        <v>-6.4369938315639239E-2</v>
      </c>
      <c r="O76" s="121">
        <f t="shared" si="389"/>
        <v>-0.1642555172012565</v>
      </c>
      <c r="P76" s="121">
        <f t="shared" si="389"/>
        <v>-6.7333645229783856E-2</v>
      </c>
      <c r="Q76" s="121">
        <f t="shared" si="389"/>
        <v>-6.6005904681568972E-2</v>
      </c>
      <c r="R76" s="121">
        <f t="shared" si="389"/>
        <v>-2.3450118027084219E-2</v>
      </c>
      <c r="S76" s="121">
        <f t="shared" si="389"/>
        <v>-4.3139407244786029E-2</v>
      </c>
      <c r="T76" s="121">
        <f t="shared" si="389"/>
        <v>3.9176958847942402E-2</v>
      </c>
      <c r="U76" s="121">
        <f t="shared" si="389"/>
        <v>8.8879013442954809E-4</v>
      </c>
      <c r="V76" s="121">
        <f t="shared" si="389"/>
        <v>-5.5835296028588326E-3</v>
      </c>
      <c r="W76" s="121">
        <f t="shared" si="389"/>
        <v>-6.6944516801250242E-2</v>
      </c>
      <c r="X76" s="121">
        <f t="shared" si="389"/>
        <v>-4.0277972272790924E-2</v>
      </c>
      <c r="Y76" s="121">
        <f t="shared" si="389"/>
        <v>-6.7768727040408802E-2</v>
      </c>
      <c r="Z76" s="121">
        <f t="shared" si="389"/>
        <v>-5.7665709117991161E-2</v>
      </c>
      <c r="AA76" s="121">
        <f t="shared" si="389"/>
        <v>-0.18741004579486814</v>
      </c>
      <c r="AB76" s="121">
        <f t="shared" si="389"/>
        <v>-0.13070410610977823</v>
      </c>
      <c r="AC76" s="121">
        <f t="shared" si="389"/>
        <v>-1.9707335359404509E-2</v>
      </c>
      <c r="AD76" s="121">
        <f t="shared" si="389"/>
        <v>4.1985314667547569E-2</v>
      </c>
      <c r="AE76" s="121">
        <f t="shared" si="389"/>
        <v>4.4775403506247639E-2</v>
      </c>
      <c r="AF76" s="121">
        <f t="shared" si="389"/>
        <v>5.3861930732298537E-2</v>
      </c>
      <c r="AG76" s="121">
        <f t="shared" ref="AG76" si="390">+IFERROR(AG75/AG12,"n/a")</f>
        <v>5.5205550241338719E-2</v>
      </c>
      <c r="AH76" s="121">
        <f t="shared" si="389"/>
        <v>4.3723459347488405E-2</v>
      </c>
      <c r="AI76" s="121">
        <f t="shared" si="389"/>
        <v>4.2963925057635369E-2</v>
      </c>
      <c r="AJ76" s="121">
        <f t="shared" ref="AJ76:AM76" si="391">+IFERROR(AJ75/AJ12,"n/a")</f>
        <v>7.8361184263027739E-2</v>
      </c>
      <c r="AK76" s="121">
        <f t="shared" si="391"/>
        <v>9.3253595669036904E-2</v>
      </c>
      <c r="AL76" s="121">
        <f t="shared" si="391"/>
        <v>0.1046053422756707</v>
      </c>
      <c r="AM76" s="121">
        <f t="shared" si="391"/>
        <v>0.1028389942737768</v>
      </c>
      <c r="AN76" s="101"/>
      <c r="AO76" s="101"/>
      <c r="AP76" s="101"/>
      <c r="AQ76" s="121">
        <f t="shared" ref="AQ76:AX76" si="392">+IFERROR(AQ75/AQ12,"n/a")</f>
        <v>-8.8213086156169421E-2</v>
      </c>
      <c r="AR76" s="121">
        <f t="shared" si="392"/>
        <v>-0.10372947529163587</v>
      </c>
      <c r="AS76" s="121">
        <f t="shared" si="392"/>
        <v>-8.9263807011258342E-2</v>
      </c>
      <c r="AT76" s="121">
        <f t="shared" si="392"/>
        <v>-4.8656656656656652E-2</v>
      </c>
      <c r="AU76" s="121">
        <f t="shared" si="392"/>
        <v>-1.205312737698189E-2</v>
      </c>
      <c r="AV76" s="121">
        <f t="shared" si="392"/>
        <v>-9.1339121408012022E-2</v>
      </c>
      <c r="AW76" s="121">
        <f t="shared" si="392"/>
        <v>-1.2012675713008699E-2</v>
      </c>
      <c r="AX76" s="121">
        <f t="shared" si="392"/>
        <v>4.86185515676602E-2</v>
      </c>
      <c r="AY76" s="121">
        <f t="shared" ref="AY76" si="393">+IFERROR(AY75/AY12,"n/a")</f>
        <v>9.5249218735496327E-2</v>
      </c>
      <c r="AZ76" s="121"/>
    </row>
    <row r="77" spans="1:52" ht="10.15" x14ac:dyDescent="0.2">
      <c r="B77" s="20" t="s">
        <v>374</v>
      </c>
      <c r="D77" s="121"/>
      <c r="E77" s="121"/>
      <c r="F77" s="121"/>
      <c r="G77" s="121"/>
      <c r="H77" s="121"/>
      <c r="I77" s="121"/>
      <c r="J77" s="121"/>
      <c r="K77" s="121"/>
      <c r="L77" s="121">
        <f>-L74/L12</f>
        <v>2.7490059398164058E-3</v>
      </c>
      <c r="M77" s="121">
        <f t="shared" ref="M77:AI77" si="394">-M74/M12</f>
        <v>3.9323811245706016E-3</v>
      </c>
      <c r="N77" s="121">
        <f t="shared" si="394"/>
        <v>4.1542528639167478E-3</v>
      </c>
      <c r="O77" s="121">
        <f t="shared" si="394"/>
        <v>1.0122949230112865E-2</v>
      </c>
      <c r="P77" s="121">
        <f t="shared" si="394"/>
        <v>7.3775506531831431E-3</v>
      </c>
      <c r="Q77" s="121">
        <f t="shared" si="394"/>
        <v>7.3457050470968639E-3</v>
      </c>
      <c r="R77" s="121">
        <f t="shared" si="394"/>
        <v>8.0134178158777492E-3</v>
      </c>
      <c r="S77" s="121">
        <f t="shared" si="394"/>
        <v>1.1169045005488475E-2</v>
      </c>
      <c r="T77" s="121">
        <f t="shared" si="394"/>
        <v>1.4825741287064353E-2</v>
      </c>
      <c r="U77" s="121">
        <f t="shared" si="394"/>
        <v>1.2643039662259747E-2</v>
      </c>
      <c r="V77" s="121">
        <f t="shared" si="394"/>
        <v>1.2730447494517988E-2</v>
      </c>
      <c r="W77" s="121">
        <f t="shared" si="394"/>
        <v>1.7731552115506269E-2</v>
      </c>
      <c r="X77" s="121">
        <f t="shared" si="394"/>
        <v>1.6314241702842739E-2</v>
      </c>
      <c r="Y77" s="121">
        <f t="shared" si="394"/>
        <v>3.520204440185274E-2</v>
      </c>
      <c r="Z77" s="121">
        <f t="shared" si="394"/>
        <v>3.0094386940859967E-2</v>
      </c>
      <c r="AA77" s="121">
        <f t="shared" si="394"/>
        <v>3.3103147488551282E-2</v>
      </c>
      <c r="AB77" s="121">
        <f t="shared" si="394"/>
        <v>3.9452518696204322E-2</v>
      </c>
      <c r="AC77" s="121">
        <f t="shared" si="394"/>
        <v>5.0406329910433374E-2</v>
      </c>
      <c r="AD77" s="121">
        <f t="shared" si="394"/>
        <v>5.3393124825325849E-2</v>
      </c>
      <c r="AE77" s="121">
        <f t="shared" si="394"/>
        <v>5.483607933424467E-2</v>
      </c>
      <c r="AF77" s="121">
        <f t="shared" si="394"/>
        <v>5.9607047965319543E-2</v>
      </c>
      <c r="AG77" s="121">
        <f t="shared" ref="AG77" si="395">-AG74/AG12</f>
        <v>7.878967795846116E-2</v>
      </c>
      <c r="AH77" s="121">
        <f t="shared" si="394"/>
        <v>8.2183144574786648E-2</v>
      </c>
      <c r="AI77" s="121">
        <f t="shared" si="394"/>
        <v>7.9012024980788173E-2</v>
      </c>
      <c r="AJ77" s="121">
        <f t="shared" ref="AJ77:AM77" si="396">-AJ74/AJ12</f>
        <v>7.4999999999999997E-2</v>
      </c>
      <c r="AK77" s="121">
        <f t="shared" si="396"/>
        <v>7.4999999999999983E-2</v>
      </c>
      <c r="AL77" s="121">
        <f t="shared" si="396"/>
        <v>7.4999999999999997E-2</v>
      </c>
      <c r="AM77" s="121">
        <f t="shared" si="396"/>
        <v>7.4999999999999997E-2</v>
      </c>
      <c r="AN77" s="101"/>
      <c r="AO77" s="101"/>
      <c r="AP77" s="101"/>
      <c r="AQ77" s="121">
        <f t="shared" ref="AQ77:AX77" si="397">-AQ74/AQ12</f>
        <v>7.8631499466243135E-3</v>
      </c>
      <c r="AR77" s="121">
        <f t="shared" si="397"/>
        <v>3.5263928464602259E-3</v>
      </c>
      <c r="AS77" s="121">
        <f t="shared" si="397"/>
        <v>5.46092129976441E-3</v>
      </c>
      <c r="AT77" s="121">
        <f t="shared" si="397"/>
        <v>8.640640640640641E-3</v>
      </c>
      <c r="AU77" s="121">
        <f t="shared" si="397"/>
        <v>1.4585028803038282E-2</v>
      </c>
      <c r="AV77" s="121">
        <f t="shared" si="397"/>
        <v>2.907013322008839E-2</v>
      </c>
      <c r="AW77" s="121">
        <f t="shared" si="397"/>
        <v>4.9848053953034856E-2</v>
      </c>
      <c r="AX77" s="121">
        <f t="shared" si="397"/>
        <v>7.5344277752184677E-2</v>
      </c>
      <c r="AY77" s="121">
        <f t="shared" ref="AY77" si="398">-AY74/AY12</f>
        <v>7.4999999999999983E-2</v>
      </c>
      <c r="AZ77" s="121"/>
    </row>
    <row r="78" spans="1:52" ht="10.15" x14ac:dyDescent="0.2">
      <c r="B78" s="20"/>
    </row>
    <row r="79" spans="1:52" ht="10.15" x14ac:dyDescent="0.2">
      <c r="B79" s="19" t="s">
        <v>35</v>
      </c>
      <c r="AW79" s="10"/>
      <c r="AX79" s="10"/>
      <c r="AY79" s="10"/>
      <c r="AZ79" s="10"/>
    </row>
    <row r="80" spans="1:52" ht="12" x14ac:dyDescent="0.35">
      <c r="B80" s="13" t="s">
        <v>370</v>
      </c>
      <c r="D80" s="136" t="str">
        <f>+IFERROR(D305-D322,"n/a")</f>
        <v>n/a</v>
      </c>
      <c r="E80" s="136" t="str">
        <f t="shared" ref="E80:AF80" si="399">+IFERROR(E305-E322,"n/a")</f>
        <v>n/a</v>
      </c>
      <c r="F80" s="136" t="str">
        <f t="shared" si="399"/>
        <v>n/a</v>
      </c>
      <c r="G80" s="136" t="str">
        <f t="shared" si="399"/>
        <v>n/a</v>
      </c>
      <c r="H80" s="136" t="str">
        <f t="shared" si="399"/>
        <v>n/a</v>
      </c>
      <c r="I80" s="136" t="str">
        <f t="shared" si="399"/>
        <v>n/a</v>
      </c>
      <c r="J80" s="136" t="str">
        <f t="shared" si="399"/>
        <v>n/a</v>
      </c>
      <c r="K80" s="136" t="str">
        <f t="shared" si="399"/>
        <v>n/a</v>
      </c>
      <c r="L80" s="136">
        <f t="shared" ca="1" si="399"/>
        <v>0.37000000000000005</v>
      </c>
      <c r="M80" s="136">
        <f t="shared" ca="1" si="399"/>
        <v>0.37000000000000005</v>
      </c>
      <c r="N80" s="136">
        <f t="shared" ca="1" si="399"/>
        <v>0.37000000000000005</v>
      </c>
      <c r="O80" s="136">
        <f t="shared" ca="1" si="399"/>
        <v>0.37000000000000005</v>
      </c>
      <c r="P80" s="136">
        <f t="shared" si="399"/>
        <v>0.23200000000000001</v>
      </c>
      <c r="Q80" s="136">
        <f t="shared" si="399"/>
        <v>0.24199999999999997</v>
      </c>
      <c r="R80" s="136">
        <f t="shared" si="399"/>
        <v>0.374</v>
      </c>
      <c r="S80" s="136">
        <f t="shared" si="399"/>
        <v>0.56699999999999995</v>
      </c>
      <c r="T80" s="136">
        <f t="shared" si="399"/>
        <v>0.39900000000000002</v>
      </c>
      <c r="U80" s="136">
        <f t="shared" si="399"/>
        <v>0.93200000000000005</v>
      </c>
      <c r="V80" s="136">
        <f t="shared" si="399"/>
        <v>0.93600000000000005</v>
      </c>
      <c r="W80" s="136">
        <f t="shared" si="399"/>
        <v>1.0409999999999999</v>
      </c>
      <c r="X80" s="136">
        <f t="shared" si="399"/>
        <v>1.1660000000000001</v>
      </c>
      <c r="Y80" s="136">
        <f t="shared" si="399"/>
        <v>2.238</v>
      </c>
      <c r="Z80" s="136">
        <f t="shared" si="399"/>
        <v>1.8770000000000002</v>
      </c>
      <c r="AA80" s="136">
        <f t="shared" si="399"/>
        <v>-0.51100000000000001</v>
      </c>
      <c r="AB80" s="136">
        <f t="shared" si="399"/>
        <v>0.96500000000000008</v>
      </c>
      <c r="AC80" s="136">
        <f t="shared" si="399"/>
        <v>1.0999999999999996</v>
      </c>
      <c r="AD80" s="136">
        <f t="shared" si="399"/>
        <v>1.1150000000000007</v>
      </c>
      <c r="AE80" s="136">
        <f t="shared" si="399"/>
        <v>1.3029999999999995</v>
      </c>
      <c r="AF80" s="136">
        <f t="shared" si="399"/>
        <v>1.4909999999999999</v>
      </c>
      <c r="AG80" s="136">
        <f t="shared" ref="AG80" si="400">+IFERROR(AG305-AG322,"n/a")</f>
        <v>1.1960000000000002</v>
      </c>
      <c r="AH80" s="27">
        <v>2.25</v>
      </c>
      <c r="AI80" s="27">
        <v>2.25</v>
      </c>
      <c r="AJ80" s="27">
        <v>2.25</v>
      </c>
      <c r="AK80" s="27">
        <v>2.25</v>
      </c>
      <c r="AL80" s="27">
        <v>2.25</v>
      </c>
      <c r="AM80" s="27">
        <v>2.25</v>
      </c>
      <c r="AN80" s="6"/>
      <c r="AO80" s="6"/>
      <c r="AP80" s="6"/>
      <c r="AQ80" s="136">
        <f>+IFERROR(AQ305-AQ322,"n/a")</f>
        <v>0.94300000000000006</v>
      </c>
      <c r="AR80" s="136">
        <f>+IFERROR(AR305-AR322,"n/a")</f>
        <v>1.266</v>
      </c>
      <c r="AS80" s="136">
        <f ca="1">+IFERROR(AS305-AS322,"n/a")</f>
        <v>1.4800000000000002</v>
      </c>
      <c r="AT80" s="136">
        <f>+IFERROR(AT305-AT322,"n/a")</f>
        <v>1.415</v>
      </c>
      <c r="AU80" s="136">
        <f>+IFERROR(AU305-AU322,"n/a")</f>
        <v>3.3080000000000003</v>
      </c>
      <c r="AV80" s="136">
        <f t="shared" ref="AV80:AW80" si="401">+IFERROR(AV305-AV322,"n/a")</f>
        <v>4.7700000000000005</v>
      </c>
      <c r="AW80" s="136">
        <f t="shared" si="401"/>
        <v>4.4829999999999997</v>
      </c>
      <c r="AX80" s="103">
        <f>+SUM(AF80:AI80)</f>
        <v>7.1870000000000003</v>
      </c>
      <c r="AY80" s="103">
        <f>+SUM(AJ80:AM80)</f>
        <v>9</v>
      </c>
      <c r="AZ80" s="103"/>
    </row>
    <row r="81" spans="1:53" ht="10.15" x14ac:dyDescent="0.2">
      <c r="B81" s="20" t="s">
        <v>37</v>
      </c>
      <c r="D81" s="119" t="str">
        <f>+IFERROR(D75+D80,"n/a")</f>
        <v>n/a</v>
      </c>
      <c r="E81" s="119" t="str">
        <f t="shared" ref="E81:K81" si="402">+IFERROR(E75+E80,"n/a")</f>
        <v>n/a</v>
      </c>
      <c r="F81" s="119" t="str">
        <f t="shared" si="402"/>
        <v>n/a</v>
      </c>
      <c r="G81" s="119" t="str">
        <f t="shared" si="402"/>
        <v>n/a</v>
      </c>
      <c r="H81" s="119" t="str">
        <f t="shared" si="402"/>
        <v>n/a</v>
      </c>
      <c r="I81" s="119" t="str">
        <f t="shared" si="402"/>
        <v>n/a</v>
      </c>
      <c r="J81" s="119" t="str">
        <f t="shared" si="402"/>
        <v>n/a</v>
      </c>
      <c r="K81" s="119" t="str">
        <f t="shared" si="402"/>
        <v>n/a</v>
      </c>
      <c r="L81" s="119">
        <f ca="1">+IFERROR(L75+L80,"n/a")</f>
        <v>-0.78999999999999915</v>
      </c>
      <c r="M81" s="119">
        <f t="shared" ref="M81:S81" ca="1" si="403">+IFERROR(M75+M80,"n/a")</f>
        <v>-0.92299999999999938</v>
      </c>
      <c r="N81" s="119">
        <f t="shared" ca="1" si="403"/>
        <v>-1.1639999999999986</v>
      </c>
      <c r="O81" s="119">
        <f t="shared" ca="1" si="403"/>
        <v>-3.8649999999999967</v>
      </c>
      <c r="P81" s="119">
        <f t="shared" si="403"/>
        <v>-1.639000000000004</v>
      </c>
      <c r="Q81" s="119">
        <f t="shared" si="403"/>
        <v>-1.6360000000000006</v>
      </c>
      <c r="R81" s="119">
        <f t="shared" si="403"/>
        <v>-0.38100000000000345</v>
      </c>
      <c r="S81" s="119">
        <f t="shared" si="403"/>
        <v>-1.0050000000000028</v>
      </c>
      <c r="T81" s="119">
        <f t="shared" ref="T81:U81" si="404">+IFERROR(T75+T80,"n/a")</f>
        <v>1.9660000000000002</v>
      </c>
      <c r="U81" s="119">
        <f t="shared" si="404"/>
        <v>0.97200000000000186</v>
      </c>
      <c r="V81" s="119">
        <f t="shared" ref="V81" si="405">+IFERROR(V75+V80,"n/a")</f>
        <v>0.66099999999999681</v>
      </c>
      <c r="W81" s="119">
        <f t="shared" ref="W81:X81" si="406">+IFERROR(W75+W80,"n/a")</f>
        <v>-2.5569999999999959</v>
      </c>
      <c r="X81" s="119">
        <f t="shared" si="406"/>
        <v>-1.1349999999999996</v>
      </c>
      <c r="Y81" s="119">
        <f t="shared" ref="Y81:Z81" si="407">+IFERROR(Y75+Y80,"n/a")</f>
        <v>-2.004999999999995</v>
      </c>
      <c r="Z81" s="119">
        <f t="shared" si="407"/>
        <v>-1.9169999999999927</v>
      </c>
      <c r="AA81" s="119">
        <f t="shared" ref="AA81:AB81" si="408">+IFERROR(AA75+AA80,"n/a")</f>
        <v>-13.402000000000003</v>
      </c>
      <c r="AB81" s="119">
        <f t="shared" si="408"/>
        <v>-8.2979999999999841</v>
      </c>
      <c r="AC81" s="119">
        <f t="shared" ref="AC81:AD81" si="409">+IFERROR(AC75+AC80,"n/a")</f>
        <v>-0.37200000000000122</v>
      </c>
      <c r="AD81" s="119">
        <f t="shared" si="409"/>
        <v>4.4200000000000106</v>
      </c>
      <c r="AE81" s="119">
        <f t="shared" ref="AE81:AF81" si="410">+IFERROR(AE75+AE80,"n/a")</f>
        <v>5.037000000000015</v>
      </c>
      <c r="AF81" s="119">
        <f t="shared" si="410"/>
        <v>6.1130000000000013</v>
      </c>
      <c r="AG81" s="119">
        <f t="shared" ref="AG81" si="411">+IFERROR(AG75+AG80,"n/a")</f>
        <v>6.216999999999997</v>
      </c>
      <c r="AH81" s="119">
        <f t="shared" ref="AH81:AI81" si="412">+IFERROR(AH75+AH80,"n/a")</f>
        <v>6.5061972602739786</v>
      </c>
      <c r="AI81" s="119">
        <f t="shared" si="412"/>
        <v>6.6001150684931389</v>
      </c>
      <c r="AJ81" s="119">
        <f t="shared" ref="AJ81:AM81" si="413">+IFERROR(AJ75+AJ80,"n/a")</f>
        <v>10.32077260273973</v>
      </c>
      <c r="AK81" s="119">
        <f t="shared" si="413"/>
        <v>12.368193972602747</v>
      </c>
      <c r="AL81" s="119">
        <f t="shared" si="413"/>
        <v>14.146464657534249</v>
      </c>
      <c r="AM81" s="119">
        <f t="shared" si="413"/>
        <v>14.33439890410958</v>
      </c>
      <c r="AQ81" s="119">
        <f>+IFERROR(AQ75+AQ80,"n/a")</f>
        <v>-2.4449999999999985</v>
      </c>
      <c r="AR81" s="119">
        <f>+IFERROR(AR75+AR80,"n/a")</f>
        <v>-5.3230000000000022</v>
      </c>
      <c r="AS81" s="14">
        <f ca="1">+AS75+AS80</f>
        <v>-6.7419999999999938</v>
      </c>
      <c r="AT81" s="14">
        <f>+AT75+AT80</f>
        <v>-4.6609999999999996</v>
      </c>
      <c r="AU81" s="14">
        <f t="shared" ref="AU81" si="414">+AU75+AU80</f>
        <v>1.0420000000000278</v>
      </c>
      <c r="AV81" s="14">
        <f t="shared" ref="AV81:AW81" si="415">+AV75+AV80</f>
        <v>-18.458999999999985</v>
      </c>
      <c r="AW81" s="14">
        <f t="shared" si="415"/>
        <v>0.78700000000004788</v>
      </c>
      <c r="AX81" s="104">
        <f>+SUM(AF81:AI81)</f>
        <v>25.436312328767116</v>
      </c>
      <c r="AY81" s="104">
        <f>+SUM(AJ81:AM81)</f>
        <v>51.169830136986306</v>
      </c>
      <c r="AZ81" s="104"/>
    </row>
    <row r="82" spans="1:53" ht="10.15" x14ac:dyDescent="0.2">
      <c r="B82" s="26" t="s">
        <v>20</v>
      </c>
      <c r="D82" s="121" t="str">
        <f t="shared" ref="D82:AI82" si="416">+IFERROR(D81/D12,"n/a")</f>
        <v>n/a</v>
      </c>
      <c r="E82" s="121" t="str">
        <f t="shared" si="416"/>
        <v>n/a</v>
      </c>
      <c r="F82" s="121" t="str">
        <f t="shared" si="416"/>
        <v>n/a</v>
      </c>
      <c r="G82" s="121" t="str">
        <f t="shared" si="416"/>
        <v>n/a</v>
      </c>
      <c r="H82" s="121" t="str">
        <f t="shared" si="416"/>
        <v>n/a</v>
      </c>
      <c r="I82" s="121" t="str">
        <f t="shared" si="416"/>
        <v>n/a</v>
      </c>
      <c r="J82" s="121" t="str">
        <f t="shared" si="416"/>
        <v>n/a</v>
      </c>
      <c r="K82" s="121" t="str">
        <f t="shared" si="416"/>
        <v>n/a</v>
      </c>
      <c r="L82" s="121">
        <f t="shared" ca="1" si="416"/>
        <v>-3.8780619508124253E-2</v>
      </c>
      <c r="M82" s="121">
        <f t="shared" ca="1" si="416"/>
        <v>-4.1719399746881186E-2</v>
      </c>
      <c r="N82" s="121">
        <f t="shared" ca="1" si="416"/>
        <v>-4.8843942763627149E-2</v>
      </c>
      <c r="O82" s="121">
        <f t="shared" ca="1" si="416"/>
        <v>-0.14990497614707352</v>
      </c>
      <c r="P82" s="121">
        <f t="shared" si="416"/>
        <v>-5.8984417173498546E-2</v>
      </c>
      <c r="Q82" s="121">
        <f t="shared" si="416"/>
        <v>-5.7500351469141023E-2</v>
      </c>
      <c r="R82" s="121">
        <f t="shared" si="416"/>
        <v>-1.1833768169959109E-2</v>
      </c>
      <c r="S82" s="121">
        <f t="shared" si="416"/>
        <v>-2.7579582875960559E-2</v>
      </c>
      <c r="T82" s="121">
        <f t="shared" si="416"/>
        <v>4.9152457622881153E-2</v>
      </c>
      <c r="U82" s="121">
        <f t="shared" si="416"/>
        <v>2.1597600266637082E-2</v>
      </c>
      <c r="V82" s="121">
        <f t="shared" si="416"/>
        <v>1.3420774790871372E-2</v>
      </c>
      <c r="W82" s="121">
        <f t="shared" si="416"/>
        <v>-4.7575633535518844E-2</v>
      </c>
      <c r="X82" s="121">
        <f t="shared" si="416"/>
        <v>-1.9867665593054185E-2</v>
      </c>
      <c r="Y82" s="121">
        <f t="shared" si="416"/>
        <v>-3.2023638396422215E-2</v>
      </c>
      <c r="Z82" s="121">
        <f t="shared" si="416"/>
        <v>-2.9136838265468857E-2</v>
      </c>
      <c r="AA82" s="121">
        <f t="shared" si="416"/>
        <v>-0.19483899105909724</v>
      </c>
      <c r="AB82" s="121">
        <f t="shared" si="416"/>
        <v>-0.11708762522929284</v>
      </c>
      <c r="AC82" s="121">
        <f t="shared" si="416"/>
        <v>-4.9803863815886529E-3</v>
      </c>
      <c r="AD82" s="121">
        <f t="shared" si="416"/>
        <v>5.6149800553875993E-2</v>
      </c>
      <c r="AE82" s="121">
        <f t="shared" si="416"/>
        <v>6.0400028779049028E-2</v>
      </c>
      <c r="AF82" s="121">
        <f t="shared" si="416"/>
        <v>7.1237123013098425E-2</v>
      </c>
      <c r="AG82" s="121">
        <f t="shared" ref="AG82" si="417">+IFERROR(AG81/AG12,"n/a")</f>
        <v>6.835548811997666E-2</v>
      </c>
      <c r="AH82" s="121">
        <f t="shared" si="416"/>
        <v>6.6837468759147145E-2</v>
      </c>
      <c r="AI82" s="121">
        <f t="shared" si="416"/>
        <v>6.5186057083482032E-2</v>
      </c>
      <c r="AJ82" s="121">
        <f t="shared" ref="AJ82:AM82" si="418">+IFERROR(AJ81/AJ12,"n/a")</f>
        <v>0.10020700662357358</v>
      </c>
      <c r="AK82" s="121">
        <f t="shared" si="418"/>
        <v>0.11399055631868138</v>
      </c>
      <c r="AL82" s="121">
        <f t="shared" si="418"/>
        <v>0.1243895409343201</v>
      </c>
      <c r="AM82" s="121">
        <f t="shared" si="418"/>
        <v>0.12198663570402693</v>
      </c>
      <c r="AN82" s="101"/>
      <c r="AO82" s="101"/>
      <c r="AP82" s="101"/>
      <c r="AQ82" s="121">
        <f>+IFERROR(AQ81/AQ12,"n/a")</f>
        <v>-6.3660270263233232E-2</v>
      </c>
      <c r="AR82" s="121">
        <f>+IFERROR(AR81/AR12,"n/a")</f>
        <v>-8.3799058579052635E-2</v>
      </c>
      <c r="AS82" s="99">
        <f t="shared" ref="AS82:AX82" ca="1" si="419">+AS81/AS12</f>
        <v>-7.319588748113641E-2</v>
      </c>
      <c r="AT82" s="99">
        <f t="shared" si="419"/>
        <v>-3.7325325325325322E-2</v>
      </c>
      <c r="AU82" s="99">
        <f t="shared" si="419"/>
        <v>5.5425237099804136E-3</v>
      </c>
      <c r="AV82" s="99">
        <f t="shared" si="419"/>
        <v>-7.25829283253904E-2</v>
      </c>
      <c r="AW82" s="99">
        <f t="shared" si="419"/>
        <v>2.5578938815309918E-3</v>
      </c>
      <c r="AX82" s="99">
        <f t="shared" si="419"/>
        <v>6.776565825430321E-2</v>
      </c>
      <c r="AY82" s="99">
        <f t="shared" ref="AY82" si="420">+AY81/AY12</f>
        <v>0.1155775664152181</v>
      </c>
      <c r="AZ82" s="99"/>
    </row>
    <row r="83" spans="1:53" ht="10.15" x14ac:dyDescent="0.2">
      <c r="B83" s="20"/>
      <c r="AD83" s="145"/>
      <c r="AE83" s="263"/>
      <c r="AF83" s="263"/>
      <c r="AG83" s="145"/>
      <c r="AH83" s="145"/>
      <c r="AI83" s="145"/>
      <c r="AJ83" s="145"/>
      <c r="AK83" s="145"/>
      <c r="AL83" s="145"/>
      <c r="AM83" s="145"/>
      <c r="AS83" s="10"/>
      <c r="AT83" s="10"/>
      <c r="AU83" s="10"/>
      <c r="AV83" s="10"/>
      <c r="AW83" s="10"/>
    </row>
    <row r="84" spans="1:53" ht="12" x14ac:dyDescent="0.35">
      <c r="B84" t="s">
        <v>30</v>
      </c>
      <c r="D84" s="127" t="str">
        <f>+D288</f>
        <v>n/a</v>
      </c>
      <c r="E84" s="127" t="str">
        <f t="shared" ref="E84:K84" si="421">+E288</f>
        <v>n/a</v>
      </c>
      <c r="F84" s="127" t="str">
        <f t="shared" si="421"/>
        <v>n/a</v>
      </c>
      <c r="G84" s="127" t="str">
        <f t="shared" si="421"/>
        <v>n/a</v>
      </c>
      <c r="H84" s="127" t="str">
        <f t="shared" si="421"/>
        <v>n/a</v>
      </c>
      <c r="I84" s="127" t="str">
        <f t="shared" si="421"/>
        <v>n/a</v>
      </c>
      <c r="J84" s="127" t="str">
        <f t="shared" si="421"/>
        <v>n/a</v>
      </c>
      <c r="K84" s="127" t="str">
        <f t="shared" si="421"/>
        <v>n/a</v>
      </c>
      <c r="L84" s="29">
        <f>+L288</f>
        <v>-0.78800000000000003</v>
      </c>
      <c r="M84" s="29">
        <f>+M288</f>
        <v>-9.7000000000000003E-2</v>
      </c>
      <c r="N84" s="29">
        <f t="shared" ref="N84:S84" si="422">+N288</f>
        <v>-0.27500000000000002</v>
      </c>
      <c r="O84" s="29">
        <f t="shared" si="422"/>
        <v>-0.32</v>
      </c>
      <c r="P84" s="29">
        <f t="shared" si="422"/>
        <v>5.6000000000000001E-2</v>
      </c>
      <c r="Q84" s="29">
        <f t="shared" si="422"/>
        <v>-0.13800000000000001</v>
      </c>
      <c r="R84" s="29">
        <f t="shared" si="422"/>
        <v>-0.105</v>
      </c>
      <c r="S84" s="29">
        <f t="shared" si="422"/>
        <v>-0.10299999999999999</v>
      </c>
      <c r="T84" s="29">
        <f t="shared" ref="T84:U84" si="423">+T288</f>
        <v>5.0999999999999997E-2</v>
      </c>
      <c r="U84" s="29">
        <f t="shared" si="423"/>
        <v>-0.123</v>
      </c>
      <c r="V84" s="29">
        <f t="shared" ref="V84" si="424">+V288</f>
        <v>-0.184</v>
      </c>
      <c r="W84" s="29">
        <f t="shared" ref="W84:X84" si="425">+W288</f>
        <v>-0.26600000000000001</v>
      </c>
      <c r="X84" s="29">
        <f t="shared" si="425"/>
        <v>0.159</v>
      </c>
      <c r="Y84" s="29">
        <f t="shared" ref="Y84:AA84" si="426">+Y288</f>
        <v>0.71099999999999997</v>
      </c>
      <c r="Z84" s="29">
        <f t="shared" si="426"/>
        <v>1.4830000000000001</v>
      </c>
      <c r="AA84" s="29">
        <f t="shared" si="426"/>
        <v>1.103</v>
      </c>
      <c r="AB84" s="29">
        <f t="shared" ref="AB84:AC84" si="427">+AB288</f>
        <v>1.7050000000000001</v>
      </c>
      <c r="AC84" s="29">
        <f t="shared" si="427"/>
        <v>2.919</v>
      </c>
      <c r="AD84" s="29">
        <f t="shared" ref="AD84:AE84" si="428">+AD288</f>
        <v>2.1040000000000001</v>
      </c>
      <c r="AE84" s="29">
        <f t="shared" si="428"/>
        <v>5.585</v>
      </c>
      <c r="AF84" s="29">
        <f t="shared" ref="AF84:AG84" si="429">+AF288</f>
        <v>3.6389999999999998</v>
      </c>
      <c r="AG84" s="29">
        <f t="shared" si="429"/>
        <v>2.6160000000000001</v>
      </c>
      <c r="AH84" s="28">
        <f t="shared" ref="AH84:AI84" si="430">0.035*AG112/4</f>
        <v>2.0259050000000003</v>
      </c>
      <c r="AI84" s="28">
        <f t="shared" si="430"/>
        <v>1.9847148469426372</v>
      </c>
      <c r="AJ84" s="28">
        <f t="shared" ref="AJ84" si="431">0.035*AI112/4</f>
        <v>2.0216136258563751</v>
      </c>
      <c r="AK84" s="28">
        <f t="shared" ref="AK84" si="432">0.035*AJ112/4</f>
        <v>2.0840286840177096</v>
      </c>
      <c r="AL84" s="28">
        <f t="shared" ref="AL84" si="433">0.035*AK112/4</f>
        <v>2.1595822947069414</v>
      </c>
      <c r="AM84" s="28">
        <f t="shared" ref="AM84" si="434">0.035*AL112/4</f>
        <v>2.2465788494012946</v>
      </c>
      <c r="AQ84" s="127">
        <f>+AQ288</f>
        <v>-0.83</v>
      </c>
      <c r="AR84" s="127">
        <f>+AR288</f>
        <v>-3.3260000000000001</v>
      </c>
      <c r="AS84" s="127">
        <f>+AS288</f>
        <v>-1.4800000000000002</v>
      </c>
      <c r="AT84" s="127">
        <f>+AT288</f>
        <v>-0.28999999999999998</v>
      </c>
      <c r="AU84" s="127">
        <f>+AU288</f>
        <v>-0.52200000000000002</v>
      </c>
      <c r="AV84" s="127">
        <f t="shared" ref="AV84:AW84" si="435">+AV288</f>
        <v>3.4560000000000004</v>
      </c>
      <c r="AW84" s="127">
        <f t="shared" si="435"/>
        <v>12.313000000000001</v>
      </c>
      <c r="AX84" s="18">
        <f>+SUM(AF84:AI84)</f>
        <v>10.265619846942638</v>
      </c>
      <c r="AY84" s="18">
        <f>+SUM(AJ84:AM84)</f>
        <v>8.5118034539823206</v>
      </c>
      <c r="AZ84" s="18"/>
    </row>
    <row r="85" spans="1:53" ht="10.15" x14ac:dyDescent="0.2">
      <c r="B85" s="12" t="s">
        <v>32</v>
      </c>
      <c r="D85" s="113" t="str">
        <f>+IFERROR(D75+D84,"n/a")</f>
        <v>n/a</v>
      </c>
      <c r="E85" s="113" t="str">
        <f t="shared" ref="E85:K85" si="436">+IFERROR(E75+E84,"n/a")</f>
        <v>n/a</v>
      </c>
      <c r="F85" s="113" t="str">
        <f t="shared" si="436"/>
        <v>n/a</v>
      </c>
      <c r="G85" s="113" t="str">
        <f t="shared" si="436"/>
        <v>n/a</v>
      </c>
      <c r="H85" s="113" t="str">
        <f t="shared" si="436"/>
        <v>n/a</v>
      </c>
      <c r="I85" s="113" t="str">
        <f t="shared" si="436"/>
        <v>n/a</v>
      </c>
      <c r="J85" s="113" t="str">
        <f t="shared" si="436"/>
        <v>n/a</v>
      </c>
      <c r="K85" s="113" t="str">
        <f t="shared" si="436"/>
        <v>n/a</v>
      </c>
      <c r="L85" s="10">
        <f>+IFERROR(L75+L84,"n/a")</f>
        <v>-1.9479999999999993</v>
      </c>
      <c r="M85" s="10">
        <f t="shared" ref="M85:S85" si="437">+IFERROR(M75+M84,"n/a")</f>
        <v>-1.3899999999999995</v>
      </c>
      <c r="N85" s="10">
        <f t="shared" si="437"/>
        <v>-1.8089999999999988</v>
      </c>
      <c r="O85" s="10">
        <f t="shared" si="437"/>
        <v>-4.5549999999999971</v>
      </c>
      <c r="P85" s="10">
        <f t="shared" si="437"/>
        <v>-1.8150000000000039</v>
      </c>
      <c r="Q85" s="10">
        <f t="shared" si="437"/>
        <v>-2.0160000000000005</v>
      </c>
      <c r="R85" s="10">
        <f t="shared" si="437"/>
        <v>-0.86000000000000343</v>
      </c>
      <c r="S85" s="10">
        <f t="shared" si="437"/>
        <v>-1.6750000000000027</v>
      </c>
      <c r="T85" s="10">
        <f t="shared" ref="T85:U85" si="438">+IFERROR(T75+T84,"n/a")</f>
        <v>1.6180000000000001</v>
      </c>
      <c r="U85" s="10">
        <f t="shared" si="438"/>
        <v>-8.2999999999998186E-2</v>
      </c>
      <c r="V85" s="10">
        <f t="shared" ref="V85" si="439">+IFERROR(V75+V84,"n/a")</f>
        <v>-0.45900000000000324</v>
      </c>
      <c r="W85" s="10">
        <f t="shared" ref="W85:X85" si="440">+IFERROR(W75+W84,"n/a")</f>
        <v>-3.8639999999999959</v>
      </c>
      <c r="X85" s="10">
        <f t="shared" si="440"/>
        <v>-2.1419999999999999</v>
      </c>
      <c r="Y85" s="10">
        <f t="shared" ref="Y85:AA85" si="441">+IFERROR(Y75+Y84,"n/a")</f>
        <v>-3.5319999999999951</v>
      </c>
      <c r="Z85" s="10">
        <f t="shared" si="441"/>
        <v>-2.3109999999999928</v>
      </c>
      <c r="AA85" s="10">
        <f t="shared" si="441"/>
        <v>-11.788000000000004</v>
      </c>
      <c r="AB85" s="10">
        <f t="shared" ref="AB85" si="442">+IFERROR(AB75+AB84,"n/a")</f>
        <v>-7.5579999999999838</v>
      </c>
      <c r="AC85" s="10">
        <f t="shared" ref="AC85:AD85" si="443">+IFERROR(AC75+AC84,"n/a")</f>
        <v>1.4469999999999992</v>
      </c>
      <c r="AD85" s="10">
        <f t="shared" si="443"/>
        <v>5.4090000000000096</v>
      </c>
      <c r="AE85" s="10">
        <f t="shared" ref="AE85:AF85" si="444">+IFERROR(AE75+AE84,"n/a")</f>
        <v>9.3190000000000168</v>
      </c>
      <c r="AF85" s="10">
        <f t="shared" si="444"/>
        <v>8.261000000000001</v>
      </c>
      <c r="AG85" s="10">
        <f t="shared" ref="AG85" si="445">+IFERROR(AG75+AG84,"n/a")</f>
        <v>7.6369999999999969</v>
      </c>
      <c r="AH85" s="10">
        <f t="shared" ref="AH85:AI85" si="446">+IFERROR(AH75+AH84,"n/a")</f>
        <v>6.2821022602739784</v>
      </c>
      <c r="AI85" s="10">
        <f t="shared" si="446"/>
        <v>6.3348299154357761</v>
      </c>
      <c r="AJ85" s="10">
        <f t="shared" ref="AJ85:AM85" si="447">+IFERROR(AJ75+AJ84,"n/a")</f>
        <v>10.092386228596105</v>
      </c>
      <c r="AK85" s="10">
        <f t="shared" si="447"/>
        <v>12.202222656620457</v>
      </c>
      <c r="AL85" s="10">
        <f t="shared" si="447"/>
        <v>14.056046952241191</v>
      </c>
      <c r="AM85" s="10">
        <f t="shared" si="447"/>
        <v>14.330977753510876</v>
      </c>
      <c r="AQ85" s="113">
        <f>+IFERROR(AQ75+AQ84,"n/a")</f>
        <v>-4.2179999999999982</v>
      </c>
      <c r="AR85" s="113">
        <f>+IFERROR(AR75+AR84,"n/a")</f>
        <v>-9.9150000000000027</v>
      </c>
      <c r="AS85" s="113">
        <f t="shared" ref="AS85:AU85" si="448">+IFERROR(AS75+AS84,"n/a")</f>
        <v>-9.7019999999999946</v>
      </c>
      <c r="AT85" s="113">
        <f t="shared" si="448"/>
        <v>-6.3659999999999997</v>
      </c>
      <c r="AU85" s="113">
        <f t="shared" si="448"/>
        <v>-2.7879999999999727</v>
      </c>
      <c r="AV85" s="113">
        <f t="shared" ref="AV85:AW85" si="449">+IFERROR(AV75+AV84,"n/a")</f>
        <v>-19.772999999999985</v>
      </c>
      <c r="AW85" s="113">
        <f t="shared" si="449"/>
        <v>8.6170000000000488</v>
      </c>
      <c r="AX85" s="10">
        <f t="shared" ref="AX85:AX87" si="450">+SUM(AF85:AI85)</f>
        <v>28.514932175709752</v>
      </c>
      <c r="AY85" s="10">
        <f>+SUM(AJ85:AM85)</f>
        <v>50.68163359096863</v>
      </c>
      <c r="AZ85" s="10"/>
    </row>
    <row r="86" spans="1:53" ht="12" x14ac:dyDescent="0.35">
      <c r="B86" t="s">
        <v>29</v>
      </c>
      <c r="D86" s="114" t="str">
        <f>IFERROR(MIN(-0.21*D85,0),"n/a")</f>
        <v>n/a</v>
      </c>
      <c r="E86" s="114" t="str">
        <f t="shared" ref="E86:K86" si="451">IFERROR(MIN(-0.21*E85,0),"n/a")</f>
        <v>n/a</v>
      </c>
      <c r="F86" s="114" t="str">
        <f t="shared" si="451"/>
        <v>n/a</v>
      </c>
      <c r="G86" s="114" t="str">
        <f t="shared" si="451"/>
        <v>n/a</v>
      </c>
      <c r="H86" s="114" t="str">
        <f t="shared" si="451"/>
        <v>n/a</v>
      </c>
      <c r="I86" s="114" t="str">
        <f t="shared" si="451"/>
        <v>n/a</v>
      </c>
      <c r="J86" s="114" t="str">
        <f t="shared" si="451"/>
        <v>n/a</v>
      </c>
      <c r="K86" s="114" t="str">
        <f t="shared" si="451"/>
        <v>n/a</v>
      </c>
      <c r="L86" s="18">
        <f>IFERROR(MIN(-0.21*L85,0),"n/a")</f>
        <v>0</v>
      </c>
      <c r="M86" s="18">
        <f t="shared" ref="M86:S86" si="452">IFERROR(MIN(-0.21*M85,0),"n/a")</f>
        <v>0</v>
      </c>
      <c r="N86" s="18">
        <f t="shared" si="452"/>
        <v>0</v>
      </c>
      <c r="O86" s="18">
        <f t="shared" si="452"/>
        <v>0</v>
      </c>
      <c r="P86" s="18">
        <f t="shared" si="452"/>
        <v>0</v>
      </c>
      <c r="Q86" s="18">
        <f t="shared" si="452"/>
        <v>0</v>
      </c>
      <c r="R86" s="18">
        <f t="shared" si="452"/>
        <v>0</v>
      </c>
      <c r="S86" s="18">
        <f t="shared" si="452"/>
        <v>0</v>
      </c>
      <c r="T86" s="18">
        <f t="shared" ref="T86:U86" si="453">IFERROR(MIN(-0.21*T85,0),"n/a")</f>
        <v>-0.33978000000000003</v>
      </c>
      <c r="U86" s="18">
        <f t="shared" si="453"/>
        <v>0</v>
      </c>
      <c r="V86" s="18">
        <f t="shared" ref="V86" si="454">IFERROR(MIN(-0.21*V85,0),"n/a")</f>
        <v>0</v>
      </c>
      <c r="W86" s="18">
        <f t="shared" ref="W86:X86" si="455">IFERROR(MIN(-0.21*W85,0),"n/a")</f>
        <v>0</v>
      </c>
      <c r="X86" s="18">
        <f t="shared" si="455"/>
        <v>0</v>
      </c>
      <c r="Y86" s="18">
        <f t="shared" ref="Y86:Z86" si="456">IFERROR(MIN(-0.21*Y85,0),"n/a")</f>
        <v>0</v>
      </c>
      <c r="Z86" s="18">
        <f t="shared" si="456"/>
        <v>0</v>
      </c>
      <c r="AA86" s="18">
        <f t="shared" ref="AA86" si="457">IFERROR(MIN(-0.21*AA85,0),"n/a")</f>
        <v>0</v>
      </c>
      <c r="AB86" s="18">
        <f t="shared" ref="AB86:AC86" si="458">IFERROR(MIN(-0.21*AB85,0),"n/a")</f>
        <v>0</v>
      </c>
      <c r="AC86" s="18">
        <f t="shared" si="458"/>
        <v>-0.30386999999999981</v>
      </c>
      <c r="AD86" s="18">
        <f t="shared" ref="AD86:AE86" si="459">IFERROR(MIN(-0.21*AD85,0),"n/a")</f>
        <v>-1.1358900000000021</v>
      </c>
      <c r="AE86" s="18">
        <f t="shared" si="459"/>
        <v>-1.9569900000000036</v>
      </c>
      <c r="AF86" s="18">
        <f t="shared" ref="AF86:AG86" si="460">IFERROR(MIN(-0.21*AF85,0),"n/a")</f>
        <v>-1.7348100000000002</v>
      </c>
      <c r="AG86" s="18">
        <f t="shared" si="460"/>
        <v>-1.6037699999999993</v>
      </c>
      <c r="AH86" s="18">
        <f t="shared" ref="AH86:AI86" si="461">IFERROR(MIN(-0.21*AH85,0),"n/a")</f>
        <v>-1.3192414746575354</v>
      </c>
      <c r="AI86" s="18">
        <f t="shared" si="461"/>
        <v>-1.3303142822415128</v>
      </c>
      <c r="AJ86" s="18">
        <f t="shared" ref="AJ86:AM86" si="462">IFERROR(MIN(-0.21*AJ85,0),"n/a")</f>
        <v>-2.119401108005182</v>
      </c>
      <c r="AK86" s="18">
        <f t="shared" si="462"/>
        <v>-2.562466757890296</v>
      </c>
      <c r="AL86" s="18">
        <f t="shared" si="462"/>
        <v>-2.9517698599706499</v>
      </c>
      <c r="AM86" s="18">
        <f t="shared" si="462"/>
        <v>-3.0095053282372839</v>
      </c>
      <c r="AQ86" s="114">
        <f>IFERROR(MIN(-0.21*AQ85,0),"n/a")</f>
        <v>0</v>
      </c>
      <c r="AR86" s="114">
        <f>IFERROR(MIN(-0.21*AR85,0),"n/a")</f>
        <v>0</v>
      </c>
      <c r="AS86" s="114">
        <f t="shared" ref="AS86:AU86" si="463">IFERROR(MIN(-0.21*AS85,0),"n/a")</f>
        <v>0</v>
      </c>
      <c r="AT86" s="114">
        <f t="shared" si="463"/>
        <v>0</v>
      </c>
      <c r="AU86" s="114">
        <f t="shared" si="463"/>
        <v>0</v>
      </c>
      <c r="AV86" s="114">
        <f t="shared" ref="AV86:AW86" si="464">IFERROR(MIN(-0.21*AV85,0),"n/a")</f>
        <v>0</v>
      </c>
      <c r="AW86" s="114">
        <f t="shared" si="464"/>
        <v>-1.8095700000000101</v>
      </c>
      <c r="AX86" s="18">
        <f t="shared" si="450"/>
        <v>-5.9881357568990481</v>
      </c>
      <c r="AY86" s="18">
        <f>+SUM(AJ86:AM86)</f>
        <v>-10.643143054103412</v>
      </c>
      <c r="AZ86" s="18"/>
    </row>
    <row r="87" spans="1:53" s="3" customFormat="1" ht="10.15" x14ac:dyDescent="0.2">
      <c r="A87" s="2"/>
      <c r="B87" s="24" t="s">
        <v>33</v>
      </c>
      <c r="D87" s="125" t="str">
        <f>+IFERROR(D85+D86,"n/a")</f>
        <v>n/a</v>
      </c>
      <c r="E87" s="125" t="str">
        <f t="shared" ref="E87:K87" si="465">+IFERROR(E85+E86,"n/a")</f>
        <v>n/a</v>
      </c>
      <c r="F87" s="125" t="str">
        <f t="shared" si="465"/>
        <v>n/a</v>
      </c>
      <c r="G87" s="125" t="str">
        <f t="shared" si="465"/>
        <v>n/a</v>
      </c>
      <c r="H87" s="125" t="str">
        <f t="shared" si="465"/>
        <v>n/a</v>
      </c>
      <c r="I87" s="125" t="str">
        <f t="shared" si="465"/>
        <v>n/a</v>
      </c>
      <c r="J87" s="125" t="str">
        <f t="shared" si="465"/>
        <v>n/a</v>
      </c>
      <c r="K87" s="125" t="str">
        <f t="shared" si="465"/>
        <v>n/a</v>
      </c>
      <c r="L87" s="23">
        <f>+IFERROR(L85+L86,"n/a")</f>
        <v>-1.9479999999999993</v>
      </c>
      <c r="M87" s="23">
        <f t="shared" ref="M87:S87" si="466">+IFERROR(M85+M86,"n/a")</f>
        <v>-1.3899999999999995</v>
      </c>
      <c r="N87" s="23">
        <f t="shared" si="466"/>
        <v>-1.8089999999999988</v>
      </c>
      <c r="O87" s="23">
        <f t="shared" si="466"/>
        <v>-4.5549999999999971</v>
      </c>
      <c r="P87" s="23">
        <f t="shared" si="466"/>
        <v>-1.8150000000000039</v>
      </c>
      <c r="Q87" s="23">
        <f t="shared" si="466"/>
        <v>-2.0160000000000005</v>
      </c>
      <c r="R87" s="23">
        <f t="shared" si="466"/>
        <v>-0.86000000000000343</v>
      </c>
      <c r="S87" s="23">
        <f t="shared" si="466"/>
        <v>-1.6750000000000027</v>
      </c>
      <c r="T87" s="23">
        <f t="shared" ref="T87:U87" si="467">+IFERROR(T85+T86,"n/a")</f>
        <v>1.2782200000000001</v>
      </c>
      <c r="U87" s="23">
        <f t="shared" si="467"/>
        <v>-8.2999999999998186E-2</v>
      </c>
      <c r="V87" s="23">
        <f t="shared" ref="V87" si="468">+IFERROR(V85+V86,"n/a")</f>
        <v>-0.45900000000000324</v>
      </c>
      <c r="W87" s="23">
        <f t="shared" ref="W87:X87" si="469">+IFERROR(W85+W86,"n/a")</f>
        <v>-3.8639999999999959</v>
      </c>
      <c r="X87" s="23">
        <f t="shared" si="469"/>
        <v>-2.1419999999999999</v>
      </c>
      <c r="Y87" s="23">
        <f t="shared" ref="Y87:Z87" si="470">+IFERROR(Y85+Y86,"n/a")</f>
        <v>-3.5319999999999951</v>
      </c>
      <c r="Z87" s="23">
        <f t="shared" si="470"/>
        <v>-2.3109999999999928</v>
      </c>
      <c r="AA87" s="23">
        <f t="shared" ref="AA87" si="471">+IFERROR(AA85+AA86,"n/a")</f>
        <v>-11.788000000000004</v>
      </c>
      <c r="AB87" s="23">
        <f t="shared" ref="AB87:AC87" si="472">+IFERROR(AB85+AB86,"n/a")</f>
        <v>-7.5579999999999838</v>
      </c>
      <c r="AC87" s="23">
        <f t="shared" si="472"/>
        <v>1.1431299999999993</v>
      </c>
      <c r="AD87" s="23">
        <f t="shared" ref="AD87:AE87" si="473">+IFERROR(AD85+AD86,"n/a")</f>
        <v>4.273110000000008</v>
      </c>
      <c r="AE87" s="23">
        <f t="shared" si="473"/>
        <v>7.362010000000013</v>
      </c>
      <c r="AF87" s="23">
        <f t="shared" ref="AF87:AG87" si="474">+IFERROR(AF85+AF86,"n/a")</f>
        <v>6.5261900000000006</v>
      </c>
      <c r="AG87" s="23">
        <f t="shared" si="474"/>
        <v>6.0332299999999979</v>
      </c>
      <c r="AH87" s="23">
        <f t="shared" ref="AH87:AI87" si="475">+IFERROR(AH85+AH86,"n/a")</f>
        <v>4.9628607856164431</v>
      </c>
      <c r="AI87" s="23">
        <f t="shared" si="475"/>
        <v>5.0045156331942628</v>
      </c>
      <c r="AJ87" s="23">
        <f t="shared" ref="AJ87:AM87" si="476">+IFERROR(AJ85+AJ86,"n/a")</f>
        <v>7.9729851205909235</v>
      </c>
      <c r="AK87" s="23">
        <f t="shared" si="476"/>
        <v>9.6397558987301615</v>
      </c>
      <c r="AL87" s="23">
        <f t="shared" si="476"/>
        <v>11.104277092270541</v>
      </c>
      <c r="AM87" s="23">
        <f t="shared" si="476"/>
        <v>11.321472425273592</v>
      </c>
      <c r="AQ87" s="125">
        <f>+IFERROR(AQ85+AQ86,"n/a")</f>
        <v>-4.2179999999999982</v>
      </c>
      <c r="AR87" s="125">
        <f>+IFERROR(AR85+AR86,"n/a")</f>
        <v>-9.9150000000000027</v>
      </c>
      <c r="AS87" s="125">
        <f t="shared" ref="AS87:AU87" si="477">+IFERROR(AS85+AS86,"n/a")</f>
        <v>-9.7019999999999946</v>
      </c>
      <c r="AT87" s="125">
        <f t="shared" si="477"/>
        <v>-6.3659999999999997</v>
      </c>
      <c r="AU87" s="125">
        <f t="shared" si="477"/>
        <v>-2.7879999999999727</v>
      </c>
      <c r="AV87" s="125">
        <f t="shared" ref="AV87:AW87" si="478">+IFERROR(AV85+AV86,"n/a")</f>
        <v>-19.772999999999985</v>
      </c>
      <c r="AW87" s="125">
        <f t="shared" si="478"/>
        <v>6.8074300000000392</v>
      </c>
      <c r="AX87" s="23">
        <f t="shared" si="450"/>
        <v>22.526796418810704</v>
      </c>
      <c r="AY87" s="23">
        <f>+SUM(AJ87:AM87)</f>
        <v>40.038490536865218</v>
      </c>
      <c r="AZ87" s="23"/>
    </row>
    <row r="88" spans="1:53" s="3" customFormat="1" ht="12" x14ac:dyDescent="0.35">
      <c r="A88" s="2"/>
      <c r="B88" s="122" t="s">
        <v>335</v>
      </c>
      <c r="D88" s="114" t="str">
        <f>+D296</f>
        <v>n/a</v>
      </c>
      <c r="E88" s="114" t="str">
        <f t="shared" ref="E88:AD88" si="479">+E296</f>
        <v>n/a</v>
      </c>
      <c r="F88" s="114" t="str">
        <f t="shared" si="479"/>
        <v>n/a</v>
      </c>
      <c r="G88" s="114" t="str">
        <f t="shared" si="479"/>
        <v>n/a</v>
      </c>
      <c r="H88" s="114" t="str">
        <f t="shared" si="479"/>
        <v>n/a</v>
      </c>
      <c r="I88" s="114" t="str">
        <f t="shared" si="479"/>
        <v>n/a</v>
      </c>
      <c r="J88" s="114" t="str">
        <f t="shared" si="479"/>
        <v>n/a</v>
      </c>
      <c r="K88" s="114" t="str">
        <f t="shared" si="479"/>
        <v>n/a</v>
      </c>
      <c r="L88" s="114" t="str">
        <f t="shared" si="479"/>
        <v>n/a</v>
      </c>
      <c r="M88" s="114" t="str">
        <f t="shared" si="479"/>
        <v>n/a</v>
      </c>
      <c r="N88" s="114" t="str">
        <f t="shared" si="479"/>
        <v>n/a</v>
      </c>
      <c r="O88" s="114" t="str">
        <f t="shared" si="479"/>
        <v>n/a</v>
      </c>
      <c r="P88" s="114">
        <f t="shared" si="479"/>
        <v>94.592699999999994</v>
      </c>
      <c r="Q88" s="114">
        <f t="shared" si="479"/>
        <v>94.738</v>
      </c>
      <c r="R88" s="114">
        <f t="shared" si="479"/>
        <v>94.834000000000003</v>
      </c>
      <c r="S88" s="114">
        <f t="shared" si="479"/>
        <v>95.046000000000006</v>
      </c>
      <c r="T88" s="114">
        <f t="shared" si="479"/>
        <v>131.35609299999999</v>
      </c>
      <c r="U88" s="114">
        <f t="shared" si="479"/>
        <v>135.31200000000001</v>
      </c>
      <c r="V88" s="114">
        <f t="shared" si="479"/>
        <v>135.673</v>
      </c>
      <c r="W88" s="114">
        <f t="shared" si="479"/>
        <v>138.363</v>
      </c>
      <c r="X88" s="114">
        <f t="shared" si="479"/>
        <v>140.79</v>
      </c>
      <c r="Y88" s="114">
        <f t="shared" si="479"/>
        <v>141.042</v>
      </c>
      <c r="Z88" s="114">
        <f t="shared" si="479"/>
        <v>141.256</v>
      </c>
      <c r="AA88" s="114">
        <f t="shared" si="479"/>
        <v>141.53100000000001</v>
      </c>
      <c r="AB88" s="114">
        <f t="shared" si="479"/>
        <v>141.65</v>
      </c>
      <c r="AC88" s="114">
        <f t="shared" si="479"/>
        <v>142.239</v>
      </c>
      <c r="AD88" s="114">
        <f t="shared" si="479"/>
        <v>146.27099999999999</v>
      </c>
      <c r="AE88" s="114">
        <f t="shared" ref="AE88:AF88" si="480">+AE296</f>
        <v>146.88900000000001</v>
      </c>
      <c r="AF88" s="114">
        <f t="shared" si="480"/>
        <v>147.69800000000001</v>
      </c>
      <c r="AG88" s="114">
        <f t="shared" ref="AG88" si="481">+AG296</f>
        <v>148.82499999999999</v>
      </c>
      <c r="AH88" s="257">
        <f t="shared" ref="AH88:AI88" si="482">+AG88</f>
        <v>148.82499999999999</v>
      </c>
      <c r="AI88" s="257">
        <f t="shared" si="482"/>
        <v>148.82499999999999</v>
      </c>
      <c r="AJ88" s="257">
        <f t="shared" ref="AJ88" si="483">+AI88</f>
        <v>148.82499999999999</v>
      </c>
      <c r="AK88" s="257">
        <f t="shared" ref="AK88" si="484">+AJ88</f>
        <v>148.82499999999999</v>
      </c>
      <c r="AL88" s="257">
        <f t="shared" ref="AL88" si="485">+AK88</f>
        <v>148.82499999999999</v>
      </c>
      <c r="AM88" s="257">
        <f t="shared" ref="AM88" si="486">+AL88</f>
        <v>148.82499999999999</v>
      </c>
      <c r="AQ88" s="114" t="str">
        <f>+AQ296</f>
        <v>n/a</v>
      </c>
      <c r="AR88" s="114" t="str">
        <f>+AR296</f>
        <v>n/a</v>
      </c>
      <c r="AS88" s="114">
        <f>+AS296</f>
        <v>94.53</v>
      </c>
      <c r="AT88" s="114">
        <f>+AT296</f>
        <v>94.802999999999997</v>
      </c>
      <c r="AU88" s="114">
        <f>+AU296</f>
        <v>126.586</v>
      </c>
      <c r="AV88" s="114">
        <f t="shared" ref="AV88:AW88" si="487">+AV296</f>
        <v>141.16</v>
      </c>
      <c r="AW88" s="114">
        <f t="shared" si="487"/>
        <v>141.16</v>
      </c>
      <c r="AX88" s="114">
        <f>+AVERAGE(AF88:AI88)</f>
        <v>148.54325</v>
      </c>
      <c r="AY88" s="114">
        <f>+AVERAGE(AJ88:AM88)</f>
        <v>148.82499999999999</v>
      </c>
      <c r="AZ88" s="114"/>
    </row>
    <row r="89" spans="1:53" s="3" customFormat="1" ht="10.15" x14ac:dyDescent="0.2">
      <c r="A89" s="2"/>
      <c r="B89" s="24" t="s">
        <v>336</v>
      </c>
      <c r="D89" s="256" t="str">
        <f>+IFERROR(D87/D88,"n/a")</f>
        <v>n/a</v>
      </c>
      <c r="E89" s="256" t="str">
        <f t="shared" ref="E89:AI89" si="488">+IFERROR(E87/E88,"n/a")</f>
        <v>n/a</v>
      </c>
      <c r="F89" s="256" t="str">
        <f t="shared" si="488"/>
        <v>n/a</v>
      </c>
      <c r="G89" s="256" t="str">
        <f t="shared" si="488"/>
        <v>n/a</v>
      </c>
      <c r="H89" s="256" t="str">
        <f t="shared" si="488"/>
        <v>n/a</v>
      </c>
      <c r="I89" s="256" t="str">
        <f t="shared" si="488"/>
        <v>n/a</v>
      </c>
      <c r="J89" s="256" t="str">
        <f t="shared" si="488"/>
        <v>n/a</v>
      </c>
      <c r="K89" s="256" t="str">
        <f t="shared" si="488"/>
        <v>n/a</v>
      </c>
      <c r="L89" s="256" t="str">
        <f t="shared" si="488"/>
        <v>n/a</v>
      </c>
      <c r="M89" s="256" t="str">
        <f t="shared" si="488"/>
        <v>n/a</v>
      </c>
      <c r="N89" s="256" t="str">
        <f t="shared" si="488"/>
        <v>n/a</v>
      </c>
      <c r="O89" s="256" t="str">
        <f t="shared" si="488"/>
        <v>n/a</v>
      </c>
      <c r="P89" s="256">
        <f t="shared" si="488"/>
        <v>-1.918752715590108E-2</v>
      </c>
      <c r="Q89" s="256">
        <f t="shared" si="488"/>
        <v>-2.1279739914289941E-2</v>
      </c>
      <c r="R89" s="256">
        <f t="shared" si="488"/>
        <v>-9.0684775502457276E-3</v>
      </c>
      <c r="S89" s="256">
        <f t="shared" si="488"/>
        <v>-1.7623045683142928E-2</v>
      </c>
      <c r="T89" s="256">
        <f t="shared" si="488"/>
        <v>9.7309532493479404E-3</v>
      </c>
      <c r="U89" s="256">
        <f t="shared" si="488"/>
        <v>-6.133971857632596E-4</v>
      </c>
      <c r="V89" s="256">
        <f t="shared" si="488"/>
        <v>-3.3831344482690233E-3</v>
      </c>
      <c r="W89" s="256">
        <f t="shared" si="488"/>
        <v>-2.7926541055050814E-2</v>
      </c>
      <c r="X89" s="256">
        <f t="shared" si="488"/>
        <v>-1.5214148732154273E-2</v>
      </c>
      <c r="Y89" s="256">
        <f t="shared" si="488"/>
        <v>-2.5042186015513074E-2</v>
      </c>
      <c r="Z89" s="256">
        <f t="shared" si="488"/>
        <v>-1.6360366993260413E-2</v>
      </c>
      <c r="AA89" s="256">
        <f t="shared" si="488"/>
        <v>-8.3289173396641047E-2</v>
      </c>
      <c r="AB89" s="256">
        <f t="shared" si="488"/>
        <v>-5.3356865513589716E-2</v>
      </c>
      <c r="AC89" s="256">
        <f t="shared" si="488"/>
        <v>8.0366847348476815E-3</v>
      </c>
      <c r="AD89" s="256">
        <f t="shared" si="488"/>
        <v>2.9213651373136224E-2</v>
      </c>
      <c r="AE89" s="256">
        <f t="shared" ref="AE89:AF89" si="489">+IFERROR(AE87/AE88,"n/a")</f>
        <v>5.0119546051780685E-2</v>
      </c>
      <c r="AF89" s="256">
        <f t="shared" si="489"/>
        <v>4.4186041787972759E-2</v>
      </c>
      <c r="AG89" s="256">
        <f t="shared" ref="AG89" si="490">+IFERROR(AG87/AG88,"n/a")</f>
        <v>4.0539089534688384E-2</v>
      </c>
      <c r="AH89" s="256">
        <f t="shared" si="488"/>
        <v>3.3346956395877328E-2</v>
      </c>
      <c r="AI89" s="256">
        <f t="shared" si="488"/>
        <v>3.3626847862887707E-2</v>
      </c>
      <c r="AJ89" s="256">
        <f t="shared" ref="AJ89:AM89" si="491">+IFERROR(AJ87/AJ88,"n/a")</f>
        <v>5.3572888429974291E-2</v>
      </c>
      <c r="AK89" s="256">
        <f t="shared" si="491"/>
        <v>6.477242330744272E-2</v>
      </c>
      <c r="AL89" s="256">
        <f t="shared" si="491"/>
        <v>7.461298230989781E-2</v>
      </c>
      <c r="AM89" s="256">
        <f t="shared" si="491"/>
        <v>7.6072383169988864E-2</v>
      </c>
      <c r="AQ89" s="256" t="str">
        <f t="shared" ref="AQ89" si="492">+IFERROR(AQ87/AQ88,"n/a")</f>
        <v>n/a</v>
      </c>
      <c r="AR89" s="256" t="str">
        <f t="shared" ref="AR89" si="493">+IFERROR(AR87/AR88,"n/a")</f>
        <v>n/a</v>
      </c>
      <c r="AS89" s="256">
        <f t="shared" ref="AS89" si="494">+IFERROR(AS87/AS88,"n/a")</f>
        <v>-0.10263408441764513</v>
      </c>
      <c r="AT89" s="256">
        <f t="shared" ref="AT89" si="495">+IFERROR(AT87/AT88,"n/a")</f>
        <v>-6.7149773741337293E-2</v>
      </c>
      <c r="AU89" s="256">
        <f t="shared" ref="AU89:AW89" si="496">+IFERROR(AU87/AU88,"n/a")</f>
        <v>-2.2024552478156927E-2</v>
      </c>
      <c r="AV89" s="256">
        <f t="shared" si="496"/>
        <v>-0.14007509209407754</v>
      </c>
      <c r="AW89" s="256">
        <f t="shared" si="496"/>
        <v>4.8224922074242275E-2</v>
      </c>
      <c r="AX89" s="256">
        <f t="shared" ref="AX89:AY89" si="497">+IFERROR(AX87/AX88,"n/a")</f>
        <v>0.15165143093887271</v>
      </c>
      <c r="AY89" s="256">
        <f t="shared" si="497"/>
        <v>0.26903067721730367</v>
      </c>
      <c r="AZ89" s="256"/>
    </row>
    <row r="90" spans="1:53" ht="10.15" x14ac:dyDescent="0.2">
      <c r="B90" s="13"/>
      <c r="Y90" s="10"/>
      <c r="AA90" s="16"/>
      <c r="AB90" s="16"/>
      <c r="AC90" s="16"/>
      <c r="AD90" s="16"/>
      <c r="AE90" s="16"/>
      <c r="AF90" s="16"/>
      <c r="AG90" s="16"/>
      <c r="AH90" s="16"/>
      <c r="AI90" s="16"/>
      <c r="AJ90" s="16"/>
      <c r="AK90" s="16"/>
      <c r="AL90" s="16"/>
      <c r="AM90" s="16"/>
    </row>
    <row r="91" spans="1:53" ht="10.15" x14ac:dyDescent="0.2">
      <c r="B91" s="25" t="s">
        <v>34</v>
      </c>
      <c r="Y91" s="215"/>
      <c r="AD91" s="145"/>
      <c r="AE91" s="16"/>
      <c r="AF91" s="16"/>
      <c r="AG91" s="16"/>
      <c r="AH91" s="16"/>
      <c r="AI91" s="16"/>
      <c r="AJ91" s="16"/>
      <c r="AK91" s="16"/>
      <c r="AL91" s="16"/>
      <c r="AM91" s="16"/>
      <c r="AS91" s="10"/>
      <c r="AT91" s="10"/>
      <c r="AU91" s="10"/>
      <c r="AV91" s="10"/>
      <c r="AW91" s="10"/>
    </row>
    <row r="92" spans="1:53" ht="10.15" x14ac:dyDescent="0.2">
      <c r="B92" t="s">
        <v>37</v>
      </c>
      <c r="D92" s="113" t="str">
        <f t="shared" ref="D92:AI92" si="498">+D81</f>
        <v>n/a</v>
      </c>
      <c r="E92" s="113" t="str">
        <f t="shared" si="498"/>
        <v>n/a</v>
      </c>
      <c r="F92" s="113" t="str">
        <f t="shared" si="498"/>
        <v>n/a</v>
      </c>
      <c r="G92" s="113" t="str">
        <f t="shared" si="498"/>
        <v>n/a</v>
      </c>
      <c r="H92" s="113" t="str">
        <f t="shared" si="498"/>
        <v>n/a</v>
      </c>
      <c r="I92" s="113" t="str">
        <f t="shared" si="498"/>
        <v>n/a</v>
      </c>
      <c r="J92" s="113" t="str">
        <f t="shared" si="498"/>
        <v>n/a</v>
      </c>
      <c r="K92" s="113" t="str">
        <f t="shared" si="498"/>
        <v>n/a</v>
      </c>
      <c r="L92" s="10">
        <f t="shared" ca="1" si="498"/>
        <v>-0.78999999999999915</v>
      </c>
      <c r="M92" s="10">
        <f t="shared" ca="1" si="498"/>
        <v>-0.92299999999999938</v>
      </c>
      <c r="N92" s="10">
        <f t="shared" ca="1" si="498"/>
        <v>-1.1639999999999986</v>
      </c>
      <c r="O92" s="10">
        <f t="shared" ca="1" si="498"/>
        <v>-3.8649999999999967</v>
      </c>
      <c r="P92" s="10">
        <f t="shared" si="498"/>
        <v>-1.639000000000004</v>
      </c>
      <c r="Q92" s="10">
        <f t="shared" si="498"/>
        <v>-1.6360000000000006</v>
      </c>
      <c r="R92" s="10">
        <f t="shared" si="498"/>
        <v>-0.38100000000000345</v>
      </c>
      <c r="S92" s="10">
        <f t="shared" si="498"/>
        <v>-1.0050000000000028</v>
      </c>
      <c r="T92" s="10">
        <f t="shared" si="498"/>
        <v>1.9660000000000002</v>
      </c>
      <c r="U92" s="10">
        <f t="shared" si="498"/>
        <v>0.97200000000000186</v>
      </c>
      <c r="V92" s="10">
        <f t="shared" si="498"/>
        <v>0.66099999999999681</v>
      </c>
      <c r="W92" s="10">
        <f t="shared" si="498"/>
        <v>-2.5569999999999959</v>
      </c>
      <c r="X92" s="10">
        <f t="shared" si="498"/>
        <v>-1.1349999999999996</v>
      </c>
      <c r="Y92" s="10">
        <f t="shared" si="498"/>
        <v>-2.004999999999995</v>
      </c>
      <c r="Z92" s="10">
        <f t="shared" si="498"/>
        <v>-1.9169999999999927</v>
      </c>
      <c r="AA92" s="10">
        <f t="shared" si="498"/>
        <v>-13.402000000000003</v>
      </c>
      <c r="AB92" s="10">
        <f t="shared" si="498"/>
        <v>-8.2979999999999841</v>
      </c>
      <c r="AC92" s="10">
        <f t="shared" si="498"/>
        <v>-0.37200000000000122</v>
      </c>
      <c r="AD92" s="10">
        <f t="shared" si="498"/>
        <v>4.4200000000000106</v>
      </c>
      <c r="AE92" s="10">
        <f t="shared" si="498"/>
        <v>5.037000000000015</v>
      </c>
      <c r="AF92" s="10">
        <f t="shared" si="498"/>
        <v>6.1130000000000013</v>
      </c>
      <c r="AG92" s="10">
        <f t="shared" ref="AG92" si="499">+AG81</f>
        <v>6.216999999999997</v>
      </c>
      <c r="AH92" s="10">
        <f t="shared" si="498"/>
        <v>6.5061972602739786</v>
      </c>
      <c r="AI92" s="10">
        <f t="shared" si="498"/>
        <v>6.6001150684931389</v>
      </c>
      <c r="AJ92" s="10">
        <f t="shared" ref="AJ92:AM92" si="500">+AJ81</f>
        <v>10.32077260273973</v>
      </c>
      <c r="AK92" s="10">
        <f t="shared" si="500"/>
        <v>12.368193972602747</v>
      </c>
      <c r="AL92" s="10">
        <f t="shared" si="500"/>
        <v>14.146464657534249</v>
      </c>
      <c r="AM92" s="10">
        <f t="shared" si="500"/>
        <v>14.33439890410958</v>
      </c>
      <c r="AQ92" s="10">
        <f t="shared" ref="AQ92:AW92" si="501">+AQ81</f>
        <v>-2.4449999999999985</v>
      </c>
      <c r="AR92" s="10">
        <f t="shared" si="501"/>
        <v>-5.3230000000000022</v>
      </c>
      <c r="AS92" s="10">
        <f t="shared" ca="1" si="501"/>
        <v>-6.7419999999999938</v>
      </c>
      <c r="AT92" s="10">
        <f t="shared" si="501"/>
        <v>-4.6609999999999996</v>
      </c>
      <c r="AU92" s="10">
        <f t="shared" si="501"/>
        <v>1.0420000000000278</v>
      </c>
      <c r="AV92" s="10">
        <f t="shared" si="501"/>
        <v>-18.458999999999985</v>
      </c>
      <c r="AW92" s="10">
        <f t="shared" si="501"/>
        <v>0.78700000000004788</v>
      </c>
      <c r="AX92" s="10">
        <f>+SUM(AF92:AI92)</f>
        <v>25.436312328767116</v>
      </c>
      <c r="AY92" s="10">
        <f>+SUM(AJ92:AM92)</f>
        <v>51.169830136986306</v>
      </c>
      <c r="AZ92" s="10"/>
    </row>
    <row r="93" spans="1:53" ht="12" x14ac:dyDescent="0.35">
      <c r="B93" t="s">
        <v>38</v>
      </c>
      <c r="D93" s="110" t="s">
        <v>91</v>
      </c>
      <c r="E93" s="110" t="s">
        <v>91</v>
      </c>
      <c r="F93" s="110" t="s">
        <v>91</v>
      </c>
      <c r="G93" s="110" t="s">
        <v>91</v>
      </c>
      <c r="H93" s="110" t="s">
        <v>91</v>
      </c>
      <c r="I93" s="110" t="s">
        <v>91</v>
      </c>
      <c r="J93" s="110" t="s">
        <v>91</v>
      </c>
      <c r="K93" s="110" t="s">
        <v>91</v>
      </c>
      <c r="L93" s="28">
        <f>+$AS93/4</f>
        <v>-0.29074999999999995</v>
      </c>
      <c r="M93" s="28">
        <f t="shared" ref="M93:O93" si="502">+$AS93/4</f>
        <v>-0.29074999999999995</v>
      </c>
      <c r="N93" s="28">
        <f t="shared" si="502"/>
        <v>-0.29074999999999995</v>
      </c>
      <c r="O93" s="28">
        <f t="shared" si="502"/>
        <v>-0.29074999999999995</v>
      </c>
      <c r="P93" s="29">
        <f t="shared" ref="P93:Y93" si="503">+P372+P376+P383</f>
        <v>-1.381</v>
      </c>
      <c r="Q93" s="29">
        <f t="shared" si="503"/>
        <v>-1.111</v>
      </c>
      <c r="R93" s="29">
        <f t="shared" si="503"/>
        <v>-0.41100000000000003</v>
      </c>
      <c r="S93" s="29">
        <f t="shared" si="503"/>
        <v>-0.496</v>
      </c>
      <c r="T93" s="29">
        <f t="shared" si="503"/>
        <v>-0.28900000000000003</v>
      </c>
      <c r="U93" s="29">
        <f t="shared" si="503"/>
        <v>-1.1850000000000001</v>
      </c>
      <c r="V93" s="29">
        <f t="shared" si="503"/>
        <v>-1.43</v>
      </c>
      <c r="W93" s="29">
        <f t="shared" si="503"/>
        <v>-2.2519999999999998</v>
      </c>
      <c r="X93" s="29">
        <f t="shared" si="503"/>
        <v>-1.593</v>
      </c>
      <c r="Y93" s="29">
        <f t="shared" si="503"/>
        <v>-3.4319999999999999</v>
      </c>
      <c r="Z93" s="29">
        <f t="shared" ref="Z93:AE93" si="504">+Z372+Z376+Z383</f>
        <v>-2.2309999999999999</v>
      </c>
      <c r="AA93" s="29">
        <f t="shared" si="504"/>
        <v>-0.76800000000000002</v>
      </c>
      <c r="AB93" s="29">
        <f t="shared" si="504"/>
        <v>-2.1059999999999999</v>
      </c>
      <c r="AC93" s="29">
        <f t="shared" si="504"/>
        <v>-2.69</v>
      </c>
      <c r="AD93" s="29">
        <f t="shared" si="504"/>
        <v>-2.12</v>
      </c>
      <c r="AE93" s="29">
        <f t="shared" si="504"/>
        <v>-3.2580000000000009</v>
      </c>
      <c r="AF93" s="29">
        <f t="shared" ref="AF93:AG93" si="505">+AF372+AF376+AF383</f>
        <v>-3.1840000000000002</v>
      </c>
      <c r="AG93" s="29">
        <f t="shared" si="505"/>
        <v>-4.5839999999999996</v>
      </c>
      <c r="AH93" s="29">
        <f>-AH97*AH12</f>
        <v>-2.9203068493150686</v>
      </c>
      <c r="AI93" s="29">
        <f>-AI97*AI12</f>
        <v>-3.0375123287671233</v>
      </c>
      <c r="AJ93" s="29">
        <f t="shared" ref="AJ93:AM93" si="506">-AJ97*AJ12</f>
        <v>-3.0898356164383558</v>
      </c>
      <c r="AK93" s="29">
        <f t="shared" si="506"/>
        <v>-3.2550575342465753</v>
      </c>
      <c r="AL93" s="29">
        <f t="shared" si="506"/>
        <v>-3.4118136986301368</v>
      </c>
      <c r="AM93" s="29">
        <f t="shared" si="506"/>
        <v>-3.5252383561643836</v>
      </c>
      <c r="AQ93" s="29">
        <f>+AQ372+AQ376+AQ383</f>
        <v>-1.375</v>
      </c>
      <c r="AR93" s="29">
        <f>+AR372+AR376+AR383</f>
        <v>-1.0509999999999999</v>
      </c>
      <c r="AS93" s="29">
        <f>+AS372+AS376+AS383</f>
        <v>-1.1629999999999998</v>
      </c>
      <c r="AT93" s="29">
        <f t="shared" ref="AT93:AW93" si="507">+AT372+AT376+AT383</f>
        <v>-3.399</v>
      </c>
      <c r="AU93" s="29">
        <f t="shared" si="507"/>
        <v>-5.1559999999999997</v>
      </c>
      <c r="AV93" s="29">
        <f t="shared" si="507"/>
        <v>-8.0239999999999991</v>
      </c>
      <c r="AW93" s="29">
        <f t="shared" si="507"/>
        <v>-10.173999999999999</v>
      </c>
      <c r="AX93" s="18">
        <f t="shared" ref="AX93:AX94" si="508">+SUM(AF93:AI93)</f>
        <v>-13.725819178082192</v>
      </c>
      <c r="AY93" s="18">
        <f>+SUM(AJ93:AM93)</f>
        <v>-13.281945205479451</v>
      </c>
      <c r="AZ93" s="18"/>
      <c r="BA93" s="7"/>
    </row>
    <row r="94" spans="1:53" s="3" customFormat="1" ht="10.15" x14ac:dyDescent="0.2">
      <c r="A94" s="2"/>
      <c r="B94" s="24" t="s">
        <v>39</v>
      </c>
      <c r="D94" s="125" t="str">
        <f>+IFERROR(D92+D93,"n/a")</f>
        <v>n/a</v>
      </c>
      <c r="E94" s="125" t="str">
        <f t="shared" ref="E94:K94" si="509">+IFERROR(E92+E93,"n/a")</f>
        <v>n/a</v>
      </c>
      <c r="F94" s="125" t="str">
        <f t="shared" si="509"/>
        <v>n/a</v>
      </c>
      <c r="G94" s="125" t="str">
        <f t="shared" si="509"/>
        <v>n/a</v>
      </c>
      <c r="H94" s="125" t="str">
        <f t="shared" si="509"/>
        <v>n/a</v>
      </c>
      <c r="I94" s="125" t="str">
        <f t="shared" si="509"/>
        <v>n/a</v>
      </c>
      <c r="J94" s="125" t="str">
        <f t="shared" si="509"/>
        <v>n/a</v>
      </c>
      <c r="K94" s="125" t="str">
        <f t="shared" si="509"/>
        <v>n/a</v>
      </c>
      <c r="L94" s="23">
        <f ca="1">+IFERROR(L92+L93,"n/a")</f>
        <v>-1.0807499999999992</v>
      </c>
      <c r="M94" s="23">
        <f t="shared" ref="M94:P94" ca="1" si="510">+IFERROR(M92+M93,"n/a")</f>
        <v>-1.2137499999999992</v>
      </c>
      <c r="N94" s="23">
        <f t="shared" ca="1" si="510"/>
        <v>-1.4547499999999984</v>
      </c>
      <c r="O94" s="23">
        <f t="shared" ca="1" si="510"/>
        <v>-4.1557499999999967</v>
      </c>
      <c r="P94" s="23">
        <f t="shared" si="510"/>
        <v>-3.020000000000004</v>
      </c>
      <c r="Q94" s="23">
        <f t="shared" ref="Q94:R94" si="511">+IFERROR(Q92+Q93,"n/a")</f>
        <v>-2.7470000000000008</v>
      </c>
      <c r="R94" s="23">
        <f t="shared" si="511"/>
        <v>-0.79200000000000348</v>
      </c>
      <c r="S94" s="23">
        <f t="shared" ref="S94" si="512">+IFERROR(S92+S93,"n/a")</f>
        <v>-1.5010000000000028</v>
      </c>
      <c r="T94" s="23">
        <f t="shared" ref="T94:U94" si="513">+IFERROR(T92+T93,"n/a")</f>
        <v>1.677</v>
      </c>
      <c r="U94" s="23">
        <f t="shared" si="513"/>
        <v>-0.21299999999999819</v>
      </c>
      <c r="V94" s="23">
        <f t="shared" ref="V94:W94" si="514">+IFERROR(V92+V93,"n/a")</f>
        <v>-0.76900000000000313</v>
      </c>
      <c r="W94" s="23">
        <f t="shared" si="514"/>
        <v>-4.8089999999999957</v>
      </c>
      <c r="X94" s="23">
        <f t="shared" ref="X94:Y94" si="515">+IFERROR(X92+X93,"n/a")</f>
        <v>-2.7279999999999998</v>
      </c>
      <c r="Y94" s="23">
        <f t="shared" si="515"/>
        <v>-5.4369999999999949</v>
      </c>
      <c r="Z94" s="23">
        <f t="shared" ref="Z94:AA94" si="516">+IFERROR(Z92+Z93,"n/a")</f>
        <v>-4.1479999999999926</v>
      </c>
      <c r="AA94" s="23">
        <f t="shared" si="516"/>
        <v>-14.170000000000003</v>
      </c>
      <c r="AB94" s="23">
        <f t="shared" ref="AB94" si="517">+IFERROR(AB92+AB93,"n/a")</f>
        <v>-10.403999999999984</v>
      </c>
      <c r="AC94" s="23">
        <f t="shared" ref="AC94" si="518">+IFERROR(AC92+AC93,"n/a")</f>
        <v>-3.0620000000000012</v>
      </c>
      <c r="AD94" s="23">
        <f t="shared" ref="AD94:AE94" si="519">+IFERROR(AD92+AD93,"n/a")</f>
        <v>2.3000000000000105</v>
      </c>
      <c r="AE94" s="23">
        <f t="shared" si="519"/>
        <v>1.7790000000000141</v>
      </c>
      <c r="AF94" s="23">
        <f t="shared" ref="AF94:AG94" si="520">+IFERROR(AF92+AF93,"n/a")</f>
        <v>2.9290000000000012</v>
      </c>
      <c r="AG94" s="23">
        <f t="shared" si="520"/>
        <v>1.6329999999999973</v>
      </c>
      <c r="AH94" s="23">
        <f t="shared" ref="AH94:AI94" si="521">+IFERROR(AH92+AH93,"n/a")</f>
        <v>3.58589041095891</v>
      </c>
      <c r="AI94" s="23">
        <f t="shared" si="521"/>
        <v>3.5626027397260156</v>
      </c>
      <c r="AJ94" s="23">
        <f t="shared" ref="AJ94:AM94" si="522">+IFERROR(AJ92+AJ93,"n/a")</f>
        <v>7.2309369863013746</v>
      </c>
      <c r="AK94" s="23">
        <f t="shared" si="522"/>
        <v>9.1131364383561717</v>
      </c>
      <c r="AL94" s="23">
        <f t="shared" si="522"/>
        <v>10.734650958904112</v>
      </c>
      <c r="AM94" s="23">
        <f t="shared" si="522"/>
        <v>10.809160547945197</v>
      </c>
      <c r="AQ94" s="23">
        <f t="shared" ref="AQ94" si="523">+IFERROR(AQ92+AQ93,"n/a")</f>
        <v>-3.8199999999999985</v>
      </c>
      <c r="AR94" s="23">
        <f t="shared" ref="AR94" si="524">+IFERROR(AR92+AR93,"n/a")</f>
        <v>-6.3740000000000023</v>
      </c>
      <c r="AS94" s="23">
        <f t="shared" ref="AS94:AW94" ca="1" si="525">+IFERROR(AS92+AS93,"n/a")</f>
        <v>-7.904999999999994</v>
      </c>
      <c r="AT94" s="23">
        <f t="shared" si="525"/>
        <v>-8.0599999999999987</v>
      </c>
      <c r="AU94" s="23">
        <f t="shared" si="525"/>
        <v>-4.1139999999999723</v>
      </c>
      <c r="AV94" s="23">
        <f t="shared" si="525"/>
        <v>-26.482999999999983</v>
      </c>
      <c r="AW94" s="23">
        <f t="shared" si="525"/>
        <v>-9.3869999999999507</v>
      </c>
      <c r="AX94" s="23">
        <f t="shared" si="508"/>
        <v>11.710493150684924</v>
      </c>
      <c r="AY94" s="23">
        <f>+SUM(AJ94:AM94)</f>
        <v>37.887884931506854</v>
      </c>
      <c r="AZ94" s="23"/>
      <c r="BA94" s="236"/>
    </row>
    <row r="95" spans="1:53" ht="10.15" x14ac:dyDescent="0.2">
      <c r="B95" s="20" t="s">
        <v>20</v>
      </c>
      <c r="D95" s="121" t="str">
        <f t="shared" ref="D95:AI95" si="526">+IFERROR(D94/D12,"n/a")</f>
        <v>n/a</v>
      </c>
      <c r="E95" s="121" t="str">
        <f t="shared" si="526"/>
        <v>n/a</v>
      </c>
      <c r="F95" s="121" t="str">
        <f t="shared" si="526"/>
        <v>n/a</v>
      </c>
      <c r="G95" s="121" t="str">
        <f t="shared" si="526"/>
        <v>n/a</v>
      </c>
      <c r="H95" s="121" t="str">
        <f t="shared" si="526"/>
        <v>n/a</v>
      </c>
      <c r="I95" s="121" t="str">
        <f t="shared" si="526"/>
        <v>n/a</v>
      </c>
      <c r="J95" s="121" t="str">
        <f t="shared" si="526"/>
        <v>n/a</v>
      </c>
      <c r="K95" s="121" t="str">
        <f t="shared" si="526"/>
        <v>n/a</v>
      </c>
      <c r="L95" s="121">
        <f t="shared" ca="1" si="526"/>
        <v>-5.3053360168867469E-2</v>
      </c>
      <c r="M95" s="121">
        <f t="shared" ca="1" si="526"/>
        <v>-5.4861236666063969E-2</v>
      </c>
      <c r="N95" s="121">
        <f t="shared" ca="1" si="526"/>
        <v>-6.1044437916998803E-2</v>
      </c>
      <c r="O95" s="121">
        <f t="shared" ca="1" si="526"/>
        <v>-0.16118178644843489</v>
      </c>
      <c r="P95" s="121">
        <f t="shared" si="526"/>
        <v>-0.10868391693957621</v>
      </c>
      <c r="Q95" s="121">
        <f t="shared" si="526"/>
        <v>-9.6548573035287522E-2</v>
      </c>
      <c r="R95" s="121">
        <f t="shared" si="526"/>
        <v>-2.4599329109206224E-2</v>
      </c>
      <c r="S95" s="121">
        <f t="shared" si="526"/>
        <v>-4.1190998902305237E-2</v>
      </c>
      <c r="T95" s="121">
        <f t="shared" si="526"/>
        <v>4.1927096354817742E-2</v>
      </c>
      <c r="U95" s="121">
        <f t="shared" si="526"/>
        <v>-4.7328074658370889E-3</v>
      </c>
      <c r="V95" s="121">
        <f t="shared" si="526"/>
        <v>-1.5613579143994215E-2</v>
      </c>
      <c r="W95" s="121">
        <f t="shared" si="526"/>
        <v>-8.947642615264384E-2</v>
      </c>
      <c r="X95" s="121">
        <f t="shared" si="526"/>
        <v>-4.7752415628063295E-2</v>
      </c>
      <c r="Y95" s="121">
        <f t="shared" si="526"/>
        <v>-8.6839163072991457E-2</v>
      </c>
      <c r="Z95" s="121">
        <f t="shared" si="526"/>
        <v>-6.3046220722569157E-2</v>
      </c>
      <c r="AA95" s="121">
        <f t="shared" si="526"/>
        <v>-0.20600421603547292</v>
      </c>
      <c r="AB95" s="121">
        <f t="shared" si="526"/>
        <v>-0.14680400733737806</v>
      </c>
      <c r="AC95" s="121">
        <f t="shared" si="526"/>
        <v>-4.0994470700065622E-2</v>
      </c>
      <c r="AD95" s="121">
        <f t="shared" si="526"/>
        <v>2.921822200767309E-2</v>
      </c>
      <c r="AE95" s="121">
        <f t="shared" si="526"/>
        <v>2.1332469961867929E-2</v>
      </c>
      <c r="AF95" s="121">
        <f t="shared" si="526"/>
        <v>3.4132755325595503E-2</v>
      </c>
      <c r="AG95" s="121">
        <f t="shared" ref="AG95" si="527">+IFERROR(AG94/AG12,"n/a")</f>
        <v>1.7954722872755631E-2</v>
      </c>
      <c r="AH95" s="121">
        <f t="shared" si="526"/>
        <v>3.6837468759147153E-2</v>
      </c>
      <c r="AI95" s="121">
        <f t="shared" si="526"/>
        <v>3.518605708348204E-2</v>
      </c>
      <c r="AJ95" s="121">
        <f t="shared" ref="AJ95:AM95" si="528">+IFERROR(AJ94/AJ12,"n/a")</f>
        <v>7.0207006623573584E-2</v>
      </c>
      <c r="AK95" s="121">
        <f t="shared" si="528"/>
        <v>8.3990556318681395E-2</v>
      </c>
      <c r="AL95" s="121">
        <f t="shared" si="528"/>
        <v>9.4389540934320088E-2</v>
      </c>
      <c r="AM95" s="121">
        <f t="shared" si="528"/>
        <v>9.1986635704026931E-2</v>
      </c>
      <c r="AN95" s="101"/>
      <c r="AO95" s="101"/>
      <c r="AP95" s="101"/>
      <c r="AQ95" s="121">
        <f t="shared" ref="AQ95:AX95" si="529">+IFERROR(AQ94/AQ12,"n/a")</f>
        <v>-9.9461035748691612E-2</v>
      </c>
      <c r="AR95" s="121">
        <f t="shared" si="529"/>
        <v>-0.10034476787204236</v>
      </c>
      <c r="AS95" s="121">
        <f t="shared" ca="1" si="529"/>
        <v>-8.5822232355144384E-2</v>
      </c>
      <c r="AT95" s="121">
        <f t="shared" si="529"/>
        <v>-6.454454454454453E-2</v>
      </c>
      <c r="AU95" s="121">
        <f t="shared" si="529"/>
        <v>-2.1882862325200252E-2</v>
      </c>
      <c r="AV95" s="121">
        <f t="shared" si="529"/>
        <v>-0.10413422671007716</v>
      </c>
      <c r="AW95" s="121">
        <f t="shared" si="529"/>
        <v>-3.0509466157471195E-2</v>
      </c>
      <c r="AX95" s="121">
        <f t="shared" si="529"/>
        <v>3.1198283248833534E-2</v>
      </c>
      <c r="AY95" s="121">
        <f t="shared" ref="AY95" si="530">+IFERROR(AY94/AY12,"n/a")</f>
        <v>8.5577566415218104E-2</v>
      </c>
      <c r="AZ95" s="121"/>
      <c r="BA95" s="118"/>
    </row>
    <row r="96" spans="1:53" ht="10.15" x14ac:dyDescent="0.2">
      <c r="B96" s="20"/>
      <c r="AB96" s="15"/>
      <c r="AC96" s="15"/>
      <c r="AD96" s="15"/>
      <c r="AE96" s="15"/>
      <c r="AF96" s="15"/>
      <c r="AG96" s="99"/>
      <c r="AH96" s="15"/>
      <c r="AI96" s="15"/>
      <c r="AJ96" s="15"/>
      <c r="AK96" s="15"/>
      <c r="AL96" s="15"/>
      <c r="AM96" s="15"/>
      <c r="AS96" s="15"/>
      <c r="AT96" s="15"/>
      <c r="AU96" s="15"/>
      <c r="AV96" s="15"/>
      <c r="AW96" s="15"/>
      <c r="BA96" s="118"/>
    </row>
    <row r="97" spans="1:54" ht="10.15" x14ac:dyDescent="0.2">
      <c r="B97" s="13" t="s">
        <v>90</v>
      </c>
      <c r="D97" s="121" t="str">
        <f t="shared" ref="D97:AG97" si="531">IFERROR(-D93/D12,"n/a")</f>
        <v>n/a</v>
      </c>
      <c r="E97" s="121" t="str">
        <f t="shared" si="531"/>
        <v>n/a</v>
      </c>
      <c r="F97" s="121" t="str">
        <f t="shared" si="531"/>
        <v>n/a</v>
      </c>
      <c r="G97" s="121" t="str">
        <f t="shared" si="531"/>
        <v>n/a</v>
      </c>
      <c r="H97" s="121" t="str">
        <f t="shared" si="531"/>
        <v>n/a</v>
      </c>
      <c r="I97" s="121" t="str">
        <f t="shared" si="531"/>
        <v>n/a</v>
      </c>
      <c r="J97" s="121" t="str">
        <f t="shared" si="531"/>
        <v>n/a</v>
      </c>
      <c r="K97" s="121" t="str">
        <f t="shared" si="531"/>
        <v>n/a</v>
      </c>
      <c r="L97" s="99">
        <f t="shared" si="531"/>
        <v>1.4272740660743213E-2</v>
      </c>
      <c r="M97" s="99">
        <f t="shared" si="531"/>
        <v>1.3141836919182786E-2</v>
      </c>
      <c r="N97" s="99">
        <f t="shared" si="531"/>
        <v>1.2200495153371658E-2</v>
      </c>
      <c r="O97" s="99">
        <f t="shared" si="531"/>
        <v>1.1276810301361359E-2</v>
      </c>
      <c r="P97" s="99">
        <f t="shared" si="531"/>
        <v>4.9699499766077661E-2</v>
      </c>
      <c r="Q97" s="99">
        <f t="shared" si="531"/>
        <v>3.9048221566146492E-2</v>
      </c>
      <c r="R97" s="99">
        <f t="shared" si="531"/>
        <v>1.2765560939247113E-2</v>
      </c>
      <c r="S97" s="99">
        <f t="shared" si="531"/>
        <v>1.3611416026344678E-2</v>
      </c>
      <c r="T97" s="99">
        <f t="shared" si="531"/>
        <v>7.2253612680634044E-3</v>
      </c>
      <c r="U97" s="99">
        <f t="shared" si="531"/>
        <v>2.6330407732474168E-2</v>
      </c>
      <c r="V97" s="99">
        <f t="shared" si="531"/>
        <v>2.9034353934865587E-2</v>
      </c>
      <c r="W97" s="99">
        <f t="shared" si="531"/>
        <v>4.1900792617124989E-2</v>
      </c>
      <c r="X97" s="99">
        <f t="shared" si="531"/>
        <v>2.7884750035009103E-2</v>
      </c>
      <c r="Y97" s="99">
        <f t="shared" si="531"/>
        <v>5.4815524676569236E-2</v>
      </c>
      <c r="Z97" s="99">
        <f t="shared" si="531"/>
        <v>3.3909382457100297E-2</v>
      </c>
      <c r="AA97" s="99">
        <f t="shared" si="531"/>
        <v>1.1165224976375664E-2</v>
      </c>
      <c r="AB97" s="99">
        <f t="shared" si="531"/>
        <v>2.9716382108085224E-2</v>
      </c>
      <c r="AC97" s="99">
        <f t="shared" si="531"/>
        <v>3.6014084318476969E-2</v>
      </c>
      <c r="AD97" s="99">
        <f t="shared" si="531"/>
        <v>2.69315785462029E-2</v>
      </c>
      <c r="AE97" s="99">
        <f t="shared" si="531"/>
        <v>3.9067558817181103E-2</v>
      </c>
      <c r="AF97" s="99">
        <f t="shared" si="531"/>
        <v>3.7104367687502915E-2</v>
      </c>
      <c r="AG97" s="99">
        <f t="shared" si="531"/>
        <v>5.0400765247221029E-2</v>
      </c>
      <c r="AH97" s="100">
        <v>0.03</v>
      </c>
      <c r="AI97" s="100">
        <v>0.03</v>
      </c>
      <c r="AJ97" s="100">
        <v>0.03</v>
      </c>
      <c r="AK97" s="100">
        <v>0.03</v>
      </c>
      <c r="AL97" s="100">
        <v>0.03</v>
      </c>
      <c r="AM97" s="100">
        <v>0.03</v>
      </c>
      <c r="AN97" s="101"/>
      <c r="AO97" s="101"/>
      <c r="AP97" s="101"/>
      <c r="AQ97" s="121">
        <f t="shared" ref="AQ97:AX97" si="532">IFERROR(-AQ93/AQ12,"n/a")</f>
        <v>3.580076548545838E-2</v>
      </c>
      <c r="AR97" s="121">
        <f t="shared" si="532"/>
        <v>1.6545709292989718E-2</v>
      </c>
      <c r="AS97" s="121">
        <f t="shared" si="532"/>
        <v>1.2626344874007968E-2</v>
      </c>
      <c r="AT97" s="121">
        <f t="shared" si="532"/>
        <v>2.7219219219219219E-2</v>
      </c>
      <c r="AU97" s="121">
        <f t="shared" si="532"/>
        <v>2.742538603518066E-2</v>
      </c>
      <c r="AV97" s="121">
        <f t="shared" si="532"/>
        <v>3.1551298384686767E-2</v>
      </c>
      <c r="AW97" s="121">
        <f t="shared" si="532"/>
        <v>3.3067360039002194E-2</v>
      </c>
      <c r="AX97" s="121">
        <f t="shared" si="532"/>
        <v>3.6567375005469679E-2</v>
      </c>
      <c r="AY97" s="121">
        <f t="shared" ref="AY97" si="533">IFERROR(-AY93/AY12,"n/a")</f>
        <v>2.9999999999999995E-2</v>
      </c>
      <c r="AZ97" s="121"/>
    </row>
    <row r="99" spans="1:54" ht="10.15" x14ac:dyDescent="0.2">
      <c r="B99" t="s">
        <v>30</v>
      </c>
      <c r="D99" s="113" t="str">
        <f t="shared" ref="D99:AI99" si="534">+D84</f>
        <v>n/a</v>
      </c>
      <c r="E99" s="113" t="str">
        <f t="shared" si="534"/>
        <v>n/a</v>
      </c>
      <c r="F99" s="113" t="str">
        <f t="shared" si="534"/>
        <v>n/a</v>
      </c>
      <c r="G99" s="113" t="str">
        <f t="shared" si="534"/>
        <v>n/a</v>
      </c>
      <c r="H99" s="113" t="str">
        <f t="shared" si="534"/>
        <v>n/a</v>
      </c>
      <c r="I99" s="113" t="str">
        <f t="shared" si="534"/>
        <v>n/a</v>
      </c>
      <c r="J99" s="113" t="str">
        <f t="shared" si="534"/>
        <v>n/a</v>
      </c>
      <c r="K99" s="113" t="str">
        <f t="shared" si="534"/>
        <v>n/a</v>
      </c>
      <c r="L99" s="10">
        <f t="shared" si="534"/>
        <v>-0.78800000000000003</v>
      </c>
      <c r="M99" s="10">
        <f t="shared" si="534"/>
        <v>-9.7000000000000003E-2</v>
      </c>
      <c r="N99" s="10">
        <f t="shared" si="534"/>
        <v>-0.27500000000000002</v>
      </c>
      <c r="O99" s="10">
        <f t="shared" si="534"/>
        <v>-0.32</v>
      </c>
      <c r="P99" s="10">
        <f t="shared" si="534"/>
        <v>5.6000000000000001E-2</v>
      </c>
      <c r="Q99" s="10">
        <f t="shared" si="534"/>
        <v>-0.13800000000000001</v>
      </c>
      <c r="R99" s="10">
        <f t="shared" si="534"/>
        <v>-0.105</v>
      </c>
      <c r="S99" s="10">
        <f t="shared" si="534"/>
        <v>-0.10299999999999999</v>
      </c>
      <c r="T99" s="10">
        <f t="shared" si="534"/>
        <v>5.0999999999999997E-2</v>
      </c>
      <c r="U99" s="10">
        <f t="shared" si="534"/>
        <v>-0.123</v>
      </c>
      <c r="V99" s="10">
        <f t="shared" si="534"/>
        <v>-0.184</v>
      </c>
      <c r="W99" s="10">
        <f t="shared" si="534"/>
        <v>-0.26600000000000001</v>
      </c>
      <c r="X99" s="10">
        <f t="shared" si="534"/>
        <v>0.159</v>
      </c>
      <c r="Y99" s="10">
        <f t="shared" si="534"/>
        <v>0.71099999999999997</v>
      </c>
      <c r="Z99" s="10">
        <f t="shared" si="534"/>
        <v>1.4830000000000001</v>
      </c>
      <c r="AA99" s="10">
        <f t="shared" si="534"/>
        <v>1.103</v>
      </c>
      <c r="AB99" s="10">
        <f t="shared" si="534"/>
        <v>1.7050000000000001</v>
      </c>
      <c r="AC99" s="10">
        <f t="shared" si="534"/>
        <v>2.919</v>
      </c>
      <c r="AD99" s="10">
        <f t="shared" si="534"/>
        <v>2.1040000000000001</v>
      </c>
      <c r="AE99" s="10">
        <f t="shared" si="534"/>
        <v>5.585</v>
      </c>
      <c r="AF99" s="10">
        <f t="shared" si="534"/>
        <v>3.6389999999999998</v>
      </c>
      <c r="AG99" s="10">
        <f t="shared" ref="AG99" si="535">+AG84</f>
        <v>2.6160000000000001</v>
      </c>
      <c r="AH99" s="10">
        <f t="shared" si="534"/>
        <v>2.0259050000000003</v>
      </c>
      <c r="AI99" s="10">
        <f t="shared" si="534"/>
        <v>1.9847148469426372</v>
      </c>
      <c r="AJ99" s="10">
        <f t="shared" ref="AJ99:AM99" si="536">+AJ84</f>
        <v>2.0216136258563751</v>
      </c>
      <c r="AK99" s="10">
        <f t="shared" si="536"/>
        <v>2.0840286840177096</v>
      </c>
      <c r="AL99" s="10">
        <f t="shared" si="536"/>
        <v>2.1595822947069414</v>
      </c>
      <c r="AM99" s="10">
        <f t="shared" si="536"/>
        <v>2.2465788494012946</v>
      </c>
      <c r="AQ99" s="10">
        <f t="shared" ref="AQ99:AW99" si="537">+AQ84</f>
        <v>-0.83</v>
      </c>
      <c r="AR99" s="10">
        <f t="shared" si="537"/>
        <v>-3.3260000000000001</v>
      </c>
      <c r="AS99" s="10">
        <f t="shared" si="537"/>
        <v>-1.4800000000000002</v>
      </c>
      <c r="AT99" s="10">
        <f t="shared" si="537"/>
        <v>-0.28999999999999998</v>
      </c>
      <c r="AU99" s="10">
        <f t="shared" si="537"/>
        <v>-0.52200000000000002</v>
      </c>
      <c r="AV99" s="10">
        <f t="shared" si="537"/>
        <v>3.4560000000000004</v>
      </c>
      <c r="AW99" s="10">
        <f t="shared" si="537"/>
        <v>12.313000000000001</v>
      </c>
      <c r="AX99" s="10">
        <f>+SUM(AF99:AI99)</f>
        <v>10.265619846942638</v>
      </c>
      <c r="AY99" s="10">
        <f>+SUM(AJ99:AM99)</f>
        <v>8.5118034539823206</v>
      </c>
      <c r="AZ99" s="10"/>
    </row>
    <row r="100" spans="1:54" ht="12" x14ac:dyDescent="0.35">
      <c r="B100" t="s">
        <v>28</v>
      </c>
      <c r="D100" s="114" t="str">
        <f t="shared" ref="D100:AI100" si="538">+D86</f>
        <v>n/a</v>
      </c>
      <c r="E100" s="114" t="str">
        <f t="shared" si="538"/>
        <v>n/a</v>
      </c>
      <c r="F100" s="114" t="str">
        <f t="shared" si="538"/>
        <v>n/a</v>
      </c>
      <c r="G100" s="114" t="str">
        <f t="shared" si="538"/>
        <v>n/a</v>
      </c>
      <c r="H100" s="114" t="str">
        <f t="shared" si="538"/>
        <v>n/a</v>
      </c>
      <c r="I100" s="114" t="str">
        <f t="shared" si="538"/>
        <v>n/a</v>
      </c>
      <c r="J100" s="114" t="str">
        <f t="shared" si="538"/>
        <v>n/a</v>
      </c>
      <c r="K100" s="114" t="str">
        <f t="shared" si="538"/>
        <v>n/a</v>
      </c>
      <c r="L100" s="18">
        <f t="shared" si="538"/>
        <v>0</v>
      </c>
      <c r="M100" s="18">
        <f t="shared" si="538"/>
        <v>0</v>
      </c>
      <c r="N100" s="18">
        <f t="shared" si="538"/>
        <v>0</v>
      </c>
      <c r="O100" s="18">
        <f t="shared" si="538"/>
        <v>0</v>
      </c>
      <c r="P100" s="18">
        <f t="shared" si="538"/>
        <v>0</v>
      </c>
      <c r="Q100" s="18">
        <f t="shared" si="538"/>
        <v>0</v>
      </c>
      <c r="R100" s="18">
        <f t="shared" si="538"/>
        <v>0</v>
      </c>
      <c r="S100" s="18">
        <f t="shared" si="538"/>
        <v>0</v>
      </c>
      <c r="T100" s="18">
        <f t="shared" si="538"/>
        <v>-0.33978000000000003</v>
      </c>
      <c r="U100" s="18">
        <f t="shared" si="538"/>
        <v>0</v>
      </c>
      <c r="V100" s="18">
        <f t="shared" si="538"/>
        <v>0</v>
      </c>
      <c r="W100" s="18">
        <f t="shared" si="538"/>
        <v>0</v>
      </c>
      <c r="X100" s="18">
        <f t="shared" si="538"/>
        <v>0</v>
      </c>
      <c r="Y100" s="18">
        <f t="shared" si="538"/>
        <v>0</v>
      </c>
      <c r="Z100" s="18">
        <f t="shared" si="538"/>
        <v>0</v>
      </c>
      <c r="AA100" s="18">
        <f t="shared" si="538"/>
        <v>0</v>
      </c>
      <c r="AB100" s="18">
        <f t="shared" si="538"/>
        <v>0</v>
      </c>
      <c r="AC100" s="18">
        <f t="shared" si="538"/>
        <v>-0.30386999999999981</v>
      </c>
      <c r="AD100" s="18">
        <f t="shared" si="538"/>
        <v>-1.1358900000000021</v>
      </c>
      <c r="AE100" s="18">
        <f t="shared" si="538"/>
        <v>-1.9569900000000036</v>
      </c>
      <c r="AF100" s="18">
        <f t="shared" si="538"/>
        <v>-1.7348100000000002</v>
      </c>
      <c r="AG100" s="18">
        <f t="shared" ref="AG100" si="539">+AG86</f>
        <v>-1.6037699999999993</v>
      </c>
      <c r="AH100" s="18">
        <f t="shared" si="538"/>
        <v>-1.3192414746575354</v>
      </c>
      <c r="AI100" s="18">
        <f t="shared" si="538"/>
        <v>-1.3303142822415128</v>
      </c>
      <c r="AJ100" s="18">
        <f t="shared" ref="AJ100:AM100" si="540">+AJ86</f>
        <v>-2.119401108005182</v>
      </c>
      <c r="AK100" s="18">
        <f t="shared" si="540"/>
        <v>-2.562466757890296</v>
      </c>
      <c r="AL100" s="18">
        <f t="shared" si="540"/>
        <v>-2.9517698599706499</v>
      </c>
      <c r="AM100" s="18">
        <f t="shared" si="540"/>
        <v>-3.0095053282372839</v>
      </c>
      <c r="AQ100" s="18">
        <f t="shared" ref="AQ100:AW100" si="541">+AQ86</f>
        <v>0</v>
      </c>
      <c r="AR100" s="18">
        <f t="shared" si="541"/>
        <v>0</v>
      </c>
      <c r="AS100" s="18">
        <f t="shared" si="541"/>
        <v>0</v>
      </c>
      <c r="AT100" s="18">
        <f t="shared" si="541"/>
        <v>0</v>
      </c>
      <c r="AU100" s="18">
        <f t="shared" si="541"/>
        <v>0</v>
      </c>
      <c r="AV100" s="18">
        <f t="shared" si="541"/>
        <v>0</v>
      </c>
      <c r="AW100" s="18">
        <f t="shared" si="541"/>
        <v>-1.8095700000000101</v>
      </c>
      <c r="AX100" s="18">
        <f t="shared" ref="AX100:AX101" si="542">+SUM(AF100:AI100)</f>
        <v>-5.9881357568990481</v>
      </c>
      <c r="AY100" s="18">
        <f>+SUM(AJ100:AM100)</f>
        <v>-10.643143054103412</v>
      </c>
      <c r="AZ100" s="18"/>
    </row>
    <row r="101" spans="1:54" s="3" customFormat="1" ht="10.15" x14ac:dyDescent="0.2">
      <c r="A101" s="2"/>
      <c r="B101" s="24" t="s">
        <v>40</v>
      </c>
      <c r="D101" s="125" t="str">
        <f>+IFERROR(D94+SUM(D99:D100),"n/a")</f>
        <v>n/a</v>
      </c>
      <c r="E101" s="125" t="str">
        <f t="shared" ref="E101:Q101" si="543">+IFERROR(E94+SUM(E99:E100),"n/a")</f>
        <v>n/a</v>
      </c>
      <c r="F101" s="125" t="str">
        <f t="shared" si="543"/>
        <v>n/a</v>
      </c>
      <c r="G101" s="125" t="str">
        <f t="shared" si="543"/>
        <v>n/a</v>
      </c>
      <c r="H101" s="125" t="str">
        <f t="shared" si="543"/>
        <v>n/a</v>
      </c>
      <c r="I101" s="125" t="str">
        <f t="shared" si="543"/>
        <v>n/a</v>
      </c>
      <c r="J101" s="125" t="str">
        <f t="shared" si="543"/>
        <v>n/a</v>
      </c>
      <c r="K101" s="125" t="str">
        <f t="shared" si="543"/>
        <v>n/a</v>
      </c>
      <c r="L101" s="125">
        <f t="shared" ca="1" si="543"/>
        <v>-1.8687499999999992</v>
      </c>
      <c r="M101" s="125">
        <f t="shared" ca="1" si="543"/>
        <v>-1.3107499999999992</v>
      </c>
      <c r="N101" s="125">
        <f t="shared" ca="1" si="543"/>
        <v>-1.7297499999999983</v>
      </c>
      <c r="O101" s="125">
        <f t="shared" ca="1" si="543"/>
        <v>-4.475749999999997</v>
      </c>
      <c r="P101" s="125">
        <f t="shared" si="543"/>
        <v>-2.964000000000004</v>
      </c>
      <c r="Q101" s="125">
        <f t="shared" si="543"/>
        <v>-2.8850000000000007</v>
      </c>
      <c r="R101" s="125">
        <f t="shared" ref="R101:S101" si="544">+IFERROR(R94+SUM(R99:R100),"n/a")</f>
        <v>-0.89700000000000346</v>
      </c>
      <c r="S101" s="125">
        <f t="shared" si="544"/>
        <v>-1.6040000000000028</v>
      </c>
      <c r="T101" s="125">
        <f t="shared" ref="T101" si="545">+IFERROR(T94+SUM(T99:T100),"n/a")</f>
        <v>1.38822</v>
      </c>
      <c r="U101" s="125">
        <f t="shared" ref="U101:V101" si="546">+IFERROR(U94+SUM(U99:U100),"n/a")</f>
        <v>-0.33599999999999819</v>
      </c>
      <c r="V101" s="125">
        <f t="shared" si="546"/>
        <v>-0.95300000000000318</v>
      </c>
      <c r="W101" s="125">
        <f t="shared" ref="W101:X101" si="547">+IFERROR(W94+SUM(W99:W100),"n/a")</f>
        <v>-5.0749999999999957</v>
      </c>
      <c r="X101" s="125">
        <f t="shared" si="547"/>
        <v>-2.569</v>
      </c>
      <c r="Y101" s="125">
        <f t="shared" ref="Y101:Z101" si="548">+IFERROR(Y94+SUM(Y99:Y100),"n/a")</f>
        <v>-4.7259999999999946</v>
      </c>
      <c r="Z101" s="125">
        <f t="shared" si="548"/>
        <v>-2.6649999999999925</v>
      </c>
      <c r="AA101" s="125">
        <f t="shared" ref="AA101:AB101" si="549">+IFERROR(AA94+SUM(AA99:AA100),"n/a")</f>
        <v>-13.067000000000004</v>
      </c>
      <c r="AB101" s="125">
        <f t="shared" si="549"/>
        <v>-8.6989999999999839</v>
      </c>
      <c r="AC101" s="125">
        <f t="shared" ref="AC101:AD101" si="550">+IFERROR(AC94+SUM(AC99:AC100),"n/a")</f>
        <v>-0.44687000000000099</v>
      </c>
      <c r="AD101" s="125">
        <f t="shared" si="550"/>
        <v>3.2681100000000085</v>
      </c>
      <c r="AE101" s="125">
        <f t="shared" ref="AE101:AF101" si="551">+IFERROR(AE94+SUM(AE99:AE100),"n/a")</f>
        <v>5.4070100000000103</v>
      </c>
      <c r="AF101" s="125">
        <f t="shared" si="551"/>
        <v>4.833190000000001</v>
      </c>
      <c r="AG101" s="125">
        <f t="shared" ref="AG101" si="552">+IFERROR(AG94+SUM(AG99:AG100),"n/a")</f>
        <v>2.645229999999998</v>
      </c>
      <c r="AH101" s="125">
        <f t="shared" ref="AH101:AI101" si="553">+IFERROR(AH94+SUM(AH99:AH100),"n/a")</f>
        <v>4.2925539363013749</v>
      </c>
      <c r="AI101" s="125">
        <f t="shared" si="553"/>
        <v>4.2170033044271396</v>
      </c>
      <c r="AJ101" s="125">
        <f t="shared" ref="AJ101:AM101" si="554">+IFERROR(AJ94+SUM(AJ99:AJ100),"n/a")</f>
        <v>7.1331495041525681</v>
      </c>
      <c r="AK101" s="125">
        <f t="shared" si="554"/>
        <v>8.6346983644835849</v>
      </c>
      <c r="AL101" s="125">
        <f t="shared" si="554"/>
        <v>9.9424633936404039</v>
      </c>
      <c r="AM101" s="125">
        <f t="shared" si="554"/>
        <v>10.046234069109207</v>
      </c>
      <c r="AQ101" s="125">
        <f t="shared" ref="AQ101" si="555">+IFERROR(AQ94+SUM(AQ99:AQ100),"n/a")</f>
        <v>-4.6499999999999986</v>
      </c>
      <c r="AR101" s="125">
        <f t="shared" ref="AR101" si="556">+IFERROR(AR94+SUM(AR99:AR100),"n/a")</f>
        <v>-9.7000000000000028</v>
      </c>
      <c r="AS101" s="125">
        <f t="shared" ref="AS101:AW101" ca="1" si="557">+IFERROR(AS94+SUM(AS99:AS100),"n/a")</f>
        <v>-9.3849999999999945</v>
      </c>
      <c r="AT101" s="125">
        <f t="shared" si="557"/>
        <v>-8.3499999999999979</v>
      </c>
      <c r="AU101" s="125">
        <f t="shared" si="557"/>
        <v>-4.6359999999999726</v>
      </c>
      <c r="AV101" s="125">
        <f t="shared" si="557"/>
        <v>-23.026999999999983</v>
      </c>
      <c r="AW101" s="125">
        <f t="shared" si="557"/>
        <v>1.1164300000000402</v>
      </c>
      <c r="AX101" s="125">
        <f t="shared" si="542"/>
        <v>15.987977240728513</v>
      </c>
      <c r="AY101" s="125">
        <f>+SUM(AJ101:AM101)</f>
        <v>35.756545331385766</v>
      </c>
      <c r="AZ101" s="125"/>
    </row>
    <row r="103" spans="1:54" ht="10.15" x14ac:dyDescent="0.2">
      <c r="B103" t="s">
        <v>24</v>
      </c>
      <c r="L103" s="10"/>
      <c r="M103" s="10"/>
      <c r="N103" s="10"/>
      <c r="O103" s="10"/>
      <c r="P103" s="53">
        <f t="shared" ref="P103:AF103" si="558">-P74</f>
        <v>0.20499999999999999</v>
      </c>
      <c r="Q103" s="53">
        <f t="shared" si="558"/>
        <v>0.20899999999999999</v>
      </c>
      <c r="R103" s="53">
        <f t="shared" si="558"/>
        <v>0.25800000000000001</v>
      </c>
      <c r="S103" s="53">
        <f t="shared" si="558"/>
        <v>0.40699999999999997</v>
      </c>
      <c r="T103" s="53">
        <f t="shared" si="558"/>
        <v>0.59299999999999997</v>
      </c>
      <c r="U103" s="53">
        <f t="shared" si="558"/>
        <v>0.56899999999999995</v>
      </c>
      <c r="V103" s="53">
        <f t="shared" si="558"/>
        <v>0.627</v>
      </c>
      <c r="W103" s="53">
        <f t="shared" si="558"/>
        <v>0.95299999999999996</v>
      </c>
      <c r="X103" s="53">
        <f t="shared" si="558"/>
        <v>0.93200000000000005</v>
      </c>
      <c r="Y103" s="53">
        <f t="shared" si="558"/>
        <v>2.2040000000000002</v>
      </c>
      <c r="Z103" s="53">
        <f t="shared" si="558"/>
        <v>1.98</v>
      </c>
      <c r="AA103" s="53">
        <f t="shared" si="558"/>
        <v>2.2769999999999997</v>
      </c>
      <c r="AB103" s="53">
        <f t="shared" si="558"/>
        <v>2.7960000000000003</v>
      </c>
      <c r="AC103" s="53">
        <f t="shared" si="558"/>
        <v>3.7650000000000001</v>
      </c>
      <c r="AD103" s="53">
        <f t="shared" si="558"/>
        <v>4.2030000000000003</v>
      </c>
      <c r="AE103" s="53">
        <f t="shared" si="558"/>
        <v>4.5730000000000004</v>
      </c>
      <c r="AF103" s="53">
        <f t="shared" si="558"/>
        <v>5.1150000000000002</v>
      </c>
      <c r="AG103" s="53">
        <f t="shared" ref="AG103" si="559">-AG74</f>
        <v>7.1660000000000004</v>
      </c>
      <c r="AH103" s="54">
        <v>0</v>
      </c>
      <c r="AI103" s="54">
        <v>0</v>
      </c>
      <c r="AJ103" s="54">
        <v>0</v>
      </c>
      <c r="AK103" s="54">
        <v>0</v>
      </c>
      <c r="AL103" s="54">
        <v>0</v>
      </c>
      <c r="AM103" s="54">
        <v>0</v>
      </c>
      <c r="AQ103" s="10">
        <f>-AQ74</f>
        <v>0.30199999999999999</v>
      </c>
      <c r="AR103" s="10">
        <f>-AR74</f>
        <v>0.224</v>
      </c>
      <c r="AS103" s="10">
        <f>-AS74</f>
        <v>0.503</v>
      </c>
      <c r="AT103" s="10">
        <f t="shared" ref="AT103:AW103" si="560">-AT74</f>
        <v>1.079</v>
      </c>
      <c r="AU103" s="10">
        <f t="shared" si="560"/>
        <v>2.742</v>
      </c>
      <c r="AV103" s="10">
        <f t="shared" si="560"/>
        <v>7.3929999999999989</v>
      </c>
      <c r="AW103" s="10">
        <f t="shared" si="560"/>
        <v>15.337</v>
      </c>
      <c r="AX103" s="10">
        <f>+SUM(AF103:AI103)</f>
        <v>12.281000000000001</v>
      </c>
      <c r="AY103" s="10">
        <f>+SUM(AJ103:AM103)</f>
        <v>0</v>
      </c>
      <c r="AZ103" s="10"/>
    </row>
    <row r="104" spans="1:54" ht="12" x14ac:dyDescent="0.35">
      <c r="B104" t="s">
        <v>43</v>
      </c>
      <c r="P104" s="29">
        <f>+P105-P101-P103</f>
        <v>1.9390000000000036</v>
      </c>
      <c r="Q104" s="29">
        <f t="shared" ref="Q104:AF104" si="561">+Q105-Q101-Q103</f>
        <v>1.9650000000000007</v>
      </c>
      <c r="R104" s="29">
        <f t="shared" si="561"/>
        <v>1.041000000000003</v>
      </c>
      <c r="S104" s="29">
        <f t="shared" si="561"/>
        <v>4.7790000000000035</v>
      </c>
      <c r="T104" s="29">
        <f t="shared" si="561"/>
        <v>6.7367800000000013</v>
      </c>
      <c r="U104" s="29">
        <f t="shared" si="561"/>
        <v>-0.47000000000000319</v>
      </c>
      <c r="V104" s="29">
        <f t="shared" si="561"/>
        <v>7.6910000000000052</v>
      </c>
      <c r="W104" s="29">
        <f t="shared" si="561"/>
        <v>6.8809999999999949</v>
      </c>
      <c r="X104" s="29">
        <f t="shared" si="561"/>
        <v>8.0699999999999985</v>
      </c>
      <c r="Y104" s="29">
        <f t="shared" si="561"/>
        <v>-8.3470000000000066</v>
      </c>
      <c r="Z104" s="29">
        <f t="shared" si="561"/>
        <v>-2.1290000000000076</v>
      </c>
      <c r="AA104" s="29">
        <f t="shared" si="561"/>
        <v>0.39199999999999546</v>
      </c>
      <c r="AB104" s="29">
        <f t="shared" si="561"/>
        <v>-0.38000000000001855</v>
      </c>
      <c r="AC104" s="29">
        <f t="shared" si="561"/>
        <v>-11.75413</v>
      </c>
      <c r="AD104" s="29">
        <f t="shared" si="561"/>
        <v>-3.2351100000000099</v>
      </c>
      <c r="AE104" s="29">
        <f t="shared" si="561"/>
        <v>-1.685010000000009</v>
      </c>
      <c r="AF104" s="29">
        <f t="shared" si="561"/>
        <v>1.6468099999999977</v>
      </c>
      <c r="AG104" s="29">
        <f t="shared" ref="AG104" si="562">+AG105-AG101-AG103</f>
        <v>-2.3442299999999996</v>
      </c>
      <c r="AH104" s="56">
        <v>0</v>
      </c>
      <c r="AI104" s="56">
        <v>0</v>
      </c>
      <c r="AJ104" s="56">
        <v>0</v>
      </c>
      <c r="AK104" s="56">
        <v>0</v>
      </c>
      <c r="AL104" s="56">
        <v>0</v>
      </c>
      <c r="AM104" s="56">
        <v>0</v>
      </c>
      <c r="AQ104" s="29">
        <f>+AQ105-AQ101-AQ103</f>
        <v>5.5170000000000012</v>
      </c>
      <c r="AR104" s="29">
        <f t="shared" ref="AR104:AS104" si="563">+AR105-AR101-AR103</f>
        <v>6.5870000000000006</v>
      </c>
      <c r="AS104" s="29">
        <f t="shared" ca="1" si="563"/>
        <v>9.5939999999999959</v>
      </c>
      <c r="AT104" s="29">
        <f t="shared" ref="AT104" si="564">+AT105-AT101-AT103</f>
        <v>9.7239999999999984</v>
      </c>
      <c r="AU104" s="29">
        <f t="shared" ref="AU104" si="565">+AU105-AU101-AU103</f>
        <v>20.49899999999997</v>
      </c>
      <c r="AV104" s="29">
        <f t="shared" ref="AV104" si="566">+AV105-AV101-AV103</f>
        <v>-2.014000000000026</v>
      </c>
      <c r="AW104" s="29">
        <f t="shared" ref="AW104" si="567">+AW105-AW101-AW103</f>
        <v>-18.641430000000039</v>
      </c>
      <c r="AX104" s="29">
        <f t="shared" ref="AX104:AX108" si="568">+SUM(AF104:AI104)</f>
        <v>-0.69742000000000193</v>
      </c>
      <c r="AY104" s="29">
        <f>+SUM(AJ104:AM104)</f>
        <v>0</v>
      </c>
      <c r="AZ104" s="29"/>
    </row>
    <row r="105" spans="1:54" s="3" customFormat="1" ht="10.15" x14ac:dyDescent="0.2">
      <c r="A105" s="2"/>
      <c r="B105" s="24" t="s">
        <v>42</v>
      </c>
      <c r="P105" s="98">
        <f t="shared" ref="P105:AG105" si="569">+P370+P93</f>
        <v>-0.82000000000000028</v>
      </c>
      <c r="Q105" s="98">
        <f t="shared" si="569"/>
        <v>-0.71099999999999985</v>
      </c>
      <c r="R105" s="98">
        <f t="shared" si="569"/>
        <v>0.40199999999999958</v>
      </c>
      <c r="S105" s="98">
        <f t="shared" si="569"/>
        <v>3.5820000000000012</v>
      </c>
      <c r="T105" s="98">
        <f t="shared" si="569"/>
        <v>8.7180000000000017</v>
      </c>
      <c r="U105" s="98">
        <f t="shared" si="569"/>
        <v>-0.23700000000000143</v>
      </c>
      <c r="V105" s="98">
        <f t="shared" si="569"/>
        <v>7.365000000000002</v>
      </c>
      <c r="W105" s="98">
        <f t="shared" si="569"/>
        <v>2.7589999999999995</v>
      </c>
      <c r="X105" s="98">
        <f t="shared" si="569"/>
        <v>6.4329999999999998</v>
      </c>
      <c r="Y105" s="98">
        <f t="shared" si="569"/>
        <v>-10.869000000000002</v>
      </c>
      <c r="Z105" s="98">
        <f t="shared" si="569"/>
        <v>-2.8140000000000001</v>
      </c>
      <c r="AA105" s="98">
        <f t="shared" si="569"/>
        <v>-10.398000000000009</v>
      </c>
      <c r="AB105" s="98">
        <f t="shared" si="569"/>
        <v>-6.2830000000000021</v>
      </c>
      <c r="AC105" s="98">
        <f t="shared" si="569"/>
        <v>-8.4359999999999999</v>
      </c>
      <c r="AD105" s="98">
        <f t="shared" si="569"/>
        <v>4.2359999999999989</v>
      </c>
      <c r="AE105" s="98">
        <f t="shared" si="569"/>
        <v>8.2950000000000017</v>
      </c>
      <c r="AF105" s="98">
        <f t="shared" si="569"/>
        <v>11.594999999999999</v>
      </c>
      <c r="AG105" s="98">
        <f t="shared" si="569"/>
        <v>7.4669999999999987</v>
      </c>
      <c r="AH105" s="23">
        <f>+AH101+SUM(AH103:AH104)</f>
        <v>4.2925539363013749</v>
      </c>
      <c r="AI105" s="23">
        <f>+AI101+SUM(AI103:AI104)</f>
        <v>4.2170033044271396</v>
      </c>
      <c r="AJ105" s="23">
        <f t="shared" ref="AJ105:AM105" si="570">+AJ101+SUM(AJ103:AJ104)</f>
        <v>7.1331495041525681</v>
      </c>
      <c r="AK105" s="23">
        <f t="shared" si="570"/>
        <v>8.6346983644835849</v>
      </c>
      <c r="AL105" s="23">
        <f t="shared" si="570"/>
        <v>9.9424633936404039</v>
      </c>
      <c r="AM105" s="23">
        <f t="shared" si="570"/>
        <v>10.046234069109207</v>
      </c>
      <c r="AQ105" s="98">
        <f t="shared" ref="AQ105:AW105" si="571">+AQ370+AQ93</f>
        <v>1.1690000000000018</v>
      </c>
      <c r="AR105" s="98">
        <f t="shared" si="571"/>
        <v>-2.889000000000002</v>
      </c>
      <c r="AS105" s="98">
        <f t="shared" si="571"/>
        <v>0.71200000000000196</v>
      </c>
      <c r="AT105" s="98">
        <f t="shared" si="571"/>
        <v>2.4530000000000012</v>
      </c>
      <c r="AU105" s="98">
        <f t="shared" si="571"/>
        <v>18.605</v>
      </c>
      <c r="AV105" s="98">
        <f t="shared" si="571"/>
        <v>-17.64800000000001</v>
      </c>
      <c r="AW105" s="98">
        <f t="shared" si="571"/>
        <v>-2.1879999999999997</v>
      </c>
      <c r="AX105" s="98">
        <f t="shared" si="568"/>
        <v>27.571557240728509</v>
      </c>
      <c r="AY105" s="98">
        <f>+SUM(AJ105:AM105)</f>
        <v>35.756545331385766</v>
      </c>
      <c r="AZ105" s="98"/>
      <c r="BB105" s="23">
        <f>+SUM(AD105:AG105)</f>
        <v>31.592999999999996</v>
      </c>
    </row>
    <row r="106" spans="1:54" ht="10.15" x14ac:dyDescent="0.2">
      <c r="B106" s="24"/>
      <c r="P106" s="145"/>
      <c r="T106" s="145"/>
      <c r="U106" s="10"/>
      <c r="AB106" s="10"/>
      <c r="AC106" s="10"/>
      <c r="AD106" s="10"/>
      <c r="AQ106" s="98"/>
      <c r="AR106" s="98"/>
      <c r="AS106" s="98"/>
      <c r="AT106" s="98"/>
      <c r="AU106" s="98"/>
      <c r="AV106" s="98"/>
      <c r="AW106" s="98"/>
    </row>
    <row r="107" spans="1:54" ht="10.15" x14ac:dyDescent="0.2">
      <c r="B107" s="13" t="s">
        <v>186</v>
      </c>
      <c r="P107" s="89">
        <f t="shared" ref="P107:Y107" si="572">+P382+P381+P386</f>
        <v>0</v>
      </c>
      <c r="Q107" s="89">
        <f t="shared" si="572"/>
        <v>0</v>
      </c>
      <c r="R107" s="89">
        <f t="shared" si="572"/>
        <v>0.245</v>
      </c>
      <c r="S107" s="89">
        <f t="shared" si="572"/>
        <v>7.0000000000000062E-3</v>
      </c>
      <c r="T107" s="89">
        <f t="shared" si="572"/>
        <v>128.46800000000002</v>
      </c>
      <c r="U107" s="89">
        <f t="shared" si="572"/>
        <v>9.0250000000000004</v>
      </c>
      <c r="V107" s="89">
        <f t="shared" si="572"/>
        <v>0.57799999999999996</v>
      </c>
      <c r="W107" s="89">
        <f t="shared" si="572"/>
        <v>78.625999999999991</v>
      </c>
      <c r="X107" s="89">
        <f t="shared" si="572"/>
        <v>0.92400000000000004</v>
      </c>
      <c r="Y107" s="89">
        <f t="shared" si="572"/>
        <v>0.26999999999999991</v>
      </c>
      <c r="Z107" s="89">
        <f t="shared" ref="Z107:AE107" si="573">+Z382+Z381+Z386</f>
        <v>0.60199999999999998</v>
      </c>
      <c r="AA107" s="89">
        <f t="shared" si="573"/>
        <v>-5.699999999999994E-2</v>
      </c>
      <c r="AB107" s="89">
        <f t="shared" si="573"/>
        <v>0.33100000000000002</v>
      </c>
      <c r="AC107" s="89">
        <f t="shared" si="573"/>
        <v>0.23499999999999999</v>
      </c>
      <c r="AD107" s="89">
        <f t="shared" si="573"/>
        <v>0.44400000000000001</v>
      </c>
      <c r="AE107" s="89">
        <f t="shared" si="573"/>
        <v>1.4940000000000002</v>
      </c>
      <c r="AF107" s="89">
        <f t="shared" ref="AF107:AG107" si="574">+AF382+AF381+AF386</f>
        <v>0.84399999999999997</v>
      </c>
      <c r="AG107" s="89">
        <f t="shared" si="574"/>
        <v>2.2090000000000001</v>
      </c>
      <c r="AH107" s="142">
        <v>0</v>
      </c>
      <c r="AI107" s="142">
        <v>0</v>
      </c>
      <c r="AJ107" s="142">
        <v>0</v>
      </c>
      <c r="AK107" s="142">
        <v>0</v>
      </c>
      <c r="AL107" s="142">
        <v>0</v>
      </c>
      <c r="AM107" s="142">
        <v>0</v>
      </c>
      <c r="AQ107" s="89">
        <f t="shared" ref="AQ107:AV107" si="575">+AQ382+AQ381+AQ386</f>
        <v>0</v>
      </c>
      <c r="AR107" s="89">
        <f t="shared" si="575"/>
        <v>0</v>
      </c>
      <c r="AS107" s="89">
        <f t="shared" si="575"/>
        <v>9.7000000000000003E-2</v>
      </c>
      <c r="AT107" s="89">
        <f t="shared" si="575"/>
        <v>0.252</v>
      </c>
      <c r="AU107" s="89">
        <f t="shared" si="575"/>
        <v>216.697</v>
      </c>
      <c r="AV107" s="89">
        <f t="shared" si="575"/>
        <v>1.7389999999999999</v>
      </c>
      <c r="AW107" s="14">
        <f>+SUM(AB107:AE107)</f>
        <v>2.5040000000000004</v>
      </c>
      <c r="AX107" s="14">
        <f t="shared" si="568"/>
        <v>3.0529999999999999</v>
      </c>
      <c r="AY107" s="14">
        <f>+SUM(AJ107:AM107)</f>
        <v>0</v>
      </c>
      <c r="AZ107" s="14"/>
    </row>
    <row r="108" spans="1:54" ht="10.15" x14ac:dyDescent="0.2">
      <c r="B108" s="13" t="s">
        <v>243</v>
      </c>
      <c r="P108" s="89">
        <f>+P378</f>
        <v>0</v>
      </c>
      <c r="Q108" s="89">
        <f t="shared" ref="Q108:W108" si="576">+Q378</f>
        <v>0</v>
      </c>
      <c r="R108" s="89">
        <f t="shared" si="576"/>
        <v>-3.181</v>
      </c>
      <c r="S108" s="89">
        <f t="shared" si="576"/>
        <v>0.496</v>
      </c>
      <c r="T108" s="89">
        <f t="shared" si="576"/>
        <v>-0.35</v>
      </c>
      <c r="U108" s="89">
        <f t="shared" si="576"/>
        <v>0</v>
      </c>
      <c r="V108" s="89">
        <f t="shared" si="576"/>
        <v>0</v>
      </c>
      <c r="W108" s="89">
        <f t="shared" si="576"/>
        <v>0</v>
      </c>
      <c r="X108" s="89">
        <f t="shared" ref="X108:Y108" si="577">+X378</f>
        <v>-14</v>
      </c>
      <c r="Y108" s="89">
        <f t="shared" si="577"/>
        <v>6.9999999999996732E-3</v>
      </c>
      <c r="Z108" s="89">
        <f t="shared" ref="Z108:AA108" si="578">+Z378</f>
        <v>0</v>
      </c>
      <c r="AA108" s="89">
        <f t="shared" si="578"/>
        <v>0</v>
      </c>
      <c r="AB108" s="89">
        <f t="shared" ref="AB108:AC108" si="579">+AB378</f>
        <v>-1.0820000000000001</v>
      </c>
      <c r="AC108" s="89">
        <f t="shared" si="579"/>
        <v>0</v>
      </c>
      <c r="AD108" s="89">
        <f t="shared" ref="AD108:AE108" si="580">+AD378</f>
        <v>-0.14999999999999991</v>
      </c>
      <c r="AE108" s="89">
        <f t="shared" si="580"/>
        <v>-3.8339999999999996</v>
      </c>
      <c r="AF108" s="89">
        <f t="shared" ref="AF108:AG108" si="581">+AF378</f>
        <v>-0.501</v>
      </c>
      <c r="AG108" s="89">
        <f t="shared" si="581"/>
        <v>-9.5250000000000004</v>
      </c>
      <c r="AH108" s="142">
        <v>-9</v>
      </c>
      <c r="AI108" s="142">
        <v>0</v>
      </c>
      <c r="AJ108" s="142">
        <v>0</v>
      </c>
      <c r="AK108" s="142">
        <v>0</v>
      </c>
      <c r="AL108" s="142">
        <v>0</v>
      </c>
      <c r="AM108" s="142">
        <v>0</v>
      </c>
      <c r="AQ108" s="89">
        <f t="shared" ref="AQ108:AV108" si="582">+AQ378</f>
        <v>0</v>
      </c>
      <c r="AR108" s="89">
        <f t="shared" si="582"/>
        <v>0</v>
      </c>
      <c r="AS108" s="89">
        <f t="shared" si="582"/>
        <v>0</v>
      </c>
      <c r="AT108" s="89">
        <f t="shared" si="582"/>
        <v>-2.6850000000000001</v>
      </c>
      <c r="AU108" s="89">
        <f t="shared" si="582"/>
        <v>-0.35</v>
      </c>
      <c r="AV108" s="89">
        <f t="shared" si="582"/>
        <v>-13.993</v>
      </c>
      <c r="AW108" s="14">
        <f>+SUM(AB108:AE108)</f>
        <v>-5.0659999999999998</v>
      </c>
      <c r="AX108" s="14">
        <f t="shared" si="568"/>
        <v>-19.026</v>
      </c>
      <c r="AY108" s="14">
        <f>+SUM(AJ108:AM108)</f>
        <v>0</v>
      </c>
      <c r="AZ108" s="14"/>
    </row>
    <row r="109" spans="1:54" ht="10.15" x14ac:dyDescent="0.2">
      <c r="B109" s="24"/>
      <c r="AQ109" s="98"/>
      <c r="AR109" s="98"/>
      <c r="AS109" s="98"/>
      <c r="AT109" s="98"/>
      <c r="AU109" s="98"/>
      <c r="AV109" s="98"/>
      <c r="AW109" s="98"/>
    </row>
    <row r="110" spans="1:54" ht="10.15" x14ac:dyDescent="0.2">
      <c r="B110" s="25" t="s">
        <v>60</v>
      </c>
      <c r="AQ110" s="98"/>
      <c r="AR110" s="98"/>
      <c r="AS110" s="98"/>
      <c r="AT110" s="98"/>
      <c r="AU110" s="98"/>
      <c r="AV110" s="98"/>
      <c r="AW110" s="98"/>
    </row>
    <row r="111" spans="1:54" ht="10.15" x14ac:dyDescent="0.2">
      <c r="B111" t="s">
        <v>79</v>
      </c>
      <c r="S111" s="10">
        <f>+AT111</f>
        <v>0</v>
      </c>
      <c r="T111" s="11">
        <v>0</v>
      </c>
      <c r="U111" s="11">
        <v>0</v>
      </c>
      <c r="V111" s="10">
        <f t="shared" ref="V111:X111" si="583">+U111</f>
        <v>0</v>
      </c>
      <c r="W111" s="10">
        <f t="shared" si="583"/>
        <v>0</v>
      </c>
      <c r="X111" s="10">
        <f t="shared" si="583"/>
        <v>0</v>
      </c>
      <c r="Y111" s="10">
        <f t="shared" ref="Y111:AG111" si="584">+X111</f>
        <v>0</v>
      </c>
      <c r="Z111" s="10">
        <f t="shared" si="584"/>
        <v>0</v>
      </c>
      <c r="AA111" s="10">
        <f t="shared" si="584"/>
        <v>0</v>
      </c>
      <c r="AB111" s="10">
        <f t="shared" si="584"/>
        <v>0</v>
      </c>
      <c r="AC111" s="10">
        <f t="shared" si="584"/>
        <v>0</v>
      </c>
      <c r="AD111" s="10">
        <f t="shared" si="584"/>
        <v>0</v>
      </c>
      <c r="AE111" s="10">
        <f t="shared" si="584"/>
        <v>0</v>
      </c>
      <c r="AF111" s="10">
        <f t="shared" si="584"/>
        <v>0</v>
      </c>
      <c r="AG111" s="10">
        <f t="shared" si="584"/>
        <v>0</v>
      </c>
      <c r="AH111" s="10">
        <f t="shared" ref="AH111" si="585">+AG111</f>
        <v>0</v>
      </c>
      <c r="AI111" s="10">
        <f t="shared" ref="AI111" si="586">+AH111</f>
        <v>0</v>
      </c>
      <c r="AJ111" s="10">
        <f t="shared" ref="AJ111" si="587">+AI111</f>
        <v>0</v>
      </c>
      <c r="AK111" s="10">
        <f t="shared" ref="AK111" si="588">+AJ111</f>
        <v>0</v>
      </c>
      <c r="AL111" s="10">
        <f t="shared" ref="AL111" si="589">+AK111</f>
        <v>0</v>
      </c>
      <c r="AM111" s="10">
        <f t="shared" ref="AM111" si="590">+AL111</f>
        <v>0</v>
      </c>
      <c r="AQ111" s="11">
        <v>0</v>
      </c>
      <c r="AR111" s="11">
        <v>0</v>
      </c>
      <c r="AS111" s="11">
        <v>0</v>
      </c>
      <c r="AT111" s="11">
        <v>0</v>
      </c>
      <c r="AU111" s="11">
        <v>0</v>
      </c>
      <c r="AV111" s="11">
        <v>0</v>
      </c>
      <c r="AW111" s="10">
        <f>+AE111</f>
        <v>0</v>
      </c>
      <c r="AX111" s="10">
        <f>+AI111</f>
        <v>0</v>
      </c>
      <c r="AY111" s="10">
        <f>+AM111</f>
        <v>0</v>
      </c>
      <c r="AZ111" s="10"/>
    </row>
    <row r="112" spans="1:54" ht="12" x14ac:dyDescent="0.35">
      <c r="B112" t="s">
        <v>80</v>
      </c>
      <c r="S112" s="18">
        <f t="shared" ref="S112:S113" si="591">+AT112</f>
        <v>35.530999999999999</v>
      </c>
      <c r="T112" s="29">
        <f>+T403+T404</f>
        <v>171.86699999999999</v>
      </c>
      <c r="U112" s="29">
        <f t="shared" ref="U112:AA112" si="592">+U403+U404</f>
        <v>180.75899999999999</v>
      </c>
      <c r="V112" s="29">
        <f t="shared" si="592"/>
        <v>188.51</v>
      </c>
      <c r="W112" s="29">
        <f t="shared" si="592"/>
        <v>269.66500000000002</v>
      </c>
      <c r="X112" s="29">
        <f t="shared" si="592"/>
        <v>259.82400000000001</v>
      </c>
      <c r="Y112" s="29">
        <f t="shared" si="592"/>
        <v>248.917</v>
      </c>
      <c r="Z112" s="29">
        <f t="shared" si="592"/>
        <v>246.554</v>
      </c>
      <c r="AA112" s="29">
        <f t="shared" si="592"/>
        <v>237.53899999999999</v>
      </c>
      <c r="AB112" s="29">
        <f t="shared" ref="AB112:AC112" si="593">+AB403+AB404</f>
        <v>232.30500000000001</v>
      </c>
      <c r="AC112" s="29">
        <f t="shared" si="593"/>
        <v>223.75</v>
      </c>
      <c r="AD112" s="29">
        <f t="shared" ref="AD112:AE112" si="594">+AD403+AD404</f>
        <v>230.071</v>
      </c>
      <c r="AE112" s="29">
        <f t="shared" si="594"/>
        <v>238.56900000000002</v>
      </c>
      <c r="AF112" s="29">
        <f t="shared" ref="AF112:AG112" si="595">+AF403+AF404</f>
        <v>243.14400000000001</v>
      </c>
      <c r="AG112" s="29">
        <f t="shared" si="595"/>
        <v>231.53200000000001</v>
      </c>
      <c r="AH112" s="18">
        <f t="shared" ref="AH112" si="596">+AG112+AH105+AH107+AH108</f>
        <v>226.82455393630138</v>
      </c>
      <c r="AI112" s="18">
        <f t="shared" ref="AI112" si="597">+AH112+AI105+AI107+AI108</f>
        <v>231.04155724072854</v>
      </c>
      <c r="AJ112" s="18">
        <f t="shared" ref="AJ112" si="598">+AI112+AJ105+AJ107+AJ108</f>
        <v>238.17470674488109</v>
      </c>
      <c r="AK112" s="18">
        <f t="shared" ref="AK112" si="599">+AJ112+AK105+AK107+AK108</f>
        <v>246.80940510936469</v>
      </c>
      <c r="AL112" s="18">
        <f t="shared" ref="AL112" si="600">+AK112+AL105+AL107+AL108</f>
        <v>256.75186850300508</v>
      </c>
      <c r="AM112" s="18">
        <f t="shared" ref="AM112" si="601">+AL112+AM105+AM107+AM108</f>
        <v>266.79810257211432</v>
      </c>
      <c r="AQ112" s="29">
        <f>+AQ403+AQ404</f>
        <v>10.55</v>
      </c>
      <c r="AR112" s="29">
        <f t="shared" ref="AR112:AV112" si="602">+AR403+AR404</f>
        <v>31.713999999999999</v>
      </c>
      <c r="AS112" s="29">
        <f t="shared" si="602"/>
        <v>37.435000000000002</v>
      </c>
      <c r="AT112" s="29">
        <f t="shared" si="602"/>
        <v>35.530999999999999</v>
      </c>
      <c r="AU112" s="29">
        <f t="shared" si="602"/>
        <v>539.33000000000004</v>
      </c>
      <c r="AV112" s="29">
        <f t="shared" si="602"/>
        <v>237.53899999999999</v>
      </c>
      <c r="AW112" s="18">
        <f>+AE112</f>
        <v>238.56900000000002</v>
      </c>
      <c r="AX112" s="18">
        <f t="shared" ref="AX112:AX113" si="603">+AI112</f>
        <v>231.04155724072854</v>
      </c>
      <c r="AY112" s="18">
        <f>+AM112</f>
        <v>266.79810257211432</v>
      </c>
      <c r="AZ112" s="18"/>
    </row>
    <row r="113" spans="1:52" s="3" customFormat="1" ht="10.15" x14ac:dyDescent="0.2">
      <c r="A113" s="2"/>
      <c r="B113" s="24" t="s">
        <v>60</v>
      </c>
      <c r="S113" s="23">
        <f t="shared" si="591"/>
        <v>-35.530999999999999</v>
      </c>
      <c r="T113" s="23">
        <f>+T111-T112</f>
        <v>-171.86699999999999</v>
      </c>
      <c r="U113" s="23">
        <f>+U111-U112</f>
        <v>-180.75899999999999</v>
      </c>
      <c r="V113" s="23">
        <f t="shared" ref="V113" si="604">+V111-V112</f>
        <v>-188.51</v>
      </c>
      <c r="W113" s="23">
        <f t="shared" ref="W113:X113" si="605">+W111-W112</f>
        <v>-269.66500000000002</v>
      </c>
      <c r="X113" s="23">
        <f t="shared" si="605"/>
        <v>-259.82400000000001</v>
      </c>
      <c r="Y113" s="23">
        <f t="shared" ref="Y113" si="606">+Y111-Y112</f>
        <v>-248.917</v>
      </c>
      <c r="Z113" s="23">
        <f t="shared" ref="Z113:AA113" si="607">+Z111-Z112</f>
        <v>-246.554</v>
      </c>
      <c r="AA113" s="23">
        <f t="shared" si="607"/>
        <v>-237.53899999999999</v>
      </c>
      <c r="AB113" s="23">
        <f t="shared" ref="AB113:AC113" si="608">+AB111-AB112</f>
        <v>-232.30500000000001</v>
      </c>
      <c r="AC113" s="23">
        <f t="shared" si="608"/>
        <v>-223.75</v>
      </c>
      <c r="AD113" s="23">
        <f t="shared" ref="AD113:AE113" si="609">+AD111-AD112</f>
        <v>-230.071</v>
      </c>
      <c r="AE113" s="23">
        <f t="shared" si="609"/>
        <v>-238.56900000000002</v>
      </c>
      <c r="AF113" s="23">
        <f t="shared" ref="AF113:AG113" si="610">+AF111-AF112</f>
        <v>-243.14400000000001</v>
      </c>
      <c r="AG113" s="23">
        <f t="shared" si="610"/>
        <v>-231.53200000000001</v>
      </c>
      <c r="AH113" s="23">
        <f t="shared" ref="AH113:AI113" si="611">+AH111-AH112</f>
        <v>-226.82455393630138</v>
      </c>
      <c r="AI113" s="23">
        <f t="shared" si="611"/>
        <v>-231.04155724072854</v>
      </c>
      <c r="AJ113" s="23">
        <f t="shared" ref="AJ113:AM113" si="612">+AJ111-AJ112</f>
        <v>-238.17470674488109</v>
      </c>
      <c r="AK113" s="23">
        <f t="shared" si="612"/>
        <v>-246.80940510936469</v>
      </c>
      <c r="AL113" s="23">
        <f t="shared" si="612"/>
        <v>-256.75186850300508</v>
      </c>
      <c r="AM113" s="23">
        <f t="shared" si="612"/>
        <v>-266.79810257211432</v>
      </c>
      <c r="AQ113" s="98">
        <f>+AQ111-AQ112</f>
        <v>-10.55</v>
      </c>
      <c r="AR113" s="98">
        <f t="shared" ref="AR113:AV113" si="613">+AR111-AR112</f>
        <v>-31.713999999999999</v>
      </c>
      <c r="AS113" s="98">
        <f t="shared" si="613"/>
        <v>-37.435000000000002</v>
      </c>
      <c r="AT113" s="98">
        <f t="shared" si="613"/>
        <v>-35.530999999999999</v>
      </c>
      <c r="AU113" s="98">
        <f t="shared" si="613"/>
        <v>-539.33000000000004</v>
      </c>
      <c r="AV113" s="98">
        <f t="shared" si="613"/>
        <v>-237.53899999999999</v>
      </c>
      <c r="AW113" s="23">
        <f>+AE113</f>
        <v>-238.56900000000002</v>
      </c>
      <c r="AX113" s="23">
        <f t="shared" si="603"/>
        <v>-231.04155724072854</v>
      </c>
      <c r="AY113" s="23">
        <f>+AM113</f>
        <v>-266.79810257211432</v>
      </c>
      <c r="AZ113" s="23"/>
    </row>
    <row r="115" spans="1:52" ht="10.15" x14ac:dyDescent="0.2">
      <c r="B115" s="9" t="s">
        <v>112</v>
      </c>
      <c r="C115" s="8"/>
    </row>
    <row r="116" spans="1:52" ht="10.15" x14ac:dyDescent="0.2">
      <c r="T116" s="10"/>
      <c r="U116" s="10"/>
      <c r="V116" s="10"/>
    </row>
    <row r="117" spans="1:52" ht="10.15" x14ac:dyDescent="0.2">
      <c r="B117" s="25" t="s">
        <v>392</v>
      </c>
      <c r="V117" s="10"/>
    </row>
    <row r="118" spans="1:52" s="3" customFormat="1" ht="10.15" x14ac:dyDescent="0.2">
      <c r="A118" s="2"/>
      <c r="B118" s="3" t="s">
        <v>116</v>
      </c>
      <c r="D118" s="22">
        <v>24600</v>
      </c>
      <c r="E118" s="22">
        <v>26300</v>
      </c>
      <c r="F118" s="22">
        <v>28300</v>
      </c>
      <c r="G118" s="22">
        <v>30400</v>
      </c>
      <c r="H118" s="22">
        <v>33700</v>
      </c>
      <c r="I118" s="22">
        <v>36400</v>
      </c>
      <c r="J118" s="22">
        <v>39600</v>
      </c>
      <c r="K118" s="22">
        <v>42200</v>
      </c>
      <c r="L118" s="22">
        <v>46600</v>
      </c>
      <c r="M118" s="22">
        <v>49700</v>
      </c>
      <c r="N118" s="22">
        <v>52200</v>
      </c>
      <c r="O118" s="23">
        <f t="shared" ref="O118:X118" si="614">+O229</f>
        <v>54228.329809725154</v>
      </c>
      <c r="P118" s="23">
        <f t="shared" si="614"/>
        <v>56385.169927909374</v>
      </c>
      <c r="Q118" s="23">
        <f t="shared" si="614"/>
        <v>59262.948207171321</v>
      </c>
      <c r="R118" s="23">
        <f t="shared" si="614"/>
        <v>64221.057646498339</v>
      </c>
      <c r="S118" s="23">
        <f t="shared" si="614"/>
        <v>67922.750824305229</v>
      </c>
      <c r="T118" s="23">
        <f t="shared" si="614"/>
        <v>73702.726473175018</v>
      </c>
      <c r="U118" s="23">
        <f t="shared" si="614"/>
        <v>79965.971926839644</v>
      </c>
      <c r="V118" s="23">
        <f t="shared" si="614"/>
        <v>80120.96774193547</v>
      </c>
      <c r="W118" s="23">
        <f t="shared" si="614"/>
        <v>82430.340557275529</v>
      </c>
      <c r="X118" s="23">
        <f t="shared" si="614"/>
        <v>87830.294008187571</v>
      </c>
      <c r="Y118" s="23">
        <f t="shared" ref="Y118:AC118" si="615">+Y229</f>
        <v>91224.928366762178</v>
      </c>
      <c r="Z118" s="23">
        <f t="shared" si="615"/>
        <v>93987.341772151907</v>
      </c>
      <c r="AA118" s="23">
        <f t="shared" si="615"/>
        <v>95920.502092050214</v>
      </c>
      <c r="AB118" s="23">
        <f t="shared" si="615"/>
        <v>101700.79833391184</v>
      </c>
      <c r="AC118" s="23">
        <f t="shared" si="615"/>
        <v>104132.23140495867</v>
      </c>
      <c r="AD118" s="23">
        <f>+AD229</f>
        <v>106816.67769688947</v>
      </c>
      <c r="AE118" s="23">
        <f>+AE229</f>
        <v>107872.00000000001</v>
      </c>
      <c r="AF118" s="23">
        <f>+AF229</f>
        <v>111982.29528928232</v>
      </c>
      <c r="AG118" s="23">
        <f>+AG229</f>
        <v>116108.20780817706</v>
      </c>
      <c r="AH118" s="23">
        <f t="shared" ref="AH118" si="616">+AG118+AH123</f>
        <v>118083.20780817706</v>
      </c>
      <c r="AI118" s="23">
        <f t="shared" ref="AI118" si="617">+AH118+AI123</f>
        <v>119083.20780817706</v>
      </c>
      <c r="AJ118" s="23">
        <f t="shared" ref="AJ118" si="618">+AI118+AJ123</f>
        <v>123083.20780817706</v>
      </c>
      <c r="AK118" s="23">
        <f t="shared" ref="AK118" si="619">+AJ118+AK123</f>
        <v>124583.20780817706</v>
      </c>
      <c r="AL118" s="23">
        <f t="shared" ref="AL118" si="620">+AK118+AL123</f>
        <v>126083.20780817706</v>
      </c>
      <c r="AM118" s="23">
        <f t="shared" ref="AM118" si="621">+AL118+AM123</f>
        <v>127583.20780817706</v>
      </c>
      <c r="AQ118" s="23">
        <f>+G118</f>
        <v>30400</v>
      </c>
      <c r="AR118" s="23">
        <f>+K118</f>
        <v>42200</v>
      </c>
      <c r="AS118" s="23">
        <f>+O118</f>
        <v>54228.329809725154</v>
      </c>
      <c r="AT118" s="23">
        <f>+S118</f>
        <v>67922.750824305229</v>
      </c>
      <c r="AU118" s="23">
        <f>+W118</f>
        <v>82430.340557275529</v>
      </c>
      <c r="AV118" s="23">
        <f>+AA118</f>
        <v>95920.502092050214</v>
      </c>
      <c r="AW118" s="23">
        <f>+AE118</f>
        <v>107872.00000000001</v>
      </c>
      <c r="AX118" s="23">
        <f>+AI118</f>
        <v>119083.20780817706</v>
      </c>
      <c r="AY118" s="23">
        <f>+AM118</f>
        <v>127583.20780817706</v>
      </c>
      <c r="AZ118" s="23"/>
    </row>
    <row r="119" spans="1:52" ht="10.15" x14ac:dyDescent="0.2">
      <c r="B119" s="13" t="s">
        <v>18</v>
      </c>
      <c r="H119" s="15">
        <f t="shared" ref="H119:K119" si="622">IFERROR(H118/D118-1,"n/a")</f>
        <v>0.36991869918699183</v>
      </c>
      <c r="I119" s="15">
        <f t="shared" si="622"/>
        <v>0.38403041825095063</v>
      </c>
      <c r="J119" s="15">
        <f t="shared" si="622"/>
        <v>0.39929328621908122</v>
      </c>
      <c r="K119" s="15">
        <f t="shared" si="622"/>
        <v>0.38815789473684204</v>
      </c>
      <c r="L119" s="15">
        <f>IFERROR(L118/H118-1,"n/a")</f>
        <v>0.3827893175074184</v>
      </c>
      <c r="M119" s="15">
        <f t="shared" ref="M119:S119" si="623">IFERROR(M118/I118-1,"n/a")</f>
        <v>0.36538461538461542</v>
      </c>
      <c r="N119" s="15">
        <f t="shared" si="623"/>
        <v>0.31818181818181812</v>
      </c>
      <c r="O119" s="15">
        <f t="shared" si="623"/>
        <v>0.28503151207879518</v>
      </c>
      <c r="P119" s="15">
        <f t="shared" si="623"/>
        <v>0.20998218729419249</v>
      </c>
      <c r="Q119" s="15">
        <f t="shared" si="623"/>
        <v>0.19241344481230027</v>
      </c>
      <c r="R119" s="15">
        <f t="shared" si="623"/>
        <v>0.23028846066088771</v>
      </c>
      <c r="S119" s="15">
        <f t="shared" si="623"/>
        <v>0.25253259804664241</v>
      </c>
      <c r="T119" s="15">
        <f t="shared" ref="T119" si="624">IFERROR(T118/P118-1,"n/a")</f>
        <v>0.30712963297630935</v>
      </c>
      <c r="U119" s="15">
        <f t="shared" ref="U119" si="625">IFERROR(U118/Q118-1,"n/a")</f>
        <v>0.34934177839574776</v>
      </c>
      <c r="V119" s="15">
        <f t="shared" ref="V119:AC119" si="626">IFERROR(V118/R118-1,"n/a")</f>
        <v>0.24758094429022659</v>
      </c>
      <c r="W119" s="15">
        <f t="shared" si="626"/>
        <v>0.21358954925864038</v>
      </c>
      <c r="X119" s="15">
        <f t="shared" si="626"/>
        <v>0.19168310605381</v>
      </c>
      <c r="Y119" s="15">
        <f t="shared" si="626"/>
        <v>0.14079684356520139</v>
      </c>
      <c r="Z119" s="15">
        <f t="shared" si="626"/>
        <v>0.17306797984366762</v>
      </c>
      <c r="AA119" s="15">
        <f t="shared" si="626"/>
        <v>0.16365529298524795</v>
      </c>
      <c r="AB119" s="15">
        <f t="shared" si="626"/>
        <v>0.15792392001364863</v>
      </c>
      <c r="AC119" s="15">
        <f t="shared" si="626"/>
        <v>0.14148877142773708</v>
      </c>
      <c r="AD119" s="15">
        <f>IFERROR(AD118/Z118-1,"n/a")</f>
        <v>0.13650067852582715</v>
      </c>
      <c r="AE119" s="15">
        <f t="shared" ref="AE119:AG119" si="627">IFERROR(AE118/AA118-1,"n/a")</f>
        <v>0.12459794983642314</v>
      </c>
      <c r="AF119" s="15">
        <f t="shared" si="627"/>
        <v>0.1010955383222607</v>
      </c>
      <c r="AG119" s="15">
        <f t="shared" si="627"/>
        <v>0.11500739244360525</v>
      </c>
      <c r="AH119" s="15">
        <f t="shared" ref="AH119" si="628">IFERROR(AH118/AD118-1,"n/a")</f>
        <v>0.10547538412735791</v>
      </c>
      <c r="AI119" s="15">
        <f t="shared" ref="AI119" si="629">IFERROR(AI118/AE118-1,"n/a")</f>
        <v>0.10393065678004532</v>
      </c>
      <c r="AJ119" s="15">
        <f t="shared" ref="AJ119" si="630">IFERROR(AJ118/AF118-1,"n/a")</f>
        <v>9.9130960748910368E-2</v>
      </c>
      <c r="AK119" s="15">
        <f t="shared" ref="AK119" si="631">IFERROR(AK118/AG118-1,"n/a")</f>
        <v>7.2992255758538516E-2</v>
      </c>
      <c r="AL119" s="15">
        <f t="shared" ref="AL119" si="632">IFERROR(AL118/AH118-1,"n/a")</f>
        <v>6.7748837014961261E-2</v>
      </c>
      <c r="AM119" s="15">
        <f t="shared" ref="AM119" si="633">IFERROR(AM118/AI118-1,"n/a")</f>
        <v>7.1378661663969112E-2</v>
      </c>
      <c r="AR119" s="15">
        <f>IFERROR(AR118/AQ118-1,"n/a")</f>
        <v>0.38815789473684204</v>
      </c>
      <c r="AS119" s="15">
        <f t="shared" ref="AS119:AY119" si="634">IFERROR(AS118/AR118-1,"n/a")</f>
        <v>0.28503151207879518</v>
      </c>
      <c r="AT119" s="15">
        <f t="shared" si="634"/>
        <v>0.25253259804664241</v>
      </c>
      <c r="AU119" s="15">
        <f t="shared" si="634"/>
        <v>0.21358954925864038</v>
      </c>
      <c r="AV119" s="15">
        <f t="shared" si="634"/>
        <v>0.16365529298524795</v>
      </c>
      <c r="AW119" s="15">
        <f t="shared" si="634"/>
        <v>0.12459794983642314</v>
      </c>
      <c r="AX119" s="15">
        <f t="shared" si="634"/>
        <v>0.10393065678004532</v>
      </c>
      <c r="AY119" s="15">
        <f t="shared" si="634"/>
        <v>7.1378661663969112E-2</v>
      </c>
      <c r="AZ119" s="15"/>
    </row>
    <row r="120" spans="1:52" ht="10.15" x14ac:dyDescent="0.2">
      <c r="B120" s="13" t="s">
        <v>383</v>
      </c>
      <c r="H120" s="15"/>
      <c r="I120" s="15"/>
      <c r="J120" s="15"/>
      <c r="K120" s="15"/>
      <c r="L120" s="15">
        <f>+L119</f>
        <v>0.3827893175074184</v>
      </c>
      <c r="M120" s="15">
        <f t="shared" ref="M120:AE120" si="635">+M119</f>
        <v>0.36538461538461542</v>
      </c>
      <c r="N120" s="15">
        <f t="shared" si="635"/>
        <v>0.31818181818181812</v>
      </c>
      <c r="O120" s="15">
        <f t="shared" si="635"/>
        <v>0.28503151207879518</v>
      </c>
      <c r="P120" s="15">
        <f t="shared" si="635"/>
        <v>0.20998218729419249</v>
      </c>
      <c r="Q120" s="15">
        <f t="shared" si="635"/>
        <v>0.19241344481230027</v>
      </c>
      <c r="R120" s="15">
        <f t="shared" si="635"/>
        <v>0.23028846066088771</v>
      </c>
      <c r="S120" s="15">
        <f t="shared" si="635"/>
        <v>0.25253259804664241</v>
      </c>
      <c r="T120" s="15">
        <f t="shared" si="635"/>
        <v>0.30712963297630935</v>
      </c>
      <c r="U120" s="15">
        <f t="shared" si="635"/>
        <v>0.34934177839574776</v>
      </c>
      <c r="V120" s="15">
        <f t="shared" si="635"/>
        <v>0.24758094429022659</v>
      </c>
      <c r="W120" s="15">
        <f t="shared" si="635"/>
        <v>0.21358954925864038</v>
      </c>
      <c r="X120" s="15">
        <f t="shared" si="635"/>
        <v>0.19168310605381</v>
      </c>
      <c r="Y120" s="15">
        <f t="shared" si="635"/>
        <v>0.14079684356520139</v>
      </c>
      <c r="Z120" s="15">
        <f t="shared" si="635"/>
        <v>0.17306797984366762</v>
      </c>
      <c r="AA120" s="15">
        <f t="shared" si="635"/>
        <v>0.16365529298524795</v>
      </c>
      <c r="AB120" s="15">
        <f t="shared" si="635"/>
        <v>0.15792392001364863</v>
      </c>
      <c r="AC120" s="15">
        <f t="shared" si="635"/>
        <v>0.14148877142773708</v>
      </c>
      <c r="AD120" s="15">
        <f t="shared" si="635"/>
        <v>0.13650067852582715</v>
      </c>
      <c r="AE120" s="15">
        <f t="shared" si="635"/>
        <v>0.12459794983642314</v>
      </c>
      <c r="AF120" s="15">
        <f>+AF129</f>
        <v>0.1010955383222607</v>
      </c>
      <c r="AG120" s="15">
        <f>+AG129</f>
        <v>8.5290998706327462E-2</v>
      </c>
      <c r="AH120" s="15">
        <f>+AH129</f>
        <v>6.7375461866226866E-2</v>
      </c>
      <c r="AI120" s="15">
        <f>+AI129</f>
        <v>6.6203469776524679E-2</v>
      </c>
      <c r="AJ120" s="15">
        <f t="shared" ref="AJ120:AM120" si="636">+AJ129</f>
        <v>6.2788545138205698E-2</v>
      </c>
      <c r="AK120" s="15">
        <f t="shared" si="636"/>
        <v>6.4592567694418596E-2</v>
      </c>
      <c r="AL120" s="15">
        <f t="shared" si="636"/>
        <v>6.7748837014961483E-2</v>
      </c>
      <c r="AM120" s="15">
        <f t="shared" si="636"/>
        <v>7.1378661663969112E-2</v>
      </c>
      <c r="AR120" s="15">
        <f t="shared" ref="AR120" si="637">+AR119</f>
        <v>0.38815789473684204</v>
      </c>
      <c r="AS120" s="15">
        <f t="shared" ref="AS120" si="638">+AS119</f>
        <v>0.28503151207879518</v>
      </c>
      <c r="AT120" s="15">
        <f t="shared" ref="AT120" si="639">+AT119</f>
        <v>0.25253259804664241</v>
      </c>
      <c r="AU120" s="15">
        <f t="shared" ref="AU120" si="640">+AU119</f>
        <v>0.21358954925864038</v>
      </c>
      <c r="AV120" s="15">
        <f t="shared" ref="AV120" si="641">+AV119</f>
        <v>0.16365529298524795</v>
      </c>
      <c r="AW120" s="15">
        <f t="shared" ref="AW120" si="642">+AW119</f>
        <v>0.12459794983642314</v>
      </c>
      <c r="AX120" s="15">
        <f>+AX129</f>
        <v>6.6203469776524679E-2</v>
      </c>
      <c r="AY120" s="15">
        <f>+AY129</f>
        <v>7.1378661663969112E-2</v>
      </c>
      <c r="AZ120" s="15"/>
    </row>
    <row r="121" spans="1:52" ht="10.15" x14ac:dyDescent="0.2">
      <c r="B121" s="13" t="s">
        <v>214</v>
      </c>
      <c r="E121" s="15">
        <f>+IFERROR(E118/D118-1,"n/a")</f>
        <v>6.9105691056910556E-2</v>
      </c>
      <c r="F121" s="15">
        <f t="shared" ref="F121:AC121" si="643">+IFERROR(F118/E118-1,"n/a")</f>
        <v>7.6045627376425839E-2</v>
      </c>
      <c r="G121" s="15">
        <f t="shared" si="643"/>
        <v>7.4204946996466514E-2</v>
      </c>
      <c r="H121" s="15">
        <f t="shared" si="643"/>
        <v>0.10855263157894735</v>
      </c>
      <c r="I121" s="15">
        <f t="shared" si="643"/>
        <v>8.0118694362017795E-2</v>
      </c>
      <c r="J121" s="15">
        <f t="shared" si="643"/>
        <v>8.7912087912087822E-2</v>
      </c>
      <c r="K121" s="15">
        <f t="shared" si="643"/>
        <v>6.5656565656565746E-2</v>
      </c>
      <c r="L121" s="15">
        <f t="shared" si="643"/>
        <v>0.10426540284360186</v>
      </c>
      <c r="M121" s="15">
        <f t="shared" si="643"/>
        <v>6.6523605150214493E-2</v>
      </c>
      <c r="N121" s="15">
        <f t="shared" si="643"/>
        <v>5.0301810865191143E-2</v>
      </c>
      <c r="O121" s="15">
        <f t="shared" si="643"/>
        <v>3.8856892906612206E-2</v>
      </c>
      <c r="P121" s="15">
        <f t="shared" si="643"/>
        <v>3.9773309001993606E-2</v>
      </c>
      <c r="Q121" s="15">
        <f t="shared" si="643"/>
        <v>5.1037857701613731E-2</v>
      </c>
      <c r="R121" s="15">
        <f t="shared" si="643"/>
        <v>8.3662888690492876E-2</v>
      </c>
      <c r="S121" s="15">
        <f t="shared" si="643"/>
        <v>5.7639866322082067E-2</v>
      </c>
      <c r="T121" s="15">
        <f t="shared" si="643"/>
        <v>8.5096312777743099E-2</v>
      </c>
      <c r="U121" s="15">
        <f t="shared" si="643"/>
        <v>8.4979833899960333E-2</v>
      </c>
      <c r="V121" s="15">
        <f t="shared" si="643"/>
        <v>1.9382721345229115E-3</v>
      </c>
      <c r="W121" s="15">
        <f t="shared" si="643"/>
        <v>2.8823576155225794E-2</v>
      </c>
      <c r="X121" s="15">
        <f t="shared" si="643"/>
        <v>6.5509294446745248E-2</v>
      </c>
      <c r="Y121" s="15">
        <f t="shared" si="643"/>
        <v>3.8649925938516905E-2</v>
      </c>
      <c r="Z121" s="15">
        <f t="shared" si="643"/>
        <v>3.0281343650758297E-2</v>
      </c>
      <c r="AA121" s="15">
        <f t="shared" si="643"/>
        <v>2.0568305087133476E-2</v>
      </c>
      <c r="AB121" s="15">
        <f t="shared" si="643"/>
        <v>6.0261321779931487E-2</v>
      </c>
      <c r="AC121" s="15">
        <f t="shared" si="643"/>
        <v>2.3907708797562988E-2</v>
      </c>
      <c r="AD121" s="15">
        <f>+IFERROR(AD118/AC118-1,"n/a")</f>
        <v>2.5779206454256132E-2</v>
      </c>
      <c r="AE121" s="15">
        <f t="shared" ref="AE121:AG121" si="644">+IFERROR(AE118/AD118-1,"n/a")</f>
        <v>9.8797521685256573E-3</v>
      </c>
      <c r="AF121" s="15">
        <f t="shared" si="644"/>
        <v>3.810344935926202E-2</v>
      </c>
      <c r="AG121" s="15">
        <f t="shared" si="644"/>
        <v>3.6844328902496004E-2</v>
      </c>
      <c r="AH121" s="15">
        <f t="shared" ref="AH121" si="645">+IFERROR(AH118/AG118-1,"n/a")</f>
        <v>1.7009994704792142E-2</v>
      </c>
      <c r="AI121" s="15">
        <f t="shared" ref="AI121" si="646">+IFERROR(AI118/AH118-1,"n/a")</f>
        <v>8.4686046268702686E-3</v>
      </c>
      <c r="AJ121" s="15">
        <f t="shared" ref="AJ121" si="647">+IFERROR(AJ118/AI118-1,"n/a")</f>
        <v>3.3589958430103151E-2</v>
      </c>
      <c r="AK121" s="15">
        <f t="shared" ref="AK121" si="648">+IFERROR(AK118/AJ118-1,"n/a")</f>
        <v>1.2186877696084508E-2</v>
      </c>
      <c r="AL121" s="15">
        <f t="shared" ref="AL121" si="649">+IFERROR(AL118/AK118-1,"n/a")</f>
        <v>1.2040145910431121E-2</v>
      </c>
      <c r="AM121" s="15">
        <f t="shared" ref="AM121" si="650">+IFERROR(AM118/AL118-1,"n/a")</f>
        <v>1.1896905433133487E-2</v>
      </c>
      <c r="AN121" s="15"/>
      <c r="AR121" s="15">
        <f>+IFERROR(AR118/AQ118-1,"n/a")</f>
        <v>0.38815789473684204</v>
      </c>
      <c r="AS121" s="15">
        <f t="shared" ref="AS121:AU121" si="651">+IFERROR(AS118/AR118-1,"n/a")</f>
        <v>0.28503151207879518</v>
      </c>
      <c r="AT121" s="15">
        <f t="shared" si="651"/>
        <v>0.25253259804664241</v>
      </c>
      <c r="AU121" s="15">
        <f t="shared" si="651"/>
        <v>0.21358954925864038</v>
      </c>
      <c r="AV121" s="15">
        <f t="shared" ref="AV121:AY121" si="652">+IFERROR(AV118/AU118-1,"n/a")</f>
        <v>0.16365529298524795</v>
      </c>
      <c r="AW121" s="15">
        <f t="shared" si="652"/>
        <v>0.12459794983642314</v>
      </c>
      <c r="AX121" s="15">
        <f t="shared" si="652"/>
        <v>0.10393065678004532</v>
      </c>
      <c r="AY121" s="15">
        <f t="shared" si="652"/>
        <v>7.1378661663969112E-2</v>
      </c>
      <c r="AZ121" s="15"/>
    </row>
    <row r="122" spans="1:52" ht="10.15" x14ac:dyDescent="0.2">
      <c r="B122" s="13" t="s">
        <v>384</v>
      </c>
      <c r="E122" s="15"/>
      <c r="F122" s="15"/>
      <c r="G122" s="15"/>
      <c r="H122" s="15"/>
      <c r="I122" s="15"/>
      <c r="J122" s="15"/>
      <c r="K122" s="15"/>
      <c r="L122" s="15">
        <f>+L121</f>
        <v>0.10426540284360186</v>
      </c>
      <c r="M122" s="15">
        <f t="shared" ref="M122:AE122" si="653">+M121</f>
        <v>6.6523605150214493E-2</v>
      </c>
      <c r="N122" s="15">
        <f t="shared" si="653"/>
        <v>5.0301810865191143E-2</v>
      </c>
      <c r="O122" s="15">
        <f t="shared" si="653"/>
        <v>3.8856892906612206E-2</v>
      </c>
      <c r="P122" s="15">
        <f t="shared" si="653"/>
        <v>3.9773309001993606E-2</v>
      </c>
      <c r="Q122" s="15">
        <f t="shared" si="653"/>
        <v>5.1037857701613731E-2</v>
      </c>
      <c r="R122" s="15">
        <f t="shared" si="653"/>
        <v>8.3662888690492876E-2</v>
      </c>
      <c r="S122" s="15">
        <f t="shared" si="653"/>
        <v>5.7639866322082067E-2</v>
      </c>
      <c r="T122" s="15">
        <f t="shared" si="653"/>
        <v>8.5096312777743099E-2</v>
      </c>
      <c r="U122" s="15">
        <f t="shared" si="653"/>
        <v>8.4979833899960333E-2</v>
      </c>
      <c r="V122" s="15">
        <f t="shared" si="653"/>
        <v>1.9382721345229115E-3</v>
      </c>
      <c r="W122" s="15">
        <f t="shared" si="653"/>
        <v>2.8823576155225794E-2</v>
      </c>
      <c r="X122" s="15">
        <f t="shared" si="653"/>
        <v>6.5509294446745248E-2</v>
      </c>
      <c r="Y122" s="15">
        <f t="shared" si="653"/>
        <v>3.8649925938516905E-2</v>
      </c>
      <c r="Z122" s="15">
        <f t="shared" si="653"/>
        <v>3.0281343650758297E-2</v>
      </c>
      <c r="AA122" s="15">
        <f t="shared" si="653"/>
        <v>2.0568305087133476E-2</v>
      </c>
      <c r="AB122" s="15">
        <f t="shared" si="653"/>
        <v>6.0261321779931487E-2</v>
      </c>
      <c r="AC122" s="15">
        <f t="shared" si="653"/>
        <v>2.3907708797562988E-2</v>
      </c>
      <c r="AD122" s="15">
        <f t="shared" si="653"/>
        <v>2.5779206454256132E-2</v>
      </c>
      <c r="AE122" s="15">
        <f t="shared" si="653"/>
        <v>9.8797521685256573E-3</v>
      </c>
      <c r="AF122" s="15">
        <f>+AF131</f>
        <v>3.810344935926202E-2</v>
      </c>
      <c r="AG122" s="15">
        <f>+AG131</f>
        <v>9.2110822256238484E-3</v>
      </c>
      <c r="AH122" s="15">
        <f>+AH131</f>
        <v>8.6103066406722165E-3</v>
      </c>
      <c r="AI122" s="15">
        <f>+AI131</f>
        <v>8.4686046268702686E-3</v>
      </c>
      <c r="AJ122" s="15">
        <f t="shared" ref="AJ122:AM122" si="654">+AJ131</f>
        <v>3.3589958430103151E-2</v>
      </c>
      <c r="AK122" s="15">
        <f t="shared" si="654"/>
        <v>1.2186877696084286E-2</v>
      </c>
      <c r="AL122" s="15">
        <f t="shared" si="654"/>
        <v>1.2040145910431121E-2</v>
      </c>
      <c r="AM122" s="15">
        <f t="shared" si="654"/>
        <v>1.1896905433133265E-2</v>
      </c>
      <c r="AN122" s="15"/>
      <c r="AR122" s="15">
        <f t="shared" ref="AR122:AW122" si="655">+AR120</f>
        <v>0.38815789473684204</v>
      </c>
      <c r="AS122" s="15">
        <f t="shared" si="655"/>
        <v>0.28503151207879518</v>
      </c>
      <c r="AT122" s="15">
        <f t="shared" si="655"/>
        <v>0.25253259804664241</v>
      </c>
      <c r="AU122" s="15">
        <f t="shared" si="655"/>
        <v>0.21358954925864038</v>
      </c>
      <c r="AV122" s="15">
        <f t="shared" si="655"/>
        <v>0.16365529298524795</v>
      </c>
      <c r="AW122" s="15">
        <f t="shared" si="655"/>
        <v>0.12459794983642314</v>
      </c>
      <c r="AX122" s="15">
        <f>+AX120</f>
        <v>6.6203469776524679E-2</v>
      </c>
      <c r="AY122" s="15">
        <f>+AY120</f>
        <v>7.1378661663969112E-2</v>
      </c>
      <c r="AZ122" s="15"/>
    </row>
    <row r="123" spans="1:52" ht="10.15" x14ac:dyDescent="0.2">
      <c r="B123" s="13" t="s">
        <v>117</v>
      </c>
      <c r="E123" s="14">
        <f t="shared" ref="E123:AC123" si="656">+E118-D118</f>
        <v>1700</v>
      </c>
      <c r="F123" s="14">
        <f t="shared" si="656"/>
        <v>2000</v>
      </c>
      <c r="G123" s="14">
        <f t="shared" si="656"/>
        <v>2100</v>
      </c>
      <c r="H123" s="14">
        <f t="shared" si="656"/>
        <v>3300</v>
      </c>
      <c r="I123" s="14">
        <f t="shared" si="656"/>
        <v>2700</v>
      </c>
      <c r="J123" s="14">
        <f t="shared" si="656"/>
        <v>3200</v>
      </c>
      <c r="K123" s="14">
        <f t="shared" si="656"/>
        <v>2600</v>
      </c>
      <c r="L123" s="14">
        <f t="shared" si="656"/>
        <v>4400</v>
      </c>
      <c r="M123" s="14">
        <f t="shared" si="656"/>
        <v>3100</v>
      </c>
      <c r="N123" s="14">
        <f t="shared" si="656"/>
        <v>2500</v>
      </c>
      <c r="O123" s="14">
        <f t="shared" si="656"/>
        <v>2028.3298097251536</v>
      </c>
      <c r="P123" s="14">
        <f t="shared" si="656"/>
        <v>2156.84011818422</v>
      </c>
      <c r="Q123" s="14">
        <f t="shared" si="656"/>
        <v>2877.7782792619473</v>
      </c>
      <c r="R123" s="14">
        <f t="shared" si="656"/>
        <v>4958.1094393270178</v>
      </c>
      <c r="S123" s="14">
        <f t="shared" si="656"/>
        <v>3701.6931778068902</v>
      </c>
      <c r="T123" s="14">
        <f t="shared" si="656"/>
        <v>5779.9756488697894</v>
      </c>
      <c r="U123" s="14">
        <f t="shared" si="656"/>
        <v>6263.2454536646255</v>
      </c>
      <c r="V123" s="14">
        <f t="shared" si="656"/>
        <v>154.9958150958264</v>
      </c>
      <c r="W123" s="14">
        <f t="shared" si="656"/>
        <v>2309.3728153400589</v>
      </c>
      <c r="X123" s="14">
        <f t="shared" si="656"/>
        <v>5399.9534509120422</v>
      </c>
      <c r="Y123" s="14">
        <f t="shared" si="656"/>
        <v>3394.6343585746072</v>
      </c>
      <c r="Z123" s="14">
        <f t="shared" si="656"/>
        <v>2762.4134053897287</v>
      </c>
      <c r="AA123" s="14">
        <f t="shared" si="656"/>
        <v>1933.1603198983066</v>
      </c>
      <c r="AB123" s="14">
        <f t="shared" si="656"/>
        <v>5780.2962418616225</v>
      </c>
      <c r="AC123" s="14">
        <f t="shared" si="656"/>
        <v>2431.4330710468348</v>
      </c>
      <c r="AD123" s="14">
        <f>+AD118-AC118</f>
        <v>2684.4462919307989</v>
      </c>
      <c r="AE123" s="14">
        <f>+AE118-AD118</f>
        <v>1055.3223031105445</v>
      </c>
      <c r="AF123" s="14">
        <f>+AF118-AE118</f>
        <v>4110.2952892823087</v>
      </c>
      <c r="AG123" s="14">
        <f>+AG118-AF118</f>
        <v>4125.9125188947364</v>
      </c>
      <c r="AH123" s="144">
        <v>1975</v>
      </c>
      <c r="AI123" s="144">
        <v>1000</v>
      </c>
      <c r="AJ123" s="144">
        <v>4000</v>
      </c>
      <c r="AK123" s="144">
        <v>1500</v>
      </c>
      <c r="AL123" s="144">
        <v>1500</v>
      </c>
      <c r="AM123" s="144">
        <v>1500</v>
      </c>
      <c r="AR123" s="14">
        <f t="shared" ref="AR123:AU123" si="657">+AR118-AQ118</f>
        <v>11800</v>
      </c>
      <c r="AS123" s="14">
        <f t="shared" si="657"/>
        <v>12028.329809725154</v>
      </c>
      <c r="AT123" s="14">
        <f t="shared" si="657"/>
        <v>13694.421014580075</v>
      </c>
      <c r="AU123" s="14">
        <f t="shared" si="657"/>
        <v>14507.5897329703</v>
      </c>
      <c r="AV123" s="14">
        <f t="shared" ref="AV123:AY123" si="658">+AV118-AU118</f>
        <v>13490.161534774685</v>
      </c>
      <c r="AW123" s="14">
        <f t="shared" si="658"/>
        <v>11951.497907949801</v>
      </c>
      <c r="AX123" s="14">
        <f t="shared" si="658"/>
        <v>11211.207808177045</v>
      </c>
      <c r="AY123" s="14">
        <f t="shared" si="658"/>
        <v>8500</v>
      </c>
      <c r="AZ123" s="14"/>
    </row>
    <row r="124" spans="1:52" ht="10.15" x14ac:dyDescent="0.2">
      <c r="B124" s="13" t="s">
        <v>385</v>
      </c>
      <c r="E124" s="14"/>
      <c r="F124" s="14"/>
      <c r="G124" s="14"/>
      <c r="H124" s="14"/>
      <c r="I124" s="14"/>
      <c r="J124" s="14"/>
      <c r="K124" s="14"/>
      <c r="L124" s="14">
        <f>+L123</f>
        <v>4400</v>
      </c>
      <c r="M124" s="14">
        <f t="shared" ref="M124:AE124" si="659">+M123</f>
        <v>3100</v>
      </c>
      <c r="N124" s="14">
        <f t="shared" si="659"/>
        <v>2500</v>
      </c>
      <c r="O124" s="14">
        <f t="shared" si="659"/>
        <v>2028.3298097251536</v>
      </c>
      <c r="P124" s="14">
        <f t="shared" si="659"/>
        <v>2156.84011818422</v>
      </c>
      <c r="Q124" s="14">
        <f t="shared" si="659"/>
        <v>2877.7782792619473</v>
      </c>
      <c r="R124" s="14">
        <f t="shared" si="659"/>
        <v>4958.1094393270178</v>
      </c>
      <c r="S124" s="14">
        <f t="shared" si="659"/>
        <v>3701.6931778068902</v>
      </c>
      <c r="T124" s="14">
        <f t="shared" si="659"/>
        <v>5779.9756488697894</v>
      </c>
      <c r="U124" s="14">
        <f t="shared" si="659"/>
        <v>6263.2454536646255</v>
      </c>
      <c r="V124" s="14">
        <f t="shared" si="659"/>
        <v>154.9958150958264</v>
      </c>
      <c r="W124" s="14">
        <f t="shared" si="659"/>
        <v>2309.3728153400589</v>
      </c>
      <c r="X124" s="14">
        <f t="shared" si="659"/>
        <v>5399.9534509120422</v>
      </c>
      <c r="Y124" s="14">
        <f t="shared" si="659"/>
        <v>3394.6343585746072</v>
      </c>
      <c r="Z124" s="14">
        <f t="shared" si="659"/>
        <v>2762.4134053897287</v>
      </c>
      <c r="AA124" s="14">
        <f t="shared" si="659"/>
        <v>1933.1603198983066</v>
      </c>
      <c r="AB124" s="14">
        <f t="shared" si="659"/>
        <v>5780.2962418616225</v>
      </c>
      <c r="AC124" s="14">
        <f t="shared" si="659"/>
        <v>2431.4330710468348</v>
      </c>
      <c r="AD124" s="14">
        <f t="shared" si="659"/>
        <v>2684.4462919307989</v>
      </c>
      <c r="AE124" s="14">
        <f t="shared" si="659"/>
        <v>1055.3223031105445</v>
      </c>
      <c r="AF124" s="14">
        <f>+AF133</f>
        <v>4110.2952892823087</v>
      </c>
      <c r="AG124" s="14">
        <f>+AG133</f>
        <v>1031.4781297236696</v>
      </c>
      <c r="AH124" s="14">
        <f>+AH133</f>
        <v>999.72727272728821</v>
      </c>
      <c r="AI124" s="14">
        <f>+AI133</f>
        <v>1000.0000000000146</v>
      </c>
      <c r="AJ124" s="14">
        <f t="shared" ref="AJ124:AM124" si="660">+AJ133</f>
        <v>4000</v>
      </c>
      <c r="AK124" s="14">
        <f t="shared" si="660"/>
        <v>1499.9999999999854</v>
      </c>
      <c r="AL124" s="14">
        <f t="shared" si="660"/>
        <v>1500.0000000000146</v>
      </c>
      <c r="AM124" s="14">
        <f t="shared" si="660"/>
        <v>1499.9999999999854</v>
      </c>
      <c r="AR124" s="14"/>
      <c r="AS124" s="14"/>
      <c r="AT124" s="14"/>
      <c r="AU124" s="14"/>
      <c r="AV124" s="14"/>
      <c r="AW124" s="14"/>
      <c r="AX124" s="14"/>
      <c r="AY124" s="14"/>
      <c r="AZ124" s="14"/>
    </row>
    <row r="125" spans="1:52" ht="10.15" x14ac:dyDescent="0.2">
      <c r="B125" s="20"/>
      <c r="H125" s="160"/>
      <c r="I125" s="160"/>
      <c r="J125" s="160"/>
      <c r="K125" s="160"/>
      <c r="L125" s="160"/>
      <c r="M125" s="160"/>
      <c r="N125" s="160"/>
      <c r="O125" s="160"/>
      <c r="P125" s="160"/>
      <c r="Q125" s="160"/>
      <c r="R125" s="160"/>
      <c r="S125" s="160"/>
      <c r="T125" s="131"/>
      <c r="U125" s="131"/>
      <c r="V125" s="160"/>
      <c r="W125" s="160"/>
      <c r="X125" s="160"/>
      <c r="Y125" s="160"/>
      <c r="Z125" s="160"/>
      <c r="AA125" s="160"/>
      <c r="AB125" s="160"/>
      <c r="AC125" s="160"/>
      <c r="AD125" s="160"/>
      <c r="AE125" s="160"/>
      <c r="AF125" s="160"/>
      <c r="AG125" s="160"/>
      <c r="AH125" s="160"/>
      <c r="AI125" s="160"/>
      <c r="AJ125" s="160"/>
      <c r="AK125" s="160"/>
      <c r="AL125" s="160"/>
      <c r="AM125" s="160"/>
      <c r="AR125" s="15"/>
      <c r="AS125" s="15"/>
      <c r="AT125" s="15"/>
      <c r="AU125" s="15"/>
      <c r="AV125" s="15"/>
      <c r="AW125" s="15"/>
    </row>
    <row r="126" spans="1:52" ht="10.15" x14ac:dyDescent="0.2">
      <c r="B126" s="19" t="s">
        <v>35</v>
      </c>
      <c r="H126" s="160"/>
      <c r="I126" s="160"/>
      <c r="J126" s="160"/>
      <c r="K126" s="160"/>
      <c r="L126" s="160"/>
      <c r="M126" s="160"/>
      <c r="N126" s="160"/>
      <c r="O126" s="160"/>
      <c r="P126" s="160"/>
      <c r="Q126" s="160"/>
      <c r="R126" s="160"/>
      <c r="S126" s="160"/>
      <c r="T126" s="131"/>
      <c r="U126" s="131"/>
      <c r="V126" s="160"/>
      <c r="W126" s="160"/>
      <c r="X126" s="160"/>
      <c r="Y126" s="160"/>
      <c r="Z126" s="160"/>
      <c r="AA126" s="160"/>
      <c r="AB126" s="160"/>
      <c r="AC126" s="160"/>
      <c r="AD126" s="160"/>
      <c r="AE126" s="160"/>
      <c r="AF126" s="160"/>
      <c r="AG126" s="160"/>
      <c r="AH126" s="160"/>
      <c r="AI126" s="160"/>
      <c r="AJ126" s="160"/>
      <c r="AK126" s="160"/>
      <c r="AL126" s="160"/>
      <c r="AM126" s="160"/>
      <c r="AR126" s="15"/>
      <c r="AS126" s="15"/>
      <c r="AT126" s="15"/>
      <c r="AU126" s="15"/>
      <c r="AV126" s="15"/>
      <c r="AW126" s="15"/>
    </row>
    <row r="127" spans="1:52" ht="10.15" x14ac:dyDescent="0.2">
      <c r="B127" s="13" t="s">
        <v>307</v>
      </c>
      <c r="H127" s="160"/>
      <c r="I127" s="160"/>
      <c r="J127" s="160"/>
      <c r="K127" s="160"/>
      <c r="L127" s="160"/>
      <c r="M127" s="160"/>
      <c r="N127" s="160"/>
      <c r="O127" s="160"/>
      <c r="P127" s="160"/>
      <c r="Q127" s="160"/>
      <c r="R127" s="160"/>
      <c r="S127" s="160"/>
      <c r="T127" s="104">
        <f t="shared" ref="T127:AI127" si="661">+T167*1000000/T149</f>
        <v>73702.726473175033</v>
      </c>
      <c r="U127" s="104">
        <f t="shared" si="661"/>
        <v>79965.971926839644</v>
      </c>
      <c r="V127" s="104">
        <f t="shared" si="661"/>
        <v>78984.711877695008</v>
      </c>
      <c r="W127" s="104">
        <f t="shared" si="661"/>
        <v>81987.837324211316</v>
      </c>
      <c r="X127" s="104">
        <f t="shared" si="661"/>
        <v>87830.294008187571</v>
      </c>
      <c r="Y127" s="104">
        <f t="shared" si="661"/>
        <v>91203.469461510656</v>
      </c>
      <c r="Z127" s="104">
        <f t="shared" si="661"/>
        <v>93987.341772151893</v>
      </c>
      <c r="AA127" s="104">
        <f t="shared" si="661"/>
        <v>95920.502092050214</v>
      </c>
      <c r="AB127" s="104">
        <f t="shared" si="661"/>
        <v>101700.79833391184</v>
      </c>
      <c r="AC127" s="104">
        <f t="shared" si="661"/>
        <v>104132.23140495867</v>
      </c>
      <c r="AD127" s="104">
        <f t="shared" si="661"/>
        <v>106816.67769688946</v>
      </c>
      <c r="AE127" s="104">
        <f t="shared" si="661"/>
        <v>107872.00000000001</v>
      </c>
      <c r="AF127" s="104">
        <f t="shared" si="661"/>
        <v>111982.29528928232</v>
      </c>
      <c r="AG127" s="104">
        <f t="shared" si="661"/>
        <v>116108.20780817705</v>
      </c>
      <c r="AH127" s="104">
        <f t="shared" si="661"/>
        <v>118083.20780817706</v>
      </c>
      <c r="AI127" s="104">
        <f t="shared" si="661"/>
        <v>119083.20780817707</v>
      </c>
      <c r="AJ127" s="104">
        <f t="shared" ref="AJ127:AM127" si="662">+AJ167*1000000/AJ149</f>
        <v>123083.20780817707</v>
      </c>
      <c r="AK127" s="104">
        <f t="shared" si="662"/>
        <v>124583.20780817706</v>
      </c>
      <c r="AL127" s="104">
        <f t="shared" si="662"/>
        <v>126083.20780817707</v>
      </c>
      <c r="AM127" s="104">
        <f t="shared" si="662"/>
        <v>127583.20780817706</v>
      </c>
      <c r="AR127" s="15"/>
      <c r="AS127" s="15"/>
      <c r="AT127" s="15"/>
      <c r="AU127" s="104">
        <f>+W127</f>
        <v>81987.837324211316</v>
      </c>
      <c r="AV127" s="104">
        <f>+AA127</f>
        <v>95920.502092050214</v>
      </c>
      <c r="AW127" s="104">
        <f>+AE127</f>
        <v>107872.00000000001</v>
      </c>
      <c r="AX127" s="10">
        <f>+AI127</f>
        <v>119083.20780817707</v>
      </c>
      <c r="AY127" s="10">
        <f>+AM127</f>
        <v>127583.20780817706</v>
      </c>
      <c r="AZ127" s="10"/>
    </row>
    <row r="128" spans="1:52" ht="10.15" x14ac:dyDescent="0.2">
      <c r="B128" s="20" t="s">
        <v>18</v>
      </c>
      <c r="H128" s="160"/>
      <c r="I128" s="160"/>
      <c r="J128" s="160"/>
      <c r="K128" s="160"/>
      <c r="L128" s="160"/>
      <c r="M128" s="160"/>
      <c r="N128" s="160"/>
      <c r="O128" s="160"/>
      <c r="P128" s="160"/>
      <c r="Q128" s="160"/>
      <c r="R128" s="160"/>
      <c r="S128" s="160"/>
      <c r="T128" s="15"/>
      <c r="U128" s="15"/>
      <c r="V128" s="15"/>
      <c r="W128" s="15"/>
      <c r="X128" s="15">
        <f>+IFERROR(X127/T127-1,"n/a")</f>
        <v>0.19168310605380978</v>
      </c>
      <c r="Y128" s="15">
        <f t="shared" ref="Y128" si="663">+IFERROR(Y127/U127-1,"n/a")</f>
        <v>0.14052849310644433</v>
      </c>
      <c r="Z128" s="15">
        <f t="shared" ref="Z128" si="664">+IFERROR(Z127/V127-1,"n/a")</f>
        <v>0.18994346548592733</v>
      </c>
      <c r="AA128" s="15">
        <f t="shared" ref="AA128" si="665">+IFERROR(AA127/W127-1,"n/a")</f>
        <v>0.16993575172307329</v>
      </c>
      <c r="AB128" s="15">
        <f t="shared" ref="AB128:AC128" si="666">+IFERROR(AB127/X127-1,"n/a")</f>
        <v>0.15792392001364863</v>
      </c>
      <c r="AC128" s="15">
        <f t="shared" si="666"/>
        <v>0.14175734782659943</v>
      </c>
      <c r="AD128" s="15">
        <f t="shared" ref="AD128" si="667">+IFERROR(AD127/Z127-1,"n/a")</f>
        <v>0.13650067852582737</v>
      </c>
      <c r="AE128" s="15">
        <f t="shared" ref="AE128" si="668">+IFERROR(AE127/AA127-1,"n/a")</f>
        <v>0.12459794983642314</v>
      </c>
      <c r="AF128" s="15">
        <f t="shared" ref="AF128" si="669">+IFERROR(AF127/AB127-1,"n/a")</f>
        <v>0.1010955383222607</v>
      </c>
      <c r="AG128" s="15">
        <f t="shared" ref="AG128" si="670">+IFERROR(AG127/AC127-1,"n/a")</f>
        <v>0.11500739244360503</v>
      </c>
      <c r="AH128" s="15">
        <f t="shared" ref="AH128" si="671">+IFERROR(AH127/AD127-1,"n/a")</f>
        <v>0.10547538412735791</v>
      </c>
      <c r="AI128" s="15">
        <f t="shared" ref="AI128" si="672">+IFERROR(AI127/AE127-1,"n/a")</f>
        <v>0.10393065678004532</v>
      </c>
      <c r="AJ128" s="15">
        <f t="shared" ref="AJ128" si="673">+IFERROR(AJ127/AF127-1,"n/a")</f>
        <v>9.913096074891059E-2</v>
      </c>
      <c r="AK128" s="15">
        <f t="shared" ref="AK128" si="674">+IFERROR(AK127/AG127-1,"n/a")</f>
        <v>7.2992255758538738E-2</v>
      </c>
      <c r="AL128" s="15">
        <f t="shared" ref="AL128" si="675">+IFERROR(AL127/AH127-1,"n/a")</f>
        <v>6.7748837014961483E-2</v>
      </c>
      <c r="AM128" s="15">
        <f t="shared" ref="AM128" si="676">+IFERROR(AM127/AI127-1,"n/a")</f>
        <v>7.1378661663969112E-2</v>
      </c>
      <c r="AR128" s="15"/>
      <c r="AS128" s="15"/>
      <c r="AT128" s="15"/>
      <c r="AU128" s="120"/>
      <c r="AV128" s="15">
        <f t="shared" ref="AV128:AY128" si="677">IFERROR(AV127/AU127-1,"n/a")</f>
        <v>0.16993575172307329</v>
      </c>
      <c r="AW128" s="15">
        <f t="shared" si="677"/>
        <v>0.12459794983642314</v>
      </c>
      <c r="AX128" s="15">
        <f t="shared" si="677"/>
        <v>0.10393065678004532</v>
      </c>
      <c r="AY128" s="15">
        <f t="shared" si="677"/>
        <v>7.1378661663969112E-2</v>
      </c>
      <c r="AZ128" s="15"/>
    </row>
    <row r="129" spans="1:56" ht="10.15" x14ac:dyDescent="0.2">
      <c r="B129" s="20" t="s">
        <v>383</v>
      </c>
      <c r="H129" s="160"/>
      <c r="I129" s="160"/>
      <c r="J129" s="160"/>
      <c r="K129" s="160"/>
      <c r="L129" s="160"/>
      <c r="M129" s="160"/>
      <c r="N129" s="160"/>
      <c r="O129" s="160"/>
      <c r="P129" s="160"/>
      <c r="Q129" s="160"/>
      <c r="R129" s="160"/>
      <c r="S129" s="160"/>
      <c r="T129" s="15"/>
      <c r="U129" s="15"/>
      <c r="V129" s="15"/>
      <c r="W129" s="15"/>
      <c r="X129" s="15">
        <f>+X128</f>
        <v>0.19168310605380978</v>
      </c>
      <c r="Y129" s="15">
        <f t="shared" ref="Y129:AF129" si="678">+Y128</f>
        <v>0.14052849310644433</v>
      </c>
      <c r="Z129" s="15">
        <f t="shared" si="678"/>
        <v>0.18994346548592733</v>
      </c>
      <c r="AA129" s="15">
        <f t="shared" si="678"/>
        <v>0.16993575172307329</v>
      </c>
      <c r="AB129" s="15">
        <f t="shared" si="678"/>
        <v>0.15792392001364863</v>
      </c>
      <c r="AC129" s="15">
        <f t="shared" si="678"/>
        <v>0.14175734782659943</v>
      </c>
      <c r="AD129" s="15">
        <f t="shared" si="678"/>
        <v>0.13650067852582737</v>
      </c>
      <c r="AE129" s="15">
        <f t="shared" si="678"/>
        <v>0.12459794983642314</v>
      </c>
      <c r="AF129" s="15">
        <f t="shared" si="678"/>
        <v>0.1010955383222607</v>
      </c>
      <c r="AG129" s="288">
        <f>+AG128-(AG136+AG137)/AC127</f>
        <v>8.5290998706327462E-2</v>
      </c>
      <c r="AH129" s="288">
        <f>+AH128-(AH136+AH137)/AD127</f>
        <v>6.7375461866226866E-2</v>
      </c>
      <c r="AI129" s="288">
        <f>+AI128-(AI136+AI137)/AE127</f>
        <v>6.6203469776524679E-2</v>
      </c>
      <c r="AJ129" s="288">
        <f t="shared" ref="AJ129:AM129" si="679">+AJ128-(AJ136+AJ137)/AF127</f>
        <v>6.2788545138205698E-2</v>
      </c>
      <c r="AK129" s="288">
        <f t="shared" si="679"/>
        <v>6.4592567694418596E-2</v>
      </c>
      <c r="AL129" s="288">
        <f t="shared" si="679"/>
        <v>6.7748837014961483E-2</v>
      </c>
      <c r="AM129" s="288">
        <f t="shared" si="679"/>
        <v>7.1378661663969112E-2</v>
      </c>
      <c r="AR129" s="15"/>
      <c r="AS129" s="15"/>
      <c r="AT129" s="15"/>
      <c r="AU129" s="120"/>
      <c r="AV129" s="15">
        <f t="shared" ref="AV129:AW129" si="680">+AV128</f>
        <v>0.16993575172307329</v>
      </c>
      <c r="AW129" s="15">
        <f t="shared" si="680"/>
        <v>0.12459794983642314</v>
      </c>
      <c r="AX129" s="288">
        <f>+AX128-(AX136+AX137)/AW127</f>
        <v>6.6203469776524679E-2</v>
      </c>
      <c r="AY129" s="288">
        <f>+AY128-(AY136+AY137)/AX127</f>
        <v>7.1378661663969112E-2</v>
      </c>
      <c r="AZ129" s="15"/>
    </row>
    <row r="130" spans="1:56" ht="10.15" x14ac:dyDescent="0.2">
      <c r="B130" s="20" t="s">
        <v>214</v>
      </c>
      <c r="H130" s="160"/>
      <c r="I130" s="160"/>
      <c r="J130" s="160"/>
      <c r="K130" s="160"/>
      <c r="L130" s="160"/>
      <c r="M130" s="160"/>
      <c r="N130" s="160"/>
      <c r="O130" s="160"/>
      <c r="P130" s="160"/>
      <c r="Q130" s="160"/>
      <c r="R130" s="160"/>
      <c r="S130" s="160"/>
      <c r="T130" s="15"/>
      <c r="U130" s="15">
        <f>+IFERROR(U127/T127-1,"n/a")</f>
        <v>8.4979833899960111E-2</v>
      </c>
      <c r="V130" s="15">
        <f t="shared" ref="V130" si="681">+IFERROR(V127/U127-1,"n/a")</f>
        <v>-1.2270970082654431E-2</v>
      </c>
      <c r="W130" s="15">
        <f t="shared" ref="W130" si="682">+IFERROR(W127/V127-1,"n/a")</f>
        <v>3.8021604119624408E-2</v>
      </c>
      <c r="X130" s="15">
        <f t="shared" ref="X130" si="683">+IFERROR(X127/W127-1,"n/a")</f>
        <v>7.1260041423863107E-2</v>
      </c>
      <c r="Y130" s="15">
        <f t="shared" ref="Y130" si="684">+IFERROR(Y127/X127-1,"n/a")</f>
        <v>3.8405603572369218E-2</v>
      </c>
      <c r="Z130" s="15">
        <f t="shared" ref="Z130" si="685">+IFERROR(Z127/Y127-1,"n/a")</f>
        <v>3.0523754491774913E-2</v>
      </c>
      <c r="AA130" s="15">
        <f t="shared" ref="AA130" si="686">+IFERROR(AA127/Z127-1,"n/a")</f>
        <v>2.0568305087133698E-2</v>
      </c>
      <c r="AB130" s="15">
        <f t="shared" ref="AB130:AC130" si="687">+IFERROR(AB127/AA127-1,"n/a")</f>
        <v>6.0261321779931487E-2</v>
      </c>
      <c r="AC130" s="15">
        <f t="shared" si="687"/>
        <v>2.3907708797562988E-2</v>
      </c>
      <c r="AD130" s="15">
        <f t="shared" ref="AD130" si="688">+IFERROR(AD127/AC127-1,"n/a")</f>
        <v>2.577920645425591E-2</v>
      </c>
      <c r="AE130" s="15">
        <f t="shared" ref="AE130" si="689">+IFERROR(AE127/AD127-1,"n/a")</f>
        <v>9.8797521685256573E-3</v>
      </c>
      <c r="AF130" s="15">
        <f t="shared" ref="AF130" si="690">+IFERROR(AF127/AE127-1,"n/a")</f>
        <v>3.810344935926202E-2</v>
      </c>
      <c r="AG130" s="15">
        <f t="shared" ref="AG130" si="691">+IFERROR(AG127/AF127-1,"n/a")</f>
        <v>3.6844328902495782E-2</v>
      </c>
      <c r="AH130" s="15">
        <f t="shared" ref="AH130" si="692">+IFERROR(AH127/AG127-1,"n/a")</f>
        <v>1.7009994704792364E-2</v>
      </c>
      <c r="AI130" s="15">
        <f t="shared" ref="AI130" si="693">+IFERROR(AI127/AH127-1,"n/a")</f>
        <v>8.4686046268702686E-3</v>
      </c>
      <c r="AJ130" s="15">
        <f t="shared" ref="AJ130" si="694">+IFERROR(AJ127/AI127-1,"n/a")</f>
        <v>3.3589958430103151E-2</v>
      </c>
      <c r="AK130" s="15">
        <f t="shared" ref="AK130" si="695">+IFERROR(AK127/AJ127-1,"n/a")</f>
        <v>1.2186877696084286E-2</v>
      </c>
      <c r="AL130" s="15">
        <f t="shared" ref="AL130" si="696">+IFERROR(AL127/AK127-1,"n/a")</f>
        <v>1.2040145910431121E-2</v>
      </c>
      <c r="AM130" s="15">
        <f t="shared" ref="AM130" si="697">+IFERROR(AM127/AL127-1,"n/a")</f>
        <v>1.1896905433133265E-2</v>
      </c>
      <c r="AR130" s="15"/>
      <c r="AS130" s="15"/>
      <c r="AT130" s="15"/>
      <c r="AU130" s="120"/>
      <c r="AV130" s="15">
        <f t="shared" ref="AV130" si="698">+IFERROR(AV127/AU127-1,"n/a")</f>
        <v>0.16993575172307329</v>
      </c>
      <c r="AW130" s="15">
        <f t="shared" ref="AW130:AY130" si="699">+IFERROR(AW127/AV127-1,"n/a")</f>
        <v>0.12459794983642314</v>
      </c>
      <c r="AX130" s="15">
        <f t="shared" si="699"/>
        <v>0.10393065678004532</v>
      </c>
      <c r="AY130" s="15">
        <f t="shared" si="699"/>
        <v>7.1378661663969112E-2</v>
      </c>
      <c r="AZ130" s="15"/>
    </row>
    <row r="131" spans="1:56" ht="10.15" x14ac:dyDescent="0.2">
      <c r="B131" s="20" t="s">
        <v>384</v>
      </c>
      <c r="H131" s="160"/>
      <c r="I131" s="160"/>
      <c r="J131" s="160"/>
      <c r="K131" s="160"/>
      <c r="L131" s="160"/>
      <c r="M131" s="160"/>
      <c r="N131" s="160"/>
      <c r="O131" s="160"/>
      <c r="P131" s="160"/>
      <c r="Q131" s="160"/>
      <c r="R131" s="160"/>
      <c r="S131" s="160"/>
      <c r="T131" s="15"/>
      <c r="U131" s="15">
        <f>+U130</f>
        <v>8.4979833899960111E-2</v>
      </c>
      <c r="V131" s="15">
        <f t="shared" ref="V131:AF131" si="700">+V130</f>
        <v>-1.2270970082654431E-2</v>
      </c>
      <c r="W131" s="15">
        <f t="shared" si="700"/>
        <v>3.8021604119624408E-2</v>
      </c>
      <c r="X131" s="15">
        <f t="shared" si="700"/>
        <v>7.1260041423863107E-2</v>
      </c>
      <c r="Y131" s="15">
        <f t="shared" si="700"/>
        <v>3.8405603572369218E-2</v>
      </c>
      <c r="Z131" s="15">
        <f t="shared" si="700"/>
        <v>3.0523754491774913E-2</v>
      </c>
      <c r="AA131" s="15">
        <f t="shared" si="700"/>
        <v>2.0568305087133698E-2</v>
      </c>
      <c r="AB131" s="15">
        <f t="shared" si="700"/>
        <v>6.0261321779931487E-2</v>
      </c>
      <c r="AC131" s="15">
        <f t="shared" si="700"/>
        <v>2.3907708797562988E-2</v>
      </c>
      <c r="AD131" s="15">
        <f t="shared" si="700"/>
        <v>2.577920645425591E-2</v>
      </c>
      <c r="AE131" s="15">
        <f t="shared" si="700"/>
        <v>9.8797521685256573E-3</v>
      </c>
      <c r="AF131" s="15">
        <f t="shared" si="700"/>
        <v>3.810344935926202E-2</v>
      </c>
      <c r="AG131" s="288">
        <f>+AG130-AG136/AF127</f>
        <v>9.2110822256238484E-3</v>
      </c>
      <c r="AH131" s="288">
        <f>+AH130-AH137/AG127</f>
        <v>8.6103066406722165E-3</v>
      </c>
      <c r="AI131" s="15">
        <f>+AI130</f>
        <v>8.4686046268702686E-3</v>
      </c>
      <c r="AJ131" s="15">
        <f t="shared" ref="AJ131:AM131" si="701">+AJ130</f>
        <v>3.3589958430103151E-2</v>
      </c>
      <c r="AK131" s="15">
        <f t="shared" si="701"/>
        <v>1.2186877696084286E-2</v>
      </c>
      <c r="AL131" s="15">
        <f t="shared" si="701"/>
        <v>1.2040145910431121E-2</v>
      </c>
      <c r="AM131" s="15">
        <f t="shared" si="701"/>
        <v>1.1896905433133265E-2</v>
      </c>
      <c r="AR131" s="15"/>
      <c r="AS131" s="15"/>
      <c r="AT131" s="15"/>
      <c r="AU131" s="120"/>
      <c r="AV131" s="15">
        <f>+AV129</f>
        <v>0.16993575172307329</v>
      </c>
      <c r="AW131" s="15">
        <f t="shared" ref="AW131:AX131" si="702">+AW129</f>
        <v>0.12459794983642314</v>
      </c>
      <c r="AX131" s="15">
        <f t="shared" si="702"/>
        <v>6.6203469776524679E-2</v>
      </c>
      <c r="AY131" s="15">
        <f t="shared" ref="AY131" si="703">+AY129</f>
        <v>7.1378661663969112E-2</v>
      </c>
      <c r="AZ131" s="15"/>
    </row>
    <row r="132" spans="1:56" x14ac:dyDescent="0.2">
      <c r="B132" s="20" t="s">
        <v>117</v>
      </c>
      <c r="H132" s="160"/>
      <c r="I132" s="160"/>
      <c r="J132" s="160"/>
      <c r="K132" s="160"/>
      <c r="L132" s="160"/>
      <c r="M132" s="160"/>
      <c r="N132" s="160"/>
      <c r="O132" s="160"/>
      <c r="P132" s="160"/>
      <c r="Q132" s="160"/>
      <c r="R132" s="160"/>
      <c r="S132" s="160"/>
      <c r="T132" s="131"/>
      <c r="U132" s="104">
        <f>+U127-T127</f>
        <v>6263.245453664611</v>
      </c>
      <c r="V132" s="104">
        <f t="shared" ref="V132:AI132" si="704">+V127-U127</f>
        <v>-981.26004914463556</v>
      </c>
      <c r="W132" s="104">
        <f t="shared" si="704"/>
        <v>3003.1254465163074</v>
      </c>
      <c r="X132" s="104">
        <f t="shared" si="704"/>
        <v>5842.4566839762556</v>
      </c>
      <c r="Y132" s="104">
        <f t="shared" si="704"/>
        <v>3373.1754533230851</v>
      </c>
      <c r="Z132" s="104">
        <f t="shared" si="704"/>
        <v>2783.8723106412363</v>
      </c>
      <c r="AA132" s="104">
        <f t="shared" si="704"/>
        <v>1933.1603198983212</v>
      </c>
      <c r="AB132" s="104">
        <f t="shared" si="704"/>
        <v>5780.2962418616225</v>
      </c>
      <c r="AC132" s="104">
        <f t="shared" si="704"/>
        <v>2431.4330710468348</v>
      </c>
      <c r="AD132" s="104">
        <f t="shared" si="704"/>
        <v>2684.4462919307844</v>
      </c>
      <c r="AE132" s="104">
        <f t="shared" si="704"/>
        <v>1055.322303110559</v>
      </c>
      <c r="AF132" s="104">
        <f t="shared" si="704"/>
        <v>4110.2952892823087</v>
      </c>
      <c r="AG132" s="104">
        <f t="shared" si="704"/>
        <v>4125.9125188947219</v>
      </c>
      <c r="AH132" s="104">
        <f t="shared" si="704"/>
        <v>1975.0000000000146</v>
      </c>
      <c r="AI132" s="104">
        <f t="shared" si="704"/>
        <v>1000.0000000000146</v>
      </c>
      <c r="AJ132" s="104">
        <f t="shared" ref="AJ132" si="705">+AJ127-AI127</f>
        <v>4000</v>
      </c>
      <c r="AK132" s="104">
        <f t="shared" ref="AK132" si="706">+AK127-AJ127</f>
        <v>1499.9999999999854</v>
      </c>
      <c r="AL132" s="104">
        <f t="shared" ref="AL132" si="707">+AL127-AK127</f>
        <v>1500.0000000000146</v>
      </c>
      <c r="AM132" s="104">
        <f t="shared" ref="AM132" si="708">+AM127-AL127</f>
        <v>1499.9999999999854</v>
      </c>
      <c r="AR132" s="15"/>
      <c r="AS132" s="15"/>
      <c r="AT132" s="15"/>
      <c r="AU132" s="15"/>
      <c r="AV132" s="104">
        <f t="shared" ref="AV132:AY132" si="709">+AV127-AU127</f>
        <v>13932.664767838898</v>
      </c>
      <c r="AW132" s="104">
        <f t="shared" si="709"/>
        <v>11951.497907949801</v>
      </c>
      <c r="AX132" s="104">
        <f t="shared" si="709"/>
        <v>11211.20780817706</v>
      </c>
      <c r="AY132" s="104">
        <f t="shared" si="709"/>
        <v>8499.9999999999854</v>
      </c>
    </row>
    <row r="133" spans="1:56" x14ac:dyDescent="0.2">
      <c r="B133" s="20" t="s">
        <v>385</v>
      </c>
      <c r="H133" s="160"/>
      <c r="I133" s="160"/>
      <c r="J133" s="160"/>
      <c r="K133" s="160"/>
      <c r="L133" s="160"/>
      <c r="M133" s="160"/>
      <c r="N133" s="160"/>
      <c r="O133" s="160"/>
      <c r="P133" s="160"/>
      <c r="Q133" s="160"/>
      <c r="R133" s="160"/>
      <c r="S133" s="160"/>
      <c r="T133" s="131"/>
      <c r="U133" s="104">
        <f>+U132</f>
        <v>6263.245453664611</v>
      </c>
      <c r="V133" s="104">
        <f t="shared" ref="V133:AF133" si="710">+V132</f>
        <v>-981.26004914463556</v>
      </c>
      <c r="W133" s="104">
        <f t="shared" si="710"/>
        <v>3003.1254465163074</v>
      </c>
      <c r="X133" s="104">
        <f t="shared" si="710"/>
        <v>5842.4566839762556</v>
      </c>
      <c r="Y133" s="104">
        <f t="shared" si="710"/>
        <v>3373.1754533230851</v>
      </c>
      <c r="Z133" s="104">
        <f t="shared" si="710"/>
        <v>2783.8723106412363</v>
      </c>
      <c r="AA133" s="104">
        <f t="shared" si="710"/>
        <v>1933.1603198983212</v>
      </c>
      <c r="AB133" s="104">
        <f t="shared" si="710"/>
        <v>5780.2962418616225</v>
      </c>
      <c r="AC133" s="104">
        <f t="shared" si="710"/>
        <v>2431.4330710468348</v>
      </c>
      <c r="AD133" s="104">
        <f t="shared" si="710"/>
        <v>2684.4462919307844</v>
      </c>
      <c r="AE133" s="104">
        <f t="shared" si="710"/>
        <v>1055.322303110559</v>
      </c>
      <c r="AF133" s="104">
        <f t="shared" si="710"/>
        <v>4110.2952892823087</v>
      </c>
      <c r="AG133" s="287">
        <f>+AG132-AG136</f>
        <v>1031.4781297236696</v>
      </c>
      <c r="AH133" s="287">
        <f>+AH132-AH137</f>
        <v>999.72727272728821</v>
      </c>
      <c r="AI133" s="104">
        <f>+AI132</f>
        <v>1000.0000000000146</v>
      </c>
      <c r="AJ133" s="104">
        <f t="shared" ref="AJ133:AM133" si="711">+AJ132</f>
        <v>4000</v>
      </c>
      <c r="AK133" s="104">
        <f t="shared" si="711"/>
        <v>1499.9999999999854</v>
      </c>
      <c r="AL133" s="104">
        <f t="shared" si="711"/>
        <v>1500.0000000000146</v>
      </c>
      <c r="AM133" s="104">
        <f t="shared" si="711"/>
        <v>1499.9999999999854</v>
      </c>
      <c r="AR133" s="15"/>
      <c r="AS133" s="15"/>
      <c r="AT133" s="15"/>
      <c r="AU133" s="15"/>
      <c r="AV133" s="104">
        <f t="shared" ref="AV133" si="712">+AV132</f>
        <v>13932.664767838898</v>
      </c>
      <c r="AW133" s="104">
        <f t="shared" ref="AW133" si="713">+AW132</f>
        <v>11951.497907949801</v>
      </c>
      <c r="AX133" s="287">
        <f>+AX132-AX136-AX137</f>
        <v>7141.5006917332812</v>
      </c>
      <c r="AY133" s="287">
        <f>+AY132-AY136-AY137</f>
        <v>8499.9999999999854</v>
      </c>
    </row>
    <row r="134" spans="1:56" x14ac:dyDescent="0.2">
      <c r="B134" s="20"/>
      <c r="H134" s="160"/>
      <c r="I134" s="160"/>
      <c r="J134" s="160"/>
      <c r="K134" s="160"/>
      <c r="L134" s="160"/>
      <c r="M134" s="160"/>
      <c r="N134" s="160"/>
      <c r="O134" s="160"/>
      <c r="P134" s="160"/>
      <c r="Q134" s="160"/>
      <c r="R134" s="160"/>
      <c r="S134" s="160"/>
      <c r="T134" s="131"/>
      <c r="U134" s="131"/>
      <c r="V134" s="160"/>
      <c r="W134" s="160"/>
      <c r="X134" s="160"/>
      <c r="Y134" s="160"/>
      <c r="Z134" s="160"/>
      <c r="AA134" s="160"/>
      <c r="AB134" s="160"/>
      <c r="AC134" s="160"/>
      <c r="AD134" s="160"/>
      <c r="AE134" s="160"/>
      <c r="AF134" s="160"/>
      <c r="AG134" s="160"/>
      <c r="AH134" s="160"/>
      <c r="AI134" s="160"/>
      <c r="AJ134" s="160"/>
      <c r="AK134" s="160"/>
      <c r="AL134" s="160"/>
      <c r="AM134" s="160"/>
      <c r="AR134" s="15"/>
      <c r="AS134" s="15"/>
      <c r="AT134" s="15"/>
      <c r="AU134" s="15"/>
      <c r="AV134" s="15"/>
      <c r="AW134" s="15"/>
    </row>
    <row r="135" spans="1:56" x14ac:dyDescent="0.2">
      <c r="B135" s="19" t="s">
        <v>35</v>
      </c>
      <c r="H135" s="160"/>
      <c r="I135" s="160"/>
      <c r="J135" s="160"/>
      <c r="K135" s="160"/>
      <c r="L135" s="160"/>
      <c r="M135" s="160"/>
      <c r="N135" s="160"/>
      <c r="O135" s="160"/>
      <c r="P135" s="160"/>
      <c r="Q135" s="160"/>
      <c r="R135" s="160"/>
      <c r="S135" s="160"/>
      <c r="T135" s="131"/>
      <c r="U135" s="131"/>
      <c r="V135" s="160"/>
      <c r="W135" s="160"/>
      <c r="X135" s="160"/>
      <c r="Y135" s="160"/>
      <c r="Z135" s="160"/>
      <c r="AA135" s="160"/>
      <c r="AB135" s="160"/>
      <c r="AC135" s="160"/>
      <c r="AD135" s="160"/>
      <c r="AE135" s="160"/>
      <c r="AF135" s="160"/>
      <c r="AG135" s="160"/>
      <c r="AH135" s="160"/>
      <c r="AI135" s="160"/>
      <c r="AJ135" s="160"/>
      <c r="AK135" s="160"/>
      <c r="AL135" s="160"/>
      <c r="AM135" s="160"/>
      <c r="AR135" s="15"/>
      <c r="AS135" s="15"/>
      <c r="AT135" s="15"/>
      <c r="AU135" s="15"/>
      <c r="AV135" s="15"/>
      <c r="AW135" s="15"/>
    </row>
    <row r="136" spans="1:56" x14ac:dyDescent="0.2">
      <c r="B136" s="13" t="s">
        <v>389</v>
      </c>
      <c r="H136" s="160"/>
      <c r="I136" s="160"/>
      <c r="J136" s="160"/>
      <c r="K136" s="160"/>
      <c r="L136" s="160"/>
      <c r="M136" s="160"/>
      <c r="N136" s="160"/>
      <c r="O136" s="160"/>
      <c r="P136" s="160"/>
      <c r="Q136" s="160"/>
      <c r="R136" s="160"/>
      <c r="S136" s="160"/>
      <c r="T136" s="131"/>
      <c r="U136" s="131"/>
      <c r="V136" s="160"/>
      <c r="W136" s="160"/>
      <c r="X136" s="160"/>
      <c r="Y136" s="160"/>
      <c r="Z136" s="160"/>
      <c r="AA136" s="160"/>
      <c r="AB136" s="160"/>
      <c r="AC136" s="160"/>
      <c r="AD136" s="160"/>
      <c r="AE136" s="160"/>
      <c r="AF136" s="160"/>
      <c r="AG136" s="287">
        <f>0.75*AG123</f>
        <v>3094.4343891710523</v>
      </c>
      <c r="AH136" s="287">
        <f>+AG136</f>
        <v>3094.4343891710523</v>
      </c>
      <c r="AI136" s="287">
        <f>+AH136</f>
        <v>3094.4343891710523</v>
      </c>
      <c r="AJ136" s="287">
        <f t="shared" ref="AJ136:AM136" si="714">+AI136</f>
        <v>3094.4343891710523</v>
      </c>
      <c r="AK136" s="287">
        <v>0</v>
      </c>
      <c r="AL136" s="287">
        <f t="shared" si="714"/>
        <v>0</v>
      </c>
      <c r="AM136" s="287">
        <f t="shared" si="714"/>
        <v>0</v>
      </c>
      <c r="AR136" s="15"/>
      <c r="AS136" s="15"/>
      <c r="AT136" s="15"/>
      <c r="AU136" s="15"/>
      <c r="AV136" s="15"/>
      <c r="AW136" s="15"/>
      <c r="AX136" s="14">
        <f>+AI136</f>
        <v>3094.4343891710523</v>
      </c>
      <c r="AY136" s="14">
        <f>+AM136</f>
        <v>0</v>
      </c>
    </row>
    <row r="137" spans="1:56" x14ac:dyDescent="0.2">
      <c r="B137" s="13" t="s">
        <v>390</v>
      </c>
      <c r="H137" s="160"/>
      <c r="I137" s="160"/>
      <c r="J137" s="160"/>
      <c r="K137" s="160"/>
      <c r="L137" s="160"/>
      <c r="M137" s="160"/>
      <c r="N137" s="160"/>
      <c r="O137" s="160"/>
      <c r="P137" s="160"/>
      <c r="Q137" s="160"/>
      <c r="R137" s="160"/>
      <c r="S137" s="160"/>
      <c r="T137" s="131"/>
      <c r="U137" s="131"/>
      <c r="V137" s="160"/>
      <c r="W137" s="160"/>
      <c r="X137" s="160"/>
      <c r="Y137" s="160"/>
      <c r="Z137" s="160"/>
      <c r="AA137" s="160"/>
      <c r="AB137" s="160"/>
      <c r="AC137" s="160"/>
      <c r="AD137" s="160"/>
      <c r="AE137" s="160"/>
      <c r="AF137" s="160"/>
      <c r="AG137" s="287">
        <v>0</v>
      </c>
      <c r="AH137" s="287">
        <f>+AH179/2500*1000000</f>
        <v>975.27272727272634</v>
      </c>
      <c r="AI137" s="287">
        <f>+AI179/2500*1000000</f>
        <v>975.27272727272634</v>
      </c>
      <c r="AJ137" s="287">
        <f t="shared" ref="AJ137:AM137" si="715">+AJ179/2500*1000000</f>
        <v>975.27272727272634</v>
      </c>
      <c r="AK137" s="287">
        <f t="shared" si="715"/>
        <v>975.27272727272634</v>
      </c>
      <c r="AL137" s="287">
        <f t="shared" si="715"/>
        <v>0</v>
      </c>
      <c r="AM137" s="287">
        <f t="shared" si="715"/>
        <v>0</v>
      </c>
      <c r="AR137" s="15"/>
      <c r="AS137" s="15"/>
      <c r="AT137" s="15"/>
      <c r="AU137" s="15"/>
      <c r="AV137" s="15"/>
      <c r="AW137" s="15"/>
      <c r="AX137" s="14">
        <f>+AI137</f>
        <v>975.27272727272634</v>
      </c>
      <c r="AY137" s="14">
        <f>+AM137</f>
        <v>0</v>
      </c>
    </row>
    <row r="138" spans="1:56" x14ac:dyDescent="0.2">
      <c r="B138" s="13"/>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R138" s="15"/>
      <c r="AS138" s="15"/>
      <c r="AT138" s="15"/>
      <c r="AU138" s="15"/>
      <c r="AV138" s="15"/>
      <c r="AW138" s="15"/>
    </row>
    <row r="139" spans="1:56" x14ac:dyDescent="0.2">
      <c r="B139" s="19" t="s">
        <v>35</v>
      </c>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R139" s="15"/>
      <c r="AS139" s="15"/>
      <c r="AT139" s="15"/>
      <c r="AU139" s="15"/>
      <c r="AV139" s="15"/>
      <c r="AW139" s="15"/>
    </row>
    <row r="140" spans="1:56" x14ac:dyDescent="0.2">
      <c r="B140" s="13"/>
      <c r="H140" s="15"/>
      <c r="I140" s="15"/>
      <c r="J140" s="15"/>
      <c r="K140" s="15"/>
      <c r="L140" s="15"/>
      <c r="M140" s="15"/>
      <c r="N140" s="15"/>
      <c r="O140" s="15"/>
      <c r="P140" s="15"/>
      <c r="Q140" s="15"/>
      <c r="R140" s="15"/>
      <c r="S140" s="15"/>
      <c r="T140" s="131"/>
      <c r="U140" s="131"/>
      <c r="V140" s="131"/>
      <c r="W140" s="15"/>
      <c r="X140" s="15"/>
      <c r="Y140" s="15"/>
      <c r="Z140" s="23"/>
      <c r="AA140" s="15"/>
      <c r="AB140" s="15"/>
      <c r="AC140" s="15"/>
      <c r="AD140" s="15"/>
      <c r="AE140" s="15"/>
      <c r="AF140" s="15"/>
      <c r="AG140" s="15"/>
      <c r="AH140" s="15"/>
      <c r="AI140" s="15"/>
      <c r="AJ140" s="15"/>
      <c r="AK140" s="15"/>
      <c r="AL140" s="15"/>
      <c r="AM140" s="15"/>
      <c r="AR140" s="15"/>
      <c r="AS140" s="15"/>
      <c r="AT140" s="15"/>
      <c r="AU140" s="15"/>
      <c r="AV140" s="15"/>
      <c r="AW140" s="15"/>
    </row>
    <row r="141" spans="1:56" x14ac:dyDescent="0.2">
      <c r="B141" s="25" t="s">
        <v>391</v>
      </c>
      <c r="H141" s="15"/>
      <c r="I141" s="15"/>
      <c r="J141" s="15"/>
      <c r="K141" s="15"/>
      <c r="L141" s="15"/>
      <c r="M141" s="15"/>
      <c r="N141" s="15"/>
      <c r="O141" s="15"/>
      <c r="P141" s="15"/>
      <c r="Q141" s="15"/>
      <c r="R141" s="15"/>
      <c r="S141" s="15"/>
      <c r="T141" s="131"/>
      <c r="U141" s="131"/>
      <c r="V141" s="131"/>
      <c r="W141" s="15"/>
      <c r="X141" s="15"/>
      <c r="Y141" s="15"/>
      <c r="Z141" s="23"/>
      <c r="AA141" s="15"/>
      <c r="AB141" s="15"/>
      <c r="AC141" s="15"/>
      <c r="AD141" s="15"/>
      <c r="AE141" s="15"/>
      <c r="AF141" s="15"/>
      <c r="AG141" s="15"/>
      <c r="AH141" s="15"/>
      <c r="AI141" s="15"/>
      <c r="AJ141" s="15"/>
      <c r="AK141" s="15"/>
      <c r="AL141" s="15"/>
      <c r="AM141" s="15"/>
      <c r="AR141" s="15"/>
      <c r="AS141" s="15"/>
      <c r="AT141" s="15"/>
      <c r="AU141" s="15"/>
      <c r="AV141" s="15"/>
      <c r="AW141" s="15"/>
    </row>
    <row r="142" spans="1:56" s="3" customFormat="1" x14ac:dyDescent="0.2">
      <c r="A142" s="2"/>
      <c r="B142" s="3" t="s">
        <v>118</v>
      </c>
      <c r="D142" s="23">
        <f t="shared" ref="D142:N142" si="716">+D231</f>
        <v>1234.8000000000002</v>
      </c>
      <c r="E142" s="23">
        <f t="shared" si="716"/>
        <v>1346.4</v>
      </c>
      <c r="F142" s="23">
        <f t="shared" si="716"/>
        <v>1430.4</v>
      </c>
      <c r="G142" s="23">
        <f t="shared" si="716"/>
        <v>1509.6</v>
      </c>
      <c r="H142" s="23">
        <f t="shared" si="716"/>
        <v>1572</v>
      </c>
      <c r="I142" s="23">
        <f t="shared" si="716"/>
        <v>1617.6000000000001</v>
      </c>
      <c r="J142" s="23">
        <f t="shared" si="716"/>
        <v>1665.6000000000001</v>
      </c>
      <c r="K142" s="23">
        <f t="shared" si="716"/>
        <v>1711.1999999999998</v>
      </c>
      <c r="L142" s="23">
        <f t="shared" si="716"/>
        <v>1744.8000000000002</v>
      </c>
      <c r="M142" s="23">
        <f t="shared" si="716"/>
        <v>1778.3999999999999</v>
      </c>
      <c r="N142" s="23">
        <f t="shared" si="716"/>
        <v>1826.3999999999999</v>
      </c>
      <c r="O142" s="22">
        <v>1892</v>
      </c>
      <c r="P142" s="22">
        <v>1942</v>
      </c>
      <c r="Q142" s="170">
        <v>2008</v>
      </c>
      <c r="R142" s="22">
        <v>2099</v>
      </c>
      <c r="S142" s="22">
        <v>2123</v>
      </c>
      <c r="T142" s="22">
        <v>2274</v>
      </c>
      <c r="U142" s="22">
        <v>2351</v>
      </c>
      <c r="V142" s="22">
        <v>2480</v>
      </c>
      <c r="W142" s="22">
        <v>2584</v>
      </c>
      <c r="X142" s="22">
        <v>2687</v>
      </c>
      <c r="Y142" s="22">
        <v>2792</v>
      </c>
      <c r="Z142" s="22">
        <v>2844</v>
      </c>
      <c r="AA142" s="22">
        <v>2868</v>
      </c>
      <c r="AB142" s="22">
        <v>2881</v>
      </c>
      <c r="AC142" s="22">
        <v>2904</v>
      </c>
      <c r="AD142" s="22">
        <v>3022</v>
      </c>
      <c r="AE142" s="22">
        <v>3125</v>
      </c>
      <c r="AF142" s="22">
        <v>3163</v>
      </c>
      <c r="AG142" s="22">
        <v>3253</v>
      </c>
      <c r="AH142" s="23">
        <f>+AH156*1000000/AH118</f>
        <v>3342.5582462256561</v>
      </c>
      <c r="AI142" s="23">
        <f>+AI156*1000000/AI118</f>
        <v>3432.0540025957876</v>
      </c>
      <c r="AJ142" s="23">
        <f t="shared" ref="AJ142:AM142" si="717">+AJ156*1000000/AJ118</f>
        <v>3466.7604752794887</v>
      </c>
      <c r="AK142" s="23">
        <f t="shared" si="717"/>
        <v>3561.4751603054933</v>
      </c>
      <c r="AL142" s="23">
        <f t="shared" si="717"/>
        <v>3638.0736814522202</v>
      </c>
      <c r="AM142" s="23">
        <f t="shared" si="717"/>
        <v>3712.871059898524</v>
      </c>
      <c r="AQ142" s="23">
        <f>+G142</f>
        <v>1509.6</v>
      </c>
      <c r="AR142" s="23">
        <f>+K142</f>
        <v>1711.1999999999998</v>
      </c>
      <c r="AS142" s="98">
        <f>+O142</f>
        <v>1892</v>
      </c>
      <c r="AT142" s="98">
        <f>+S142</f>
        <v>2123</v>
      </c>
      <c r="AU142" s="98">
        <f>+W142</f>
        <v>2584</v>
      </c>
      <c r="AV142" s="23">
        <f>+AA142</f>
        <v>2868</v>
      </c>
      <c r="AW142" s="23">
        <f>+AE142</f>
        <v>3125</v>
      </c>
      <c r="AX142" s="23">
        <f>+AI142</f>
        <v>3432.0540025957876</v>
      </c>
      <c r="AY142" s="23">
        <f>+AM142</f>
        <v>3712.871059898524</v>
      </c>
      <c r="AZ142" s="23"/>
      <c r="BA142" s="146"/>
      <c r="BB142" s="146"/>
      <c r="BC142" s="146"/>
      <c r="BD142" s="146"/>
    </row>
    <row r="143" spans="1:56" x14ac:dyDescent="0.2">
      <c r="B143" s="13" t="s">
        <v>18</v>
      </c>
      <c r="H143" s="15">
        <f t="shared" ref="H143" si="718">IFERROR(H142/D142-1,"n/a")</f>
        <v>0.27308066083576277</v>
      </c>
      <c r="I143" s="15">
        <f t="shared" ref="I143" si="719">IFERROR(I142/E142-1,"n/a")</f>
        <v>0.20142602495543671</v>
      </c>
      <c r="J143" s="15">
        <f t="shared" ref="J143" si="720">IFERROR(J142/F142-1,"n/a")</f>
        <v>0.16442953020134232</v>
      </c>
      <c r="K143" s="15">
        <f t="shared" ref="K143" si="721">IFERROR(K142/G142-1,"n/a")</f>
        <v>0.13354531001589809</v>
      </c>
      <c r="L143" s="15">
        <f>IFERROR(L142/H142-1,"n/a")</f>
        <v>0.1099236641221375</v>
      </c>
      <c r="M143" s="15">
        <f t="shared" ref="M143" si="722">IFERROR(M142/I142-1,"n/a")</f>
        <v>9.9406528189910803E-2</v>
      </c>
      <c r="N143" s="15">
        <f t="shared" ref="N143" si="723">IFERROR(N142/J142-1,"n/a")</f>
        <v>9.6541786743515656E-2</v>
      </c>
      <c r="O143" s="15">
        <f t="shared" ref="O143" si="724">IFERROR(O142/K142-1,"n/a")</f>
        <v>0.1056568489948575</v>
      </c>
      <c r="P143" s="15">
        <f t="shared" ref="P143" si="725">IFERROR(P142/L142-1,"n/a")</f>
        <v>0.11302154974782197</v>
      </c>
      <c r="Q143" s="15">
        <f t="shared" ref="Q143" si="726">IFERROR(Q142/M142-1,"n/a")</f>
        <v>0.12910481331533963</v>
      </c>
      <c r="R143" s="15">
        <f t="shared" ref="R143" si="727">IFERROR(R142/N142-1,"n/a")</f>
        <v>0.14925536574682452</v>
      </c>
      <c r="S143" s="15">
        <f t="shared" ref="S143" si="728">IFERROR(S142/O142-1,"n/a")</f>
        <v>0.12209302325581395</v>
      </c>
      <c r="T143" s="15">
        <f t="shared" ref="T143" si="729">IFERROR(T142/P142-1,"n/a")</f>
        <v>0.17095777548918645</v>
      </c>
      <c r="U143" s="15">
        <f t="shared" ref="U143:X143" si="730">IFERROR(U142/Q142-1,"n/a")</f>
        <v>0.17081673306772904</v>
      </c>
      <c r="V143" s="15">
        <f t="shared" si="730"/>
        <v>0.18151500714626012</v>
      </c>
      <c r="W143" s="15">
        <f t="shared" si="730"/>
        <v>0.21714554875176639</v>
      </c>
      <c r="X143" s="15">
        <f t="shared" si="730"/>
        <v>0.18161829375549687</v>
      </c>
      <c r="Y143" s="15">
        <f t="shared" ref="Y143" si="731">IFERROR(Y142/U142-1,"n/a")</f>
        <v>0.18757975329646959</v>
      </c>
      <c r="Z143" s="15">
        <f t="shared" ref="Z143" si="732">IFERROR(Z142/V142-1,"n/a")</f>
        <v>0.14677419354838706</v>
      </c>
      <c r="AA143" s="15">
        <f t="shared" ref="AA143" si="733">IFERROR(AA142/W142-1,"n/a")</f>
        <v>0.10990712074303399</v>
      </c>
      <c r="AB143" s="15">
        <f t="shared" ref="AB143" si="734">IFERROR(AB142/X142-1,"n/a")</f>
        <v>7.2199478972832187E-2</v>
      </c>
      <c r="AC143" s="15">
        <f t="shared" ref="AC143" si="735">IFERROR(AC142/Y142-1,"n/a")</f>
        <v>4.0114613180515679E-2</v>
      </c>
      <c r="AD143" s="15">
        <f t="shared" ref="AD143" si="736">IFERROR(AD142/Z142-1,"n/a")</f>
        <v>6.2587904360056346E-2</v>
      </c>
      <c r="AE143" s="15">
        <f t="shared" ref="AE143" si="737">IFERROR(AE142/AA142-1,"n/a")</f>
        <v>8.9609483960948477E-2</v>
      </c>
      <c r="AF143" s="15">
        <f t="shared" ref="AF143" si="738">IFERROR(AF142/AB142-1,"n/a")</f>
        <v>9.7882679625130198E-2</v>
      </c>
      <c r="AG143" s="15">
        <f t="shared" ref="AG143" si="739">IFERROR(AG142/AC142-1,"n/a")</f>
        <v>0.12017906336088147</v>
      </c>
      <c r="AH143" s="15">
        <f t="shared" ref="AH143" si="740">IFERROR(AH142/AD142-1,"n/a")</f>
        <v>0.1060748663883706</v>
      </c>
      <c r="AI143" s="15">
        <f t="shared" ref="AI143" si="741">IFERROR(AI142/AE142-1,"n/a")</f>
        <v>9.8257280830652105E-2</v>
      </c>
      <c r="AJ143" s="15">
        <f t="shared" ref="AJ143" si="742">IFERROR(AJ142/AF142-1,"n/a")</f>
        <v>9.6035559683682825E-2</v>
      </c>
      <c r="AK143" s="15">
        <f t="shared" ref="AK143" si="743">IFERROR(AK142/AG142-1,"n/a")</f>
        <v>9.4827900493542394E-2</v>
      </c>
      <c r="AL143" s="15">
        <f t="shared" ref="AL143" si="744">IFERROR(AL142/AH142-1,"n/a")</f>
        <v>8.840995831867815E-2</v>
      </c>
      <c r="AM143" s="15">
        <f t="shared" ref="AM143" si="745">IFERROR(AM142/AI142-1,"n/a")</f>
        <v>8.1821864425893231E-2</v>
      </c>
      <c r="AR143" s="15">
        <f t="shared" ref="AR143" si="746">IFERROR(AR142/AQ142-1,"n/a")</f>
        <v>0.13354531001589809</v>
      </c>
      <c r="AS143" s="15">
        <f t="shared" ref="AS143" si="747">IFERROR(AS142/AR142-1,"n/a")</f>
        <v>0.1056568489948575</v>
      </c>
      <c r="AT143" s="15">
        <f t="shared" ref="AT143:AY143" si="748">IFERROR(AT142/AS142-1,"n/a")</f>
        <v>0.12209302325581395</v>
      </c>
      <c r="AU143" s="15">
        <f t="shared" si="748"/>
        <v>0.21714554875176639</v>
      </c>
      <c r="AV143" s="15">
        <f t="shared" si="748"/>
        <v>0.10990712074303399</v>
      </c>
      <c r="AW143" s="15">
        <f t="shared" si="748"/>
        <v>8.9609483960948477E-2</v>
      </c>
      <c r="AX143" s="15">
        <f t="shared" si="748"/>
        <v>9.8257280830652105E-2</v>
      </c>
      <c r="AY143" s="15">
        <f t="shared" si="748"/>
        <v>8.1821864425893231E-2</v>
      </c>
      <c r="AZ143" s="15"/>
    </row>
    <row r="144" spans="1:56" x14ac:dyDescent="0.2">
      <c r="B144" s="13" t="s">
        <v>383</v>
      </c>
      <c r="H144" s="15"/>
      <c r="I144" s="15"/>
      <c r="J144" s="15"/>
      <c r="K144" s="15"/>
      <c r="L144" s="15">
        <f>+L143</f>
        <v>0.1099236641221375</v>
      </c>
      <c r="M144" s="15">
        <f t="shared" ref="M144:AE144" si="749">+M143</f>
        <v>9.9406528189910803E-2</v>
      </c>
      <c r="N144" s="15">
        <f t="shared" si="749"/>
        <v>9.6541786743515656E-2</v>
      </c>
      <c r="O144" s="15">
        <f t="shared" si="749"/>
        <v>0.1056568489948575</v>
      </c>
      <c r="P144" s="15">
        <f t="shared" si="749"/>
        <v>0.11302154974782197</v>
      </c>
      <c r="Q144" s="15">
        <f t="shared" si="749"/>
        <v>0.12910481331533963</v>
      </c>
      <c r="R144" s="15">
        <f t="shared" si="749"/>
        <v>0.14925536574682452</v>
      </c>
      <c r="S144" s="15">
        <f t="shared" si="749"/>
        <v>0.12209302325581395</v>
      </c>
      <c r="T144" s="15">
        <f t="shared" si="749"/>
        <v>0.17095777548918645</v>
      </c>
      <c r="U144" s="15">
        <f t="shared" si="749"/>
        <v>0.17081673306772904</v>
      </c>
      <c r="V144" s="15">
        <f t="shared" si="749"/>
        <v>0.18151500714626012</v>
      </c>
      <c r="W144" s="15">
        <f t="shared" si="749"/>
        <v>0.21714554875176639</v>
      </c>
      <c r="X144" s="15">
        <f t="shared" si="749"/>
        <v>0.18161829375549687</v>
      </c>
      <c r="Y144" s="15">
        <f t="shared" si="749"/>
        <v>0.18757975329646959</v>
      </c>
      <c r="Z144" s="15">
        <f t="shared" si="749"/>
        <v>0.14677419354838706</v>
      </c>
      <c r="AA144" s="15">
        <f t="shared" si="749"/>
        <v>0.10990712074303399</v>
      </c>
      <c r="AB144" s="15">
        <f t="shared" si="749"/>
        <v>7.2199478972832187E-2</v>
      </c>
      <c r="AC144" s="15">
        <f t="shared" si="749"/>
        <v>4.0114613180515679E-2</v>
      </c>
      <c r="AD144" s="15">
        <f t="shared" si="749"/>
        <v>6.2587904360056346E-2</v>
      </c>
      <c r="AE144" s="15">
        <f t="shared" si="749"/>
        <v>8.9609483960948477E-2</v>
      </c>
      <c r="AF144" s="15">
        <f>+AF151</f>
        <v>9.7882679625130198E-2</v>
      </c>
      <c r="AG144" s="15">
        <f t="shared" ref="AG144:AI144" si="750">+AG151</f>
        <v>0.12783371394107701</v>
      </c>
      <c r="AH144" s="15">
        <f t="shared" si="750"/>
        <v>0.11655538837290069</v>
      </c>
      <c r="AI144" s="15">
        <f t="shared" si="750"/>
        <v>0.10931761098331871</v>
      </c>
      <c r="AJ144" s="15">
        <f t="shared" ref="AJ144:AM144" si="751">+AJ151</f>
        <v>0.10697095764961273</v>
      </c>
      <c r="AK144" s="15">
        <f t="shared" si="751"/>
        <v>9.7402475213950179E-2</v>
      </c>
      <c r="AL144" s="15">
        <f t="shared" si="751"/>
        <v>8.8409958318677928E-2</v>
      </c>
      <c r="AM144" s="15">
        <f t="shared" si="751"/>
        <v>8.1821864425893231E-2</v>
      </c>
      <c r="AR144" s="15">
        <f t="shared" ref="AR144:AW144" si="752">+AR143</f>
        <v>0.13354531001589809</v>
      </c>
      <c r="AS144" s="15">
        <f t="shared" si="752"/>
        <v>0.1056568489948575</v>
      </c>
      <c r="AT144" s="15">
        <f t="shared" si="752"/>
        <v>0.12209302325581395</v>
      </c>
      <c r="AU144" s="15">
        <f t="shared" si="752"/>
        <v>0.21714554875176639</v>
      </c>
      <c r="AV144" s="15">
        <f t="shared" si="752"/>
        <v>0.10990712074303399</v>
      </c>
      <c r="AW144" s="15">
        <f t="shared" si="752"/>
        <v>8.9609483960948477E-2</v>
      </c>
      <c r="AX144" s="15">
        <f t="shared" ref="AX144:AY144" si="753">+AX151</f>
        <v>0.10931761098331871</v>
      </c>
      <c r="AY144" s="15">
        <f t="shared" si="753"/>
        <v>8.1821864425893231E-2</v>
      </c>
      <c r="AZ144" s="15"/>
    </row>
    <row r="145" spans="1:52" x14ac:dyDescent="0.2">
      <c r="B145" s="13" t="s">
        <v>214</v>
      </c>
      <c r="E145" s="15">
        <f t="shared" ref="E145:AA145" si="754">+IFERROR(E142/D142-1,"n/a")</f>
        <v>9.0379008746355627E-2</v>
      </c>
      <c r="F145" s="15">
        <f t="shared" si="754"/>
        <v>6.2388591800356608E-2</v>
      </c>
      <c r="G145" s="15">
        <f t="shared" si="754"/>
        <v>5.5369127516778471E-2</v>
      </c>
      <c r="H145" s="15">
        <f t="shared" si="754"/>
        <v>4.133545310015907E-2</v>
      </c>
      <c r="I145" s="15">
        <f t="shared" si="754"/>
        <v>2.9007633587786241E-2</v>
      </c>
      <c r="J145" s="15">
        <f t="shared" si="754"/>
        <v>2.9673590504450953E-2</v>
      </c>
      <c r="K145" s="15">
        <f t="shared" si="754"/>
        <v>2.7377521613832556E-2</v>
      </c>
      <c r="L145" s="15">
        <f t="shared" si="754"/>
        <v>1.963534361851349E-2</v>
      </c>
      <c r="M145" s="15">
        <f t="shared" si="754"/>
        <v>1.9257221458046647E-2</v>
      </c>
      <c r="N145" s="15">
        <f t="shared" si="754"/>
        <v>2.6990553306342813E-2</v>
      </c>
      <c r="O145" s="15">
        <f t="shared" si="754"/>
        <v>3.5917652212001938E-2</v>
      </c>
      <c r="P145" s="15">
        <f t="shared" si="754"/>
        <v>2.6427061310782207E-2</v>
      </c>
      <c r="Q145" s="15">
        <f t="shared" si="754"/>
        <v>3.3985581874356408E-2</v>
      </c>
      <c r="R145" s="15">
        <f t="shared" si="754"/>
        <v>4.5318725099601664E-2</v>
      </c>
      <c r="S145" s="15">
        <f t="shared" si="754"/>
        <v>1.1434016198189623E-2</v>
      </c>
      <c r="T145" s="15">
        <f t="shared" si="754"/>
        <v>7.1125765426283571E-2</v>
      </c>
      <c r="U145" s="15">
        <f t="shared" si="754"/>
        <v>3.3861037818821549E-2</v>
      </c>
      <c r="V145" s="15">
        <f t="shared" si="754"/>
        <v>5.4870267971076192E-2</v>
      </c>
      <c r="W145" s="15">
        <f t="shared" si="754"/>
        <v>4.1935483870967794E-2</v>
      </c>
      <c r="X145" s="15">
        <f t="shared" si="754"/>
        <v>3.9860681114550989E-2</v>
      </c>
      <c r="Y145" s="15">
        <f t="shared" si="754"/>
        <v>3.907703758838843E-2</v>
      </c>
      <c r="Z145" s="15">
        <f t="shared" si="754"/>
        <v>1.8624641833810962E-2</v>
      </c>
      <c r="AA145" s="15">
        <f t="shared" si="754"/>
        <v>8.4388185654007408E-3</v>
      </c>
      <c r="AB145" s="15">
        <f t="shared" ref="AB145" si="755">+IFERROR(AB142/AA142-1,"n/a")</f>
        <v>4.532775453277571E-3</v>
      </c>
      <c r="AC145" s="15">
        <f t="shared" ref="AC145" si="756">+IFERROR(AC142/AB142-1,"n/a")</f>
        <v>7.9833391183616875E-3</v>
      </c>
      <c r="AD145" s="15">
        <f t="shared" ref="AD145" si="757">+IFERROR(AD142/AC142-1,"n/a")</f>
        <v>4.0633608815427102E-2</v>
      </c>
      <c r="AE145" s="15">
        <f t="shared" ref="AE145" si="758">+IFERROR(AE142/AD142-1,"n/a")</f>
        <v>3.4083388484447363E-2</v>
      </c>
      <c r="AF145" s="15">
        <f t="shared" ref="AF145" si="759">+IFERROR(AF142/AE142-1,"n/a")</f>
        <v>1.2159999999999949E-2</v>
      </c>
      <c r="AG145" s="15">
        <f t="shared" ref="AG145" si="760">+IFERROR(AG142/AF142-1,"n/a")</f>
        <v>2.8453999367688887E-2</v>
      </c>
      <c r="AH145" s="15">
        <f t="shared" ref="AH145" si="761">+IFERROR(AH142/AG142-1,"n/a")</f>
        <v>2.7530970250739584E-2</v>
      </c>
      <c r="AI145" s="15">
        <f t="shared" ref="AI145" si="762">+IFERROR(AI142/AH142-1,"n/a")</f>
        <v>2.6774628825447788E-2</v>
      </c>
      <c r="AJ145" s="15">
        <f t="shared" ref="AJ145" si="763">+IFERROR(AJ142/AI142-1,"n/a")</f>
        <v>1.0112449471206375E-2</v>
      </c>
      <c r="AK145" s="15">
        <f t="shared" ref="AK145" si="764">+IFERROR(AK142/AJ142-1,"n/a")</f>
        <v>2.7320804451703262E-2</v>
      </c>
      <c r="AL145" s="15">
        <f t="shared" ref="AL145" si="765">+IFERROR(AL142/AK142-1,"n/a")</f>
        <v>2.1507526431872259E-2</v>
      </c>
      <c r="AM145" s="15">
        <f t="shared" ref="AM145" si="766">+IFERROR(AM142/AL142-1,"n/a")</f>
        <v>2.055961066089429E-2</v>
      </c>
      <c r="AR145" s="15">
        <f t="shared" ref="AR145:AY145" si="767">+IFERROR(AR142/AQ142-1,"n/a")</f>
        <v>0.13354531001589809</v>
      </c>
      <c r="AS145" s="15">
        <f t="shared" si="767"/>
        <v>0.1056568489948575</v>
      </c>
      <c r="AT145" s="15">
        <f t="shared" si="767"/>
        <v>0.12209302325581395</v>
      </c>
      <c r="AU145" s="15">
        <f t="shared" si="767"/>
        <v>0.21714554875176639</v>
      </c>
      <c r="AV145" s="15">
        <f t="shared" si="767"/>
        <v>0.10990712074303399</v>
      </c>
      <c r="AW145" s="15">
        <f t="shared" si="767"/>
        <v>8.9609483960948477E-2</v>
      </c>
      <c r="AX145" s="15">
        <f t="shared" si="767"/>
        <v>9.8257280830652105E-2</v>
      </c>
      <c r="AY145" s="15">
        <f t="shared" si="767"/>
        <v>8.1821864425893231E-2</v>
      </c>
      <c r="AZ145" s="15"/>
    </row>
    <row r="146" spans="1:52" x14ac:dyDescent="0.2">
      <c r="B146" s="13" t="s">
        <v>384</v>
      </c>
      <c r="E146" s="15"/>
      <c r="F146" s="15"/>
      <c r="G146" s="15"/>
      <c r="H146" s="15"/>
      <c r="I146" s="15"/>
      <c r="J146" s="15"/>
      <c r="K146" s="15"/>
      <c r="L146" s="15">
        <f>+L145</f>
        <v>1.963534361851349E-2</v>
      </c>
      <c r="M146" s="15">
        <f t="shared" ref="M146:AE146" si="768">+M145</f>
        <v>1.9257221458046647E-2</v>
      </c>
      <c r="N146" s="15">
        <f t="shared" si="768"/>
        <v>2.6990553306342813E-2</v>
      </c>
      <c r="O146" s="15">
        <f t="shared" si="768"/>
        <v>3.5917652212001938E-2</v>
      </c>
      <c r="P146" s="15">
        <f t="shared" si="768"/>
        <v>2.6427061310782207E-2</v>
      </c>
      <c r="Q146" s="15">
        <f t="shared" si="768"/>
        <v>3.3985581874356408E-2</v>
      </c>
      <c r="R146" s="15">
        <f t="shared" si="768"/>
        <v>4.5318725099601664E-2</v>
      </c>
      <c r="S146" s="15">
        <f t="shared" si="768"/>
        <v>1.1434016198189623E-2</v>
      </c>
      <c r="T146" s="15">
        <f t="shared" si="768"/>
        <v>7.1125765426283571E-2</v>
      </c>
      <c r="U146" s="15">
        <f t="shared" si="768"/>
        <v>3.3861037818821549E-2</v>
      </c>
      <c r="V146" s="15">
        <f t="shared" si="768"/>
        <v>5.4870267971076192E-2</v>
      </c>
      <c r="W146" s="15">
        <f t="shared" si="768"/>
        <v>4.1935483870967794E-2</v>
      </c>
      <c r="X146" s="15">
        <f t="shared" si="768"/>
        <v>3.9860681114550989E-2</v>
      </c>
      <c r="Y146" s="15">
        <f t="shared" si="768"/>
        <v>3.907703758838843E-2</v>
      </c>
      <c r="Z146" s="15">
        <f t="shared" si="768"/>
        <v>1.8624641833810962E-2</v>
      </c>
      <c r="AA146" s="15">
        <f t="shared" si="768"/>
        <v>8.4388185654007408E-3</v>
      </c>
      <c r="AB146" s="15">
        <f t="shared" si="768"/>
        <v>4.532775453277571E-3</v>
      </c>
      <c r="AC146" s="15">
        <f t="shared" si="768"/>
        <v>7.9833391183616875E-3</v>
      </c>
      <c r="AD146" s="15">
        <f t="shared" si="768"/>
        <v>4.0633608815427102E-2</v>
      </c>
      <c r="AE146" s="15">
        <f t="shared" si="768"/>
        <v>3.4083388484447363E-2</v>
      </c>
      <c r="AF146" s="15">
        <f>+AF153</f>
        <v>1.2159999999999949E-2</v>
      </c>
      <c r="AG146" s="15">
        <f t="shared" ref="AG146:AI146" si="769">+AG153</f>
        <v>3.5481854342360952E-2</v>
      </c>
      <c r="AH146" s="15">
        <f t="shared" si="769"/>
        <v>2.9687997475509764E-2</v>
      </c>
      <c r="AI146" s="15">
        <f t="shared" si="769"/>
        <v>2.6774628825447566E-2</v>
      </c>
      <c r="AJ146" s="15">
        <f t="shared" ref="AJ146:AM146" si="770">+AJ153</f>
        <v>1.0112449471206375E-2</v>
      </c>
      <c r="AK146" s="15">
        <f t="shared" si="770"/>
        <v>2.7320804451703262E-2</v>
      </c>
      <c r="AL146" s="15">
        <f t="shared" si="770"/>
        <v>2.1507526431872037E-2</v>
      </c>
      <c r="AM146" s="15">
        <f t="shared" si="770"/>
        <v>2.0559610660894512E-2</v>
      </c>
      <c r="AR146" s="15">
        <f>+AR145</f>
        <v>0.13354531001589809</v>
      </c>
      <c r="AS146" s="15">
        <f t="shared" ref="AS146:AW146" si="771">+AS145</f>
        <v>0.1056568489948575</v>
      </c>
      <c r="AT146" s="15">
        <f t="shared" si="771"/>
        <v>0.12209302325581395</v>
      </c>
      <c r="AU146" s="15">
        <f t="shared" si="771"/>
        <v>0.21714554875176639</v>
      </c>
      <c r="AV146" s="15">
        <f t="shared" si="771"/>
        <v>0.10990712074303399</v>
      </c>
      <c r="AW146" s="15">
        <f t="shared" si="771"/>
        <v>8.9609483960948477E-2</v>
      </c>
      <c r="AX146" s="15">
        <f t="shared" ref="AX146:AY146" si="772">+AX153</f>
        <v>0.10931761098331871</v>
      </c>
      <c r="AY146" s="15">
        <f t="shared" si="772"/>
        <v>8.1821864425893231E-2</v>
      </c>
      <c r="AZ146" s="15"/>
    </row>
    <row r="147" spans="1:52" x14ac:dyDescent="0.2">
      <c r="B147" s="20"/>
      <c r="H147" s="120"/>
      <c r="I147" s="120"/>
      <c r="J147" s="120"/>
      <c r="K147" s="120"/>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R147" s="120"/>
      <c r="AS147" s="120"/>
      <c r="AT147" s="120"/>
      <c r="AU147" s="120"/>
      <c r="AV147" s="120"/>
      <c r="AW147" s="120"/>
      <c r="AX147" s="120"/>
      <c r="AY147" s="120"/>
      <c r="AZ147" s="120"/>
    </row>
    <row r="148" spans="1:52" x14ac:dyDescent="0.2">
      <c r="B148" s="19" t="s">
        <v>35</v>
      </c>
      <c r="H148" s="120"/>
      <c r="I148" s="120"/>
      <c r="J148" s="120"/>
      <c r="K148" s="120"/>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R148" s="120"/>
      <c r="AS148" s="120"/>
      <c r="AT148" s="120"/>
      <c r="AU148" s="120"/>
      <c r="AV148" s="120"/>
      <c r="AW148" s="120"/>
      <c r="AX148" s="120"/>
      <c r="AY148" s="120"/>
      <c r="AZ148" s="120"/>
    </row>
    <row r="149" spans="1:52" x14ac:dyDescent="0.2">
      <c r="B149" s="13" t="s">
        <v>285</v>
      </c>
      <c r="H149" s="120"/>
      <c r="I149" s="120"/>
      <c r="J149" s="120"/>
      <c r="K149" s="120"/>
      <c r="L149" s="15"/>
      <c r="M149" s="15"/>
      <c r="N149" s="15"/>
      <c r="O149" s="15"/>
      <c r="P149" s="15"/>
      <c r="Q149" s="15"/>
      <c r="R149" s="15"/>
      <c r="S149" s="15"/>
      <c r="T149" s="104">
        <f>+T167/T118*1000000</f>
        <v>2296.7942720763722</v>
      </c>
      <c r="U149" s="104">
        <f>+U167/U118*1000000</f>
        <v>2329.2407446808511</v>
      </c>
      <c r="V149" s="147">
        <v>2551</v>
      </c>
      <c r="W149" s="147">
        <v>2631</v>
      </c>
      <c r="X149" s="104">
        <f>+X167/X118*1000000</f>
        <v>2714.6669915254233</v>
      </c>
      <c r="Y149" s="147">
        <v>2767</v>
      </c>
      <c r="Z149" s="104">
        <f t="shared" ref="Z149:AI149" si="773">+Z167/Z118*1000000</f>
        <v>2844.3191919191918</v>
      </c>
      <c r="AA149" s="104">
        <f t="shared" si="773"/>
        <v>2868</v>
      </c>
      <c r="AB149" s="104">
        <f t="shared" si="773"/>
        <v>2881</v>
      </c>
      <c r="AC149" s="104">
        <f t="shared" si="773"/>
        <v>2904</v>
      </c>
      <c r="AD149" s="104">
        <f t="shared" si="773"/>
        <v>3022.0000000000005</v>
      </c>
      <c r="AE149" s="104">
        <f t="shared" si="773"/>
        <v>3124.9999999999995</v>
      </c>
      <c r="AF149" s="104">
        <f t="shared" si="773"/>
        <v>3163</v>
      </c>
      <c r="AG149" s="104">
        <f t="shared" si="773"/>
        <v>3253.0000000000005</v>
      </c>
      <c r="AH149" s="104">
        <f t="shared" si="773"/>
        <v>3342.5582462256561</v>
      </c>
      <c r="AI149" s="104">
        <f t="shared" si="773"/>
        <v>3432.0540025957871</v>
      </c>
      <c r="AJ149" s="104">
        <f t="shared" ref="AJ149:AM149" si="774">+AJ167/AJ118*1000000</f>
        <v>3466.7604752794887</v>
      </c>
      <c r="AK149" s="104">
        <f t="shared" si="774"/>
        <v>3561.4751603054933</v>
      </c>
      <c r="AL149" s="104">
        <f t="shared" si="774"/>
        <v>3638.0736814522197</v>
      </c>
      <c r="AM149" s="104">
        <f t="shared" si="774"/>
        <v>3712.871059898524</v>
      </c>
      <c r="AR149" s="120"/>
      <c r="AS149" s="120"/>
      <c r="AT149" s="120"/>
      <c r="AU149" s="104">
        <f>+W149</f>
        <v>2631</v>
      </c>
      <c r="AV149" s="104">
        <f>+AA149</f>
        <v>2868</v>
      </c>
      <c r="AW149" s="104">
        <f>+AE149</f>
        <v>3124.9999999999995</v>
      </c>
      <c r="AX149" s="104">
        <f>+AI149</f>
        <v>3432.0540025957871</v>
      </c>
      <c r="AY149" s="104">
        <f>+AM149</f>
        <v>3712.871059898524</v>
      </c>
      <c r="AZ149" s="104"/>
    </row>
    <row r="150" spans="1:52" x14ac:dyDescent="0.2">
      <c r="B150" s="20" t="s">
        <v>18</v>
      </c>
      <c r="H150" s="120"/>
      <c r="I150" s="120"/>
      <c r="J150" s="120"/>
      <c r="K150" s="120"/>
      <c r="L150" s="15"/>
      <c r="M150" s="15"/>
      <c r="N150" s="15"/>
      <c r="O150" s="15"/>
      <c r="P150" s="15"/>
      <c r="Q150" s="15"/>
      <c r="R150" s="15"/>
      <c r="S150" s="15"/>
      <c r="T150" s="15"/>
      <c r="U150" s="15"/>
      <c r="V150" s="15"/>
      <c r="W150" s="15"/>
      <c r="X150" s="15">
        <f>+IFERROR(X149/T149-1,"n/a")</f>
        <v>0.18193737442199454</v>
      </c>
      <c r="Y150" s="15">
        <f t="shared" ref="Y150" si="775">+IFERROR(Y149/U149-1,"n/a")</f>
        <v>0.18794075121639264</v>
      </c>
      <c r="Z150" s="15">
        <f t="shared" ref="Z150" si="776">+IFERROR(Z149/V149-1,"n/a")</f>
        <v>0.11498204308866788</v>
      </c>
      <c r="AA150" s="15">
        <f t="shared" ref="AA150" si="777">+IFERROR(AA149/W149-1,"n/a")</f>
        <v>9.0079817559863162E-2</v>
      </c>
      <c r="AB150" s="15">
        <f t="shared" ref="AB150" si="778">+IFERROR(AB149/X149-1,"n/a")</f>
        <v>6.12719751607953E-2</v>
      </c>
      <c r="AC150" s="15">
        <f t="shared" ref="AC150" si="779">+IFERROR(AC149/Y149-1,"n/a")</f>
        <v>4.9512106975063253E-2</v>
      </c>
      <c r="AD150" s="15">
        <f>+IFERROR(AD149/Z149-1,"n/a")</f>
        <v>6.2468659841555807E-2</v>
      </c>
      <c r="AE150" s="15">
        <f t="shared" ref="AE150" si="780">+IFERROR(AE149/AA149-1,"n/a")</f>
        <v>8.9609483960948255E-2</v>
      </c>
      <c r="AF150" s="15">
        <f t="shared" ref="AF150" si="781">+IFERROR(AF149/AB149-1,"n/a")</f>
        <v>9.7882679625130198E-2</v>
      </c>
      <c r="AG150" s="15">
        <f t="shared" ref="AG150" si="782">+IFERROR(AG149/AC149-1,"n/a")</f>
        <v>0.12017906336088169</v>
      </c>
      <c r="AH150" s="15">
        <f t="shared" ref="AH150" si="783">+IFERROR(AH149/AD149-1,"n/a")</f>
        <v>0.1060748663883706</v>
      </c>
      <c r="AI150" s="15">
        <f t="shared" ref="AI150" si="784">+IFERROR(AI149/AE149-1,"n/a")</f>
        <v>9.8257280830652105E-2</v>
      </c>
      <c r="AJ150" s="15">
        <f t="shared" ref="AJ150" si="785">+IFERROR(AJ149/AF149-1,"n/a")</f>
        <v>9.6035559683682825E-2</v>
      </c>
      <c r="AK150" s="15">
        <f t="shared" ref="AK150" si="786">+IFERROR(AK149/AG149-1,"n/a")</f>
        <v>9.4827900493542172E-2</v>
      </c>
      <c r="AL150" s="15">
        <f t="shared" ref="AL150" si="787">+IFERROR(AL149/AH149-1,"n/a")</f>
        <v>8.8409958318677928E-2</v>
      </c>
      <c r="AM150" s="15">
        <f t="shared" ref="AM150" si="788">+IFERROR(AM149/AI149-1,"n/a")</f>
        <v>8.1821864425893231E-2</v>
      </c>
      <c r="AR150" s="120"/>
      <c r="AS150" s="120"/>
      <c r="AT150" s="120"/>
      <c r="AU150" s="120"/>
      <c r="AV150" s="15">
        <f t="shared" ref="AV150" si="789">IFERROR(AV149/AU149-1,"n/a")</f>
        <v>9.0079817559863162E-2</v>
      </c>
      <c r="AW150" s="15">
        <f t="shared" ref="AW150:AY150" si="790">IFERROR(AW149/AV149-1,"n/a")</f>
        <v>8.9609483960948255E-2</v>
      </c>
      <c r="AX150" s="15">
        <f t="shared" si="790"/>
        <v>9.8257280830652105E-2</v>
      </c>
      <c r="AY150" s="15">
        <f t="shared" si="790"/>
        <v>8.1821864425893231E-2</v>
      </c>
      <c r="AZ150" s="15"/>
    </row>
    <row r="151" spans="1:52" x14ac:dyDescent="0.2">
      <c r="B151" s="20" t="s">
        <v>383</v>
      </c>
      <c r="H151" s="120"/>
      <c r="I151" s="120"/>
      <c r="J151" s="120"/>
      <c r="K151" s="120"/>
      <c r="L151" s="15"/>
      <c r="M151" s="15"/>
      <c r="N151" s="15"/>
      <c r="O151" s="15"/>
      <c r="P151" s="15"/>
      <c r="Q151" s="15"/>
      <c r="R151" s="15"/>
      <c r="S151" s="15"/>
      <c r="T151" s="15"/>
      <c r="U151" s="15"/>
      <c r="V151" s="15"/>
      <c r="W151" s="15"/>
      <c r="X151" s="15">
        <f t="shared" ref="X151:AI151" si="791">+(1+X169)/(1+X129)-1</f>
        <v>0.18193737442199454</v>
      </c>
      <c r="Y151" s="15">
        <f t="shared" si="791"/>
        <v>0.18794075121639264</v>
      </c>
      <c r="Z151" s="15">
        <f t="shared" si="791"/>
        <v>0.11498204308866788</v>
      </c>
      <c r="AA151" s="15">
        <f t="shared" si="791"/>
        <v>9.0079817559863162E-2</v>
      </c>
      <c r="AB151" s="15">
        <f t="shared" si="791"/>
        <v>6.12719751607953E-2</v>
      </c>
      <c r="AC151" s="15">
        <f t="shared" si="791"/>
        <v>4.9512106975063253E-2</v>
      </c>
      <c r="AD151" s="15">
        <f t="shared" si="791"/>
        <v>6.2468659841555807E-2</v>
      </c>
      <c r="AE151" s="15">
        <f t="shared" si="791"/>
        <v>8.9609483960948255E-2</v>
      </c>
      <c r="AF151" s="15">
        <f t="shared" si="791"/>
        <v>9.7882679625130198E-2</v>
      </c>
      <c r="AG151" s="15">
        <f t="shared" si="791"/>
        <v>0.12783371394107701</v>
      </c>
      <c r="AH151" s="15">
        <f t="shared" si="791"/>
        <v>0.11655538837290069</v>
      </c>
      <c r="AI151" s="15">
        <f t="shared" si="791"/>
        <v>0.10931761098331871</v>
      </c>
      <c r="AJ151" s="15">
        <f t="shared" ref="AJ151:AM151" si="792">+(1+AJ169)/(1+AJ129)-1</f>
        <v>0.10697095764961273</v>
      </c>
      <c r="AK151" s="15">
        <f t="shared" si="792"/>
        <v>9.7402475213950179E-2</v>
      </c>
      <c r="AL151" s="15">
        <f t="shared" si="792"/>
        <v>8.8409958318677928E-2</v>
      </c>
      <c r="AM151" s="15">
        <f t="shared" si="792"/>
        <v>8.1821864425893231E-2</v>
      </c>
      <c r="AR151" s="120"/>
      <c r="AS151" s="120"/>
      <c r="AT151" s="120"/>
      <c r="AU151" s="120"/>
      <c r="AV151" s="15">
        <f>+(1+AV169)/(1+AV129)-1</f>
        <v>9.0079817559863162E-2</v>
      </c>
      <c r="AW151" s="15">
        <f>+(1+AW169)/(1+AW129)-1</f>
        <v>8.9609483960948255E-2</v>
      </c>
      <c r="AX151" s="15">
        <f>+(1+AX169)/(1+AX129)-1</f>
        <v>0.10931761098331871</v>
      </c>
      <c r="AY151" s="15">
        <f>+(1+AY169)/(1+AY129)-1</f>
        <v>8.1821864425893231E-2</v>
      </c>
      <c r="AZ151" s="15"/>
    </row>
    <row r="152" spans="1:52" x14ac:dyDescent="0.2">
      <c r="B152" s="20" t="s">
        <v>214</v>
      </c>
      <c r="H152" s="120"/>
      <c r="I152" s="120"/>
      <c r="J152" s="120"/>
      <c r="K152" s="120"/>
      <c r="L152" s="15"/>
      <c r="M152" s="15"/>
      <c r="N152" s="15"/>
      <c r="O152" s="15"/>
      <c r="P152" s="15"/>
      <c r="Q152" s="15"/>
      <c r="R152" s="15"/>
      <c r="S152" s="15"/>
      <c r="T152" s="15"/>
      <c r="U152" s="15">
        <f>+IFERROR(U149/T149-1,"n/a")</f>
        <v>1.4126851933998541E-2</v>
      </c>
      <c r="V152" s="15">
        <f t="shared" ref="V152:Z152" si="793">+IFERROR(V149/U149-1,"n/a")</f>
        <v>9.5206670167335528E-2</v>
      </c>
      <c r="W152" s="15">
        <f t="shared" si="793"/>
        <v>3.1360250882007001E-2</v>
      </c>
      <c r="X152" s="15">
        <f t="shared" si="793"/>
        <v>3.1800452879294339E-2</v>
      </c>
      <c r="Y152" s="15">
        <f t="shared" si="793"/>
        <v>1.9277874095772418E-2</v>
      </c>
      <c r="Z152" s="15">
        <f t="shared" si="793"/>
        <v>2.7943329208236944E-2</v>
      </c>
      <c r="AA152" s="15">
        <f t="shared" ref="AA152:AE152" si="794">+IFERROR(AA149/Z149-1,"n/a")</f>
        <v>8.325650703369103E-3</v>
      </c>
      <c r="AB152" s="15">
        <f t="shared" si="794"/>
        <v>4.532775453277571E-3</v>
      </c>
      <c r="AC152" s="15">
        <f t="shared" si="794"/>
        <v>7.9833391183616875E-3</v>
      </c>
      <c r="AD152" s="15">
        <f>+IFERROR(AD149/AC149-1,"n/a")</f>
        <v>4.0633608815427102E-2</v>
      </c>
      <c r="AE152" s="15">
        <f t="shared" si="794"/>
        <v>3.4083388484447141E-2</v>
      </c>
      <c r="AF152" s="15">
        <f t="shared" ref="AF152" si="795">+IFERROR(AF149/AE149-1,"n/a")</f>
        <v>1.2160000000000171E-2</v>
      </c>
      <c r="AG152" s="15">
        <f t="shared" ref="AG152" si="796">+IFERROR(AG149/AF149-1,"n/a")</f>
        <v>2.8453999367689109E-2</v>
      </c>
      <c r="AH152" s="15">
        <f t="shared" ref="AH152" si="797">+IFERROR(AH149/AG149-1,"n/a")</f>
        <v>2.7530970250739584E-2</v>
      </c>
      <c r="AI152" s="15">
        <f t="shared" ref="AI152" si="798">+IFERROR(AI149/AH149-1,"n/a")</f>
        <v>2.6774628825447566E-2</v>
      </c>
      <c r="AJ152" s="15">
        <f t="shared" ref="AJ152" si="799">+IFERROR(AJ149/AI149-1,"n/a")</f>
        <v>1.0112449471206375E-2</v>
      </c>
      <c r="AK152" s="15">
        <f t="shared" ref="AK152" si="800">+IFERROR(AK149/AJ149-1,"n/a")</f>
        <v>2.7320804451703262E-2</v>
      </c>
      <c r="AL152" s="15">
        <f t="shared" ref="AL152" si="801">+IFERROR(AL149/AK149-1,"n/a")</f>
        <v>2.1507526431872037E-2</v>
      </c>
      <c r="AM152" s="15">
        <f t="shared" ref="AM152" si="802">+IFERROR(AM149/AL149-1,"n/a")</f>
        <v>2.055961066089429E-2</v>
      </c>
      <c r="AR152" s="120"/>
      <c r="AS152" s="120"/>
      <c r="AT152" s="120"/>
      <c r="AU152" s="120"/>
      <c r="AV152" s="15">
        <f t="shared" ref="AV152" si="803">+IFERROR(AV149/AU149-1,"n/a")</f>
        <v>9.0079817559863162E-2</v>
      </c>
      <c r="AW152" s="15">
        <f t="shared" ref="AW152:AY152" si="804">+IFERROR(AW149/AV149-1,"n/a")</f>
        <v>8.9609483960948255E-2</v>
      </c>
      <c r="AX152" s="15">
        <f t="shared" si="804"/>
        <v>9.8257280830652105E-2</v>
      </c>
      <c r="AY152" s="15">
        <f t="shared" si="804"/>
        <v>8.1821864425893231E-2</v>
      </c>
      <c r="AZ152" s="15"/>
    </row>
    <row r="153" spans="1:52" x14ac:dyDescent="0.2">
      <c r="B153" s="20" t="s">
        <v>384</v>
      </c>
      <c r="H153" s="120"/>
      <c r="I153" s="120"/>
      <c r="J153" s="120"/>
      <c r="K153" s="120"/>
      <c r="L153" s="15"/>
      <c r="M153" s="15"/>
      <c r="N153" s="15"/>
      <c r="O153" s="15"/>
      <c r="P153" s="15"/>
      <c r="Q153" s="15"/>
      <c r="R153" s="15"/>
      <c r="S153" s="15"/>
      <c r="T153" s="15"/>
      <c r="U153" s="15">
        <f t="shared" ref="U153:AI153" si="805">+(1+U171)/(1+U131)-1</f>
        <v>1.4126851933998541E-2</v>
      </c>
      <c r="V153" s="15">
        <f t="shared" si="805"/>
        <v>9.520667016733575E-2</v>
      </c>
      <c r="W153" s="15">
        <f t="shared" si="805"/>
        <v>3.1360250882006779E-2</v>
      </c>
      <c r="X153" s="15">
        <f t="shared" si="805"/>
        <v>3.1800452879294561E-2</v>
      </c>
      <c r="Y153" s="15">
        <f t="shared" si="805"/>
        <v>1.9277874095772418E-2</v>
      </c>
      <c r="Z153" s="15">
        <f t="shared" si="805"/>
        <v>2.7943329208236944E-2</v>
      </c>
      <c r="AA153" s="15">
        <f t="shared" si="805"/>
        <v>8.3256507033688809E-3</v>
      </c>
      <c r="AB153" s="15">
        <f t="shared" si="805"/>
        <v>4.532775453277349E-3</v>
      </c>
      <c r="AC153" s="15">
        <f t="shared" si="805"/>
        <v>7.9833391183616875E-3</v>
      </c>
      <c r="AD153" s="15">
        <f t="shared" si="805"/>
        <v>4.0633608815427325E-2</v>
      </c>
      <c r="AE153" s="15">
        <f t="shared" si="805"/>
        <v>3.4083388484447141E-2</v>
      </c>
      <c r="AF153" s="15">
        <f t="shared" si="805"/>
        <v>1.2159999999999949E-2</v>
      </c>
      <c r="AG153" s="15">
        <f t="shared" si="805"/>
        <v>3.5481854342360952E-2</v>
      </c>
      <c r="AH153" s="15">
        <f t="shared" si="805"/>
        <v>2.9687997475509764E-2</v>
      </c>
      <c r="AI153" s="15">
        <f t="shared" si="805"/>
        <v>2.6774628825447566E-2</v>
      </c>
      <c r="AJ153" s="15">
        <f t="shared" ref="AJ153:AM153" si="806">+(1+AJ171)/(1+AJ131)-1</f>
        <v>1.0112449471206375E-2</v>
      </c>
      <c r="AK153" s="15">
        <f t="shared" si="806"/>
        <v>2.7320804451703262E-2</v>
      </c>
      <c r="AL153" s="15">
        <f t="shared" si="806"/>
        <v>2.1507526431872037E-2</v>
      </c>
      <c r="AM153" s="15">
        <f t="shared" si="806"/>
        <v>2.0559610660894512E-2</v>
      </c>
      <c r="AR153" s="120"/>
      <c r="AS153" s="120"/>
      <c r="AT153" s="120"/>
      <c r="AU153" s="120"/>
      <c r="AV153" s="15">
        <f>+(1+AV171)/(1+AV131)-1</f>
        <v>9.0079817559863162E-2</v>
      </c>
      <c r="AW153" s="15">
        <f>+(1+AW171)/(1+AW131)-1</f>
        <v>8.9609483960948255E-2</v>
      </c>
      <c r="AX153" s="15">
        <f>+(1+AX171)/(1+AX131)-1</f>
        <v>0.10931761098331871</v>
      </c>
      <c r="AY153" s="15">
        <f>+(1+AY171)/(1+AY131)-1</f>
        <v>8.1821864425893231E-2</v>
      </c>
      <c r="AZ153" s="15"/>
    </row>
    <row r="154" spans="1:52" x14ac:dyDescent="0.2">
      <c r="B154" s="20"/>
      <c r="H154" s="120"/>
      <c r="I154" s="120"/>
      <c r="J154" s="120"/>
      <c r="K154" s="120"/>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R154" s="120"/>
      <c r="AS154" s="120"/>
      <c r="AT154" s="120"/>
      <c r="AU154" s="120"/>
      <c r="AV154" s="15"/>
      <c r="AW154" s="15"/>
      <c r="AX154" s="15"/>
      <c r="AY154" s="15"/>
      <c r="AZ154" s="15"/>
    </row>
    <row r="155" spans="1:52" x14ac:dyDescent="0.2">
      <c r="B155" s="25" t="s">
        <v>46</v>
      </c>
      <c r="V155" s="220"/>
      <c r="Y155" s="15"/>
      <c r="Z155" s="171"/>
      <c r="AU155" s="16"/>
    </row>
    <row r="156" spans="1:52" s="139" customFormat="1" x14ac:dyDescent="0.2">
      <c r="A156" s="137"/>
      <c r="B156" s="139" t="s">
        <v>114</v>
      </c>
      <c r="D156" s="141">
        <f t="shared" ref="D156:N156" si="807">+D232</f>
        <v>30.376080000000005</v>
      </c>
      <c r="E156" s="141">
        <f t="shared" si="807"/>
        <v>35.410319999999999</v>
      </c>
      <c r="F156" s="141">
        <f t="shared" si="807"/>
        <v>40.480319999999999</v>
      </c>
      <c r="G156" s="141">
        <f t="shared" si="807"/>
        <v>45.891840000000002</v>
      </c>
      <c r="H156" s="229">
        <f t="shared" si="807"/>
        <v>52.976399999999998</v>
      </c>
      <c r="I156" s="229">
        <f t="shared" si="807"/>
        <v>58.880640000000007</v>
      </c>
      <c r="J156" s="229">
        <f t="shared" si="807"/>
        <v>65.957760000000007</v>
      </c>
      <c r="K156" s="229">
        <f t="shared" si="807"/>
        <v>72.212639999999979</v>
      </c>
      <c r="L156" s="229">
        <f t="shared" si="807"/>
        <v>81.307680000000019</v>
      </c>
      <c r="M156" s="229">
        <f t="shared" si="807"/>
        <v>88.386480000000006</v>
      </c>
      <c r="N156" s="229">
        <f t="shared" si="807"/>
        <v>95.338080000000005</v>
      </c>
      <c r="O156" s="230">
        <v>102.6</v>
      </c>
      <c r="P156" s="230">
        <v>109.5</v>
      </c>
      <c r="Q156" s="230">
        <v>119</v>
      </c>
      <c r="R156" s="230">
        <v>134.80000000000001</v>
      </c>
      <c r="S156" s="230">
        <v>144.19999999999999</v>
      </c>
      <c r="T156" s="230">
        <v>167.6</v>
      </c>
      <c r="U156" s="230">
        <v>188</v>
      </c>
      <c r="V156" s="230">
        <v>198.7</v>
      </c>
      <c r="W156" s="230">
        <v>213</v>
      </c>
      <c r="X156" s="230">
        <v>236</v>
      </c>
      <c r="Y156" s="230">
        <v>254.7</v>
      </c>
      <c r="Z156" s="230">
        <v>267.3</v>
      </c>
      <c r="AA156" s="230">
        <v>275.10000000000002</v>
      </c>
      <c r="AB156" s="230">
        <v>293</v>
      </c>
      <c r="AC156" s="230">
        <v>302.39999999999998</v>
      </c>
      <c r="AD156" s="230">
        <v>322.8</v>
      </c>
      <c r="AE156" s="230">
        <v>337.1</v>
      </c>
      <c r="AF156" s="230">
        <v>354.2</v>
      </c>
      <c r="AG156" s="230">
        <v>377.7</v>
      </c>
      <c r="AH156" s="229">
        <f t="shared" ref="AH156:AI156" si="808">+AH167</f>
        <v>394.7</v>
      </c>
      <c r="AI156" s="229">
        <f t="shared" si="808"/>
        <v>408.7</v>
      </c>
      <c r="AJ156" s="229">
        <f t="shared" ref="AJ156:AM156" si="809">+AJ167</f>
        <v>426.7</v>
      </c>
      <c r="AK156" s="229">
        <f t="shared" si="809"/>
        <v>443.7</v>
      </c>
      <c r="AL156" s="229">
        <f t="shared" si="809"/>
        <v>458.7</v>
      </c>
      <c r="AM156" s="229">
        <f t="shared" si="809"/>
        <v>473.7</v>
      </c>
      <c r="AN156" s="229"/>
      <c r="AO156" s="229"/>
      <c r="AP156" s="229"/>
      <c r="AQ156" s="231">
        <f>+G156</f>
        <v>45.891840000000002</v>
      </c>
      <c r="AR156" s="231">
        <f>+K156</f>
        <v>72.212639999999979</v>
      </c>
      <c r="AS156" s="231">
        <f>+O156</f>
        <v>102.6</v>
      </c>
      <c r="AT156" s="231">
        <f>+S156</f>
        <v>144.19999999999999</v>
      </c>
      <c r="AU156" s="231">
        <f>+W156</f>
        <v>213</v>
      </c>
      <c r="AV156" s="229">
        <f>+AA156</f>
        <v>275.10000000000002</v>
      </c>
      <c r="AW156" s="229">
        <f>+AE156</f>
        <v>337.1</v>
      </c>
      <c r="AX156" s="229">
        <f>+AI156</f>
        <v>408.7</v>
      </c>
      <c r="AY156" s="229">
        <f>+AM156</f>
        <v>473.7</v>
      </c>
      <c r="AZ156" s="229"/>
    </row>
    <row r="157" spans="1:52" x14ac:dyDescent="0.2">
      <c r="B157" s="13" t="s">
        <v>18</v>
      </c>
      <c r="H157" s="15">
        <f t="shared" ref="H157" si="810">IFERROR(H156/D156-1,"n/a")</f>
        <v>0.74401700285224392</v>
      </c>
      <c r="I157" s="15">
        <f t="shared" ref="I157" si="811">IFERROR(I156/E156-1,"n/a")</f>
        <v>0.66281016381665037</v>
      </c>
      <c r="J157" s="15">
        <f t="shared" ref="J157" si="812">IFERROR(J156/F156-1,"n/a")</f>
        <v>0.62937842388597742</v>
      </c>
      <c r="K157" s="15">
        <f t="shared" ref="K157" si="813">IFERROR(K156/G156-1,"n/a")</f>
        <v>0.57353987114048977</v>
      </c>
      <c r="L157" s="15">
        <f>IFERROR(L156/H156-1,"n/a")</f>
        <v>0.53479058599678386</v>
      </c>
      <c r="M157" s="15">
        <f t="shared" ref="M157" si="814">IFERROR(M156/I156-1,"n/a")</f>
        <v>0.50111275964391688</v>
      </c>
      <c r="N157" s="15">
        <f t="shared" ref="N157" si="815">IFERROR(N156/J156-1,"n/a")</f>
        <v>0.44544144616190717</v>
      </c>
      <c r="O157" s="15">
        <f t="shared" ref="O157" si="816">IFERROR(O156/K156-1,"n/a")</f>
        <v>0.42080389250413819</v>
      </c>
      <c r="P157" s="15">
        <f t="shared" ref="P157" si="817">IFERROR(P156/L156-1,"n/a")</f>
        <v>0.34673624926944147</v>
      </c>
      <c r="Q157" s="15">
        <f t="shared" ref="Q157" si="818">IFERROR(Q156/M156-1,"n/a")</f>
        <v>0.34635975999949298</v>
      </c>
      <c r="R157" s="15">
        <f t="shared" ref="R157" si="819">IFERROR(R156/N156-1,"n/a")</f>
        <v>0.41391561483092598</v>
      </c>
      <c r="S157" s="15">
        <f t="shared" ref="S157:V157" si="820">IFERROR(S156/O156-1,"n/a")</f>
        <v>0.40545808966861596</v>
      </c>
      <c r="T157" s="15">
        <f t="shared" si="820"/>
        <v>0.53059360730593608</v>
      </c>
      <c r="U157" s="15">
        <f t="shared" si="820"/>
        <v>0.57983193277310918</v>
      </c>
      <c r="V157" s="15">
        <f t="shared" si="820"/>
        <v>0.47403560830860503</v>
      </c>
      <c r="W157" s="15">
        <f t="shared" ref="W157:Z157" si="821">IFERROR(W156/S156-1,"n/a")</f>
        <v>0.47711511789181693</v>
      </c>
      <c r="X157" s="15">
        <f t="shared" si="821"/>
        <v>0.40811455847255385</v>
      </c>
      <c r="Y157" s="15">
        <f t="shared" si="821"/>
        <v>0.35478723404255308</v>
      </c>
      <c r="Z157" s="15">
        <f t="shared" si="821"/>
        <v>0.34524408656265737</v>
      </c>
      <c r="AA157" s="15">
        <f t="shared" ref="AA157" si="822">IFERROR(AA156/W156-1,"n/a")</f>
        <v>0.29154929577464794</v>
      </c>
      <c r="AB157" s="15">
        <f t="shared" ref="AB157:AC157" si="823">IFERROR(AB156/X156-1,"n/a")</f>
        <v>0.24152542372881358</v>
      </c>
      <c r="AC157" s="15">
        <f t="shared" si="823"/>
        <v>0.1872791519434629</v>
      </c>
      <c r="AD157" s="15">
        <f t="shared" ref="AD157:AE157" si="824">IFERROR(AD156/Z156-1,"n/a")</f>
        <v>0.20763187429854102</v>
      </c>
      <c r="AE157" s="15">
        <f t="shared" si="824"/>
        <v>0.22537259178480551</v>
      </c>
      <c r="AF157" s="15">
        <f t="shared" ref="AF157" si="825">IFERROR(AF156/AB156-1,"n/a")</f>
        <v>0.20887372013651873</v>
      </c>
      <c r="AG157" s="15">
        <f t="shared" ref="AG157" si="826">IFERROR(AG156/AC156-1,"n/a")</f>
        <v>0.24900793650793651</v>
      </c>
      <c r="AH157" s="15">
        <f t="shared" ref="AH157" si="827">IFERROR(AH156/AD156-1,"n/a")</f>
        <v>0.22273853779429986</v>
      </c>
      <c r="AI157" s="15">
        <f t="shared" ref="AI157" si="828">IFERROR(AI156/AE156-1,"n/a")</f>
        <v>0.21239988134084831</v>
      </c>
      <c r="AJ157" s="15">
        <f t="shared" ref="AJ157" si="829">IFERROR(AJ156/AF156-1,"n/a")</f>
        <v>0.20468661773009589</v>
      </c>
      <c r="AK157" s="15">
        <f t="shared" ref="AK157" si="830">IFERROR(AK156/AG156-1,"n/a")</f>
        <v>0.17474185861795077</v>
      </c>
      <c r="AL157" s="15">
        <f t="shared" ref="AL157" si="831">IFERROR(AL156/AH156-1,"n/a")</f>
        <v>0.1621484671902711</v>
      </c>
      <c r="AM157" s="15">
        <f t="shared" ref="AM157" si="832">IFERROR(AM156/AI156-1,"n/a")</f>
        <v>0.15904086126743322</v>
      </c>
      <c r="AR157" s="15">
        <f>IFERROR(AR156/AQ156-1,"n/a")</f>
        <v>0.57353987114048977</v>
      </c>
      <c r="AS157" s="15">
        <f t="shared" ref="AS157" si="833">IFERROR(AS156/AR156-1,"n/a")</f>
        <v>0.42080389250413819</v>
      </c>
      <c r="AT157" s="15">
        <f t="shared" ref="AT157:AY157" si="834">IFERROR(AT156/AS156-1,"n/a")</f>
        <v>0.40545808966861596</v>
      </c>
      <c r="AU157" s="15">
        <f t="shared" si="834"/>
        <v>0.47711511789181693</v>
      </c>
      <c r="AV157" s="15">
        <f t="shared" si="834"/>
        <v>0.29154929577464794</v>
      </c>
      <c r="AW157" s="15">
        <f t="shared" si="834"/>
        <v>0.22537259178480551</v>
      </c>
      <c r="AX157" s="15">
        <f t="shared" si="834"/>
        <v>0.21239988134084831</v>
      </c>
      <c r="AY157" s="15">
        <f t="shared" si="834"/>
        <v>0.15904086126743322</v>
      </c>
      <c r="AZ157" s="15"/>
    </row>
    <row r="158" spans="1:52" x14ac:dyDescent="0.2">
      <c r="B158" s="13" t="s">
        <v>383</v>
      </c>
      <c r="H158" s="15">
        <f t="shared" ref="H158:K158" si="835">+H157</f>
        <v>0.74401700285224392</v>
      </c>
      <c r="I158" s="15">
        <f t="shared" si="835"/>
        <v>0.66281016381665037</v>
      </c>
      <c r="J158" s="15">
        <f t="shared" si="835"/>
        <v>0.62937842388597742</v>
      </c>
      <c r="K158" s="15">
        <f t="shared" si="835"/>
        <v>0.57353987114048977</v>
      </c>
      <c r="L158" s="15">
        <f>+L157</f>
        <v>0.53479058599678386</v>
      </c>
      <c r="M158" s="15">
        <f t="shared" ref="M158:AE158" si="836">+M157</f>
        <v>0.50111275964391688</v>
      </c>
      <c r="N158" s="15">
        <f t="shared" si="836"/>
        <v>0.44544144616190717</v>
      </c>
      <c r="O158" s="15">
        <f t="shared" si="836"/>
        <v>0.42080389250413819</v>
      </c>
      <c r="P158" s="15">
        <f t="shared" si="836"/>
        <v>0.34673624926944147</v>
      </c>
      <c r="Q158" s="15">
        <f t="shared" si="836"/>
        <v>0.34635975999949298</v>
      </c>
      <c r="R158" s="15">
        <f t="shared" si="836"/>
        <v>0.41391561483092598</v>
      </c>
      <c r="S158" s="15">
        <f t="shared" si="836"/>
        <v>0.40545808966861596</v>
      </c>
      <c r="T158" s="15">
        <f t="shared" si="836"/>
        <v>0.53059360730593608</v>
      </c>
      <c r="U158" s="15">
        <f t="shared" si="836"/>
        <v>0.57983193277310918</v>
      </c>
      <c r="V158" s="15">
        <f t="shared" si="836"/>
        <v>0.47403560830860503</v>
      </c>
      <c r="W158" s="15">
        <f t="shared" si="836"/>
        <v>0.47711511789181693</v>
      </c>
      <c r="X158" s="15">
        <f t="shared" si="836"/>
        <v>0.40811455847255385</v>
      </c>
      <c r="Y158" s="15">
        <f t="shared" si="836"/>
        <v>0.35478723404255308</v>
      </c>
      <c r="Z158" s="15">
        <f t="shared" si="836"/>
        <v>0.34524408656265737</v>
      </c>
      <c r="AA158" s="15">
        <f t="shared" si="836"/>
        <v>0.29154929577464794</v>
      </c>
      <c r="AB158" s="15">
        <f t="shared" si="836"/>
        <v>0.24152542372881358</v>
      </c>
      <c r="AC158" s="15">
        <f t="shared" si="836"/>
        <v>0.1872791519434629</v>
      </c>
      <c r="AD158" s="15">
        <f t="shared" si="836"/>
        <v>0.20763187429854102</v>
      </c>
      <c r="AE158" s="15">
        <f t="shared" si="836"/>
        <v>0.22537259178480551</v>
      </c>
      <c r="AF158" s="15">
        <f>+AF169</f>
        <v>0.20887372013651873</v>
      </c>
      <c r="AG158" s="15">
        <f t="shared" ref="AG158:AI158" si="837">+AG169</f>
        <v>0.22402777777777794</v>
      </c>
      <c r="AH158" s="15">
        <f t="shared" si="837"/>
        <v>0.191783823363749</v>
      </c>
      <c r="AI158" s="15">
        <f t="shared" si="837"/>
        <v>0.18275828591461929</v>
      </c>
      <c r="AJ158" s="15">
        <f t="shared" ref="AJ158:AM158" si="838">+AJ169</f>
        <v>0.17647605359067819</v>
      </c>
      <c r="AK158" s="15">
        <f t="shared" si="838"/>
        <v>0.16828651888222979</v>
      </c>
      <c r="AL158" s="15">
        <f t="shared" si="838"/>
        <v>0.1621484671902711</v>
      </c>
      <c r="AM158" s="15">
        <f t="shared" si="838"/>
        <v>0.15904086126743322</v>
      </c>
      <c r="AR158" s="15">
        <f t="shared" ref="AR158:AW158" si="839">+AR157</f>
        <v>0.57353987114048977</v>
      </c>
      <c r="AS158" s="15">
        <f t="shared" si="839"/>
        <v>0.42080389250413819</v>
      </c>
      <c r="AT158" s="15">
        <f t="shared" si="839"/>
        <v>0.40545808966861596</v>
      </c>
      <c r="AU158" s="15">
        <f t="shared" si="839"/>
        <v>0.47711511789181693</v>
      </c>
      <c r="AV158" s="15">
        <f t="shared" si="839"/>
        <v>0.29154929577464794</v>
      </c>
      <c r="AW158" s="15">
        <f t="shared" si="839"/>
        <v>0.22537259178480551</v>
      </c>
      <c r="AX158" s="15">
        <f>+AX169</f>
        <v>0.18275828591461929</v>
      </c>
      <c r="AY158" s="15">
        <f>+AY169</f>
        <v>0.15904086126743322</v>
      </c>
      <c r="AZ158" s="15"/>
    </row>
    <row r="159" spans="1:52" x14ac:dyDescent="0.2">
      <c r="B159" s="13" t="s">
        <v>214</v>
      </c>
      <c r="E159" s="15">
        <f t="shared" ref="E159:Z159" si="840">+IFERROR(E156/D156-1,"n/a")</f>
        <v>0.16573040365972158</v>
      </c>
      <c r="F159" s="15">
        <f t="shared" si="840"/>
        <v>0.14317859878137229</v>
      </c>
      <c r="G159" s="15">
        <f t="shared" si="840"/>
        <v>0.13368273768586825</v>
      </c>
      <c r="H159" s="15">
        <f t="shared" si="840"/>
        <v>0.15437515689063663</v>
      </c>
      <c r="I159" s="15">
        <f t="shared" si="840"/>
        <v>0.11145038167938948</v>
      </c>
      <c r="J159" s="15">
        <f t="shared" si="840"/>
        <v>0.12019434571363363</v>
      </c>
      <c r="K159" s="15">
        <f t="shared" si="840"/>
        <v>9.4831601315750635E-2</v>
      </c>
      <c r="L159" s="15">
        <f t="shared" si="840"/>
        <v>0.1259480334744727</v>
      </c>
      <c r="M159" s="15">
        <f t="shared" si="840"/>
        <v>8.7061886404826483E-2</v>
      </c>
      <c r="N159" s="15">
        <f t="shared" si="840"/>
        <v>7.8650037879096413E-2</v>
      </c>
      <c r="O159" s="15">
        <f t="shared" si="840"/>
        <v>7.6170193484072612E-2</v>
      </c>
      <c r="P159" s="15">
        <f t="shared" si="840"/>
        <v>6.7251461988304229E-2</v>
      </c>
      <c r="Q159" s="15">
        <f t="shared" si="840"/>
        <v>8.6757990867579959E-2</v>
      </c>
      <c r="R159" s="15">
        <f t="shared" si="840"/>
        <v>0.13277310924369767</v>
      </c>
      <c r="S159" s="15">
        <f t="shared" si="840"/>
        <v>6.973293768545985E-2</v>
      </c>
      <c r="T159" s="15">
        <f t="shared" si="840"/>
        <v>0.16227461858529835</v>
      </c>
      <c r="U159" s="15">
        <f t="shared" si="840"/>
        <v>0.12171837708830546</v>
      </c>
      <c r="V159" s="15">
        <f t="shared" si="840"/>
        <v>5.6914893617021178E-2</v>
      </c>
      <c r="W159" s="15">
        <f t="shared" si="840"/>
        <v>7.1967790639154483E-2</v>
      </c>
      <c r="X159" s="15">
        <f t="shared" si="840"/>
        <v>0.107981220657277</v>
      </c>
      <c r="Y159" s="15">
        <f t="shared" si="840"/>
        <v>7.9237288135593165E-2</v>
      </c>
      <c r="Z159" s="15">
        <f t="shared" si="840"/>
        <v>4.9469964664311084E-2</v>
      </c>
      <c r="AA159" s="15">
        <f t="shared" ref="AA159" si="841">+IFERROR(AA156/Z156-1,"n/a")</f>
        <v>2.9180695847362603E-2</v>
      </c>
      <c r="AB159" s="15">
        <f t="shared" ref="AB159:AC159" si="842">+IFERROR(AB156/AA156-1,"n/a")</f>
        <v>6.5067248273354972E-2</v>
      </c>
      <c r="AC159" s="15">
        <f t="shared" si="842"/>
        <v>3.2081911262798579E-2</v>
      </c>
      <c r="AD159" s="15">
        <f t="shared" ref="AD159:AE159" si="843">+IFERROR(AD156/AC156-1,"n/a")</f>
        <v>6.7460317460317665E-2</v>
      </c>
      <c r="AE159" s="15">
        <f t="shared" si="843"/>
        <v>4.4299876084262779E-2</v>
      </c>
      <c r="AF159" s="15">
        <f t="shared" ref="AF159" si="844">+IFERROR(AF156/AE156-1,"n/a")</f>
        <v>5.0726787303470688E-2</v>
      </c>
      <c r="AG159" s="15">
        <f t="shared" ref="AG159" si="845">+IFERROR(AG156/AF156-1,"n/a")</f>
        <v>6.634669678147942E-2</v>
      </c>
      <c r="AH159" s="15">
        <f t="shared" ref="AH159" si="846">+IFERROR(AH156/AG156-1,"n/a")</f>
        <v>4.5009266613714516E-2</v>
      </c>
      <c r="AI159" s="15">
        <f t="shared" ref="AI159" si="847">+IFERROR(AI156/AH156-1,"n/a")</f>
        <v>3.5469977197871705E-2</v>
      </c>
      <c r="AJ159" s="15">
        <f t="shared" ref="AJ159" si="848">+IFERROR(AJ156/AI156-1,"n/a")</f>
        <v>4.4042084658673764E-2</v>
      </c>
      <c r="AK159" s="15">
        <f t="shared" ref="AK159" si="849">+IFERROR(AK156/AJ156-1,"n/a")</f>
        <v>3.9840637450199168E-2</v>
      </c>
      <c r="AL159" s="15">
        <f t="shared" ref="AL159" si="850">+IFERROR(AL156/AK156-1,"n/a")</f>
        <v>3.380662609871532E-2</v>
      </c>
      <c r="AM159" s="15">
        <f t="shared" ref="AM159" si="851">+IFERROR(AM156/AL156-1,"n/a")</f>
        <v>3.2701111837802443E-2</v>
      </c>
      <c r="AR159" s="15">
        <f t="shared" ref="AR159:AY159" si="852">+IFERROR(AR156/AQ156-1,"n/a")</f>
        <v>0.57353987114048977</v>
      </c>
      <c r="AS159" s="15">
        <f t="shared" si="852"/>
        <v>0.42080389250413819</v>
      </c>
      <c r="AT159" s="15">
        <f t="shared" si="852"/>
        <v>0.40545808966861596</v>
      </c>
      <c r="AU159" s="15">
        <f t="shared" si="852"/>
        <v>0.47711511789181693</v>
      </c>
      <c r="AV159" s="15">
        <f t="shared" si="852"/>
        <v>0.29154929577464794</v>
      </c>
      <c r="AW159" s="15">
        <f t="shared" si="852"/>
        <v>0.22537259178480551</v>
      </c>
      <c r="AX159" s="15">
        <f t="shared" si="852"/>
        <v>0.21239988134084831</v>
      </c>
      <c r="AY159" s="15">
        <f t="shared" si="852"/>
        <v>0.15904086126743322</v>
      </c>
      <c r="AZ159" s="15"/>
    </row>
    <row r="160" spans="1:52" x14ac:dyDescent="0.2">
      <c r="B160" s="13" t="s">
        <v>384</v>
      </c>
      <c r="E160" s="15">
        <f t="shared" ref="E160:K160" si="853">+E159</f>
        <v>0.16573040365972158</v>
      </c>
      <c r="F160" s="15">
        <f t="shared" si="853"/>
        <v>0.14317859878137229</v>
      </c>
      <c r="G160" s="15">
        <f t="shared" si="853"/>
        <v>0.13368273768586825</v>
      </c>
      <c r="H160" s="15">
        <f t="shared" si="853"/>
        <v>0.15437515689063663</v>
      </c>
      <c r="I160" s="15">
        <f t="shared" si="853"/>
        <v>0.11145038167938948</v>
      </c>
      <c r="J160" s="15">
        <f t="shared" si="853"/>
        <v>0.12019434571363363</v>
      </c>
      <c r="K160" s="15">
        <f t="shared" si="853"/>
        <v>9.4831601315750635E-2</v>
      </c>
      <c r="L160" s="15">
        <f>+L159</f>
        <v>0.1259480334744727</v>
      </c>
      <c r="M160" s="15">
        <f t="shared" ref="M160:AE160" si="854">+M159</f>
        <v>8.7061886404826483E-2</v>
      </c>
      <c r="N160" s="15">
        <f t="shared" si="854"/>
        <v>7.8650037879096413E-2</v>
      </c>
      <c r="O160" s="15">
        <f t="shared" si="854"/>
        <v>7.6170193484072612E-2</v>
      </c>
      <c r="P160" s="15">
        <f t="shared" si="854"/>
        <v>6.7251461988304229E-2</v>
      </c>
      <c r="Q160" s="15">
        <f t="shared" si="854"/>
        <v>8.6757990867579959E-2</v>
      </c>
      <c r="R160" s="15">
        <f t="shared" si="854"/>
        <v>0.13277310924369767</v>
      </c>
      <c r="S160" s="15">
        <f t="shared" si="854"/>
        <v>6.973293768545985E-2</v>
      </c>
      <c r="T160" s="15">
        <f t="shared" si="854"/>
        <v>0.16227461858529835</v>
      </c>
      <c r="U160" s="15">
        <f t="shared" si="854"/>
        <v>0.12171837708830546</v>
      </c>
      <c r="V160" s="15">
        <f t="shared" si="854"/>
        <v>5.6914893617021178E-2</v>
      </c>
      <c r="W160" s="15">
        <f t="shared" si="854"/>
        <v>7.1967790639154483E-2</v>
      </c>
      <c r="X160" s="15">
        <f t="shared" si="854"/>
        <v>0.107981220657277</v>
      </c>
      <c r="Y160" s="15">
        <f t="shared" si="854"/>
        <v>7.9237288135593165E-2</v>
      </c>
      <c r="Z160" s="15">
        <f t="shared" si="854"/>
        <v>4.9469964664311084E-2</v>
      </c>
      <c r="AA160" s="15">
        <f t="shared" si="854"/>
        <v>2.9180695847362603E-2</v>
      </c>
      <c r="AB160" s="15">
        <f t="shared" si="854"/>
        <v>6.5067248273354972E-2</v>
      </c>
      <c r="AC160" s="15">
        <f t="shared" si="854"/>
        <v>3.2081911262798579E-2</v>
      </c>
      <c r="AD160" s="15">
        <f t="shared" si="854"/>
        <v>6.7460317460317665E-2</v>
      </c>
      <c r="AE160" s="15">
        <f t="shared" si="854"/>
        <v>4.4299876084262779E-2</v>
      </c>
      <c r="AF160" s="15">
        <f>+AF171</f>
        <v>5.0726787303470688E-2</v>
      </c>
      <c r="AG160" s="15">
        <f t="shared" ref="AG160:AI160" si="855">+AG171</f>
        <v>4.5019762845849964E-2</v>
      </c>
      <c r="AH160" s="15">
        <f t="shared" si="855"/>
        <v>3.8553926877993527E-2</v>
      </c>
      <c r="AI160" s="15">
        <f t="shared" si="855"/>
        <v>3.5469977197871705E-2</v>
      </c>
      <c r="AJ160" s="15">
        <f t="shared" ref="AJ160:AM160" si="856">+AJ171</f>
        <v>4.4042084658673764E-2</v>
      </c>
      <c r="AK160" s="15">
        <f t="shared" si="856"/>
        <v>3.9840637450199168E-2</v>
      </c>
      <c r="AL160" s="15">
        <f t="shared" si="856"/>
        <v>3.380662609871532E-2</v>
      </c>
      <c r="AM160" s="15">
        <f t="shared" si="856"/>
        <v>3.2701111837802443E-2</v>
      </c>
      <c r="AR160" s="15">
        <f t="shared" ref="AR160:AW160" si="857">+AR159</f>
        <v>0.57353987114048977</v>
      </c>
      <c r="AS160" s="15">
        <f t="shared" si="857"/>
        <v>0.42080389250413819</v>
      </c>
      <c r="AT160" s="15">
        <f t="shared" si="857"/>
        <v>0.40545808966861596</v>
      </c>
      <c r="AU160" s="15">
        <f t="shared" si="857"/>
        <v>0.47711511789181693</v>
      </c>
      <c r="AV160" s="15">
        <f t="shared" si="857"/>
        <v>0.29154929577464794</v>
      </c>
      <c r="AW160" s="15">
        <f t="shared" si="857"/>
        <v>0.22537259178480551</v>
      </c>
      <c r="AX160" s="15">
        <f>+AX171</f>
        <v>0.18275828591461929</v>
      </c>
      <c r="AY160" s="15">
        <f>+AY171</f>
        <v>0.15904086126743322</v>
      </c>
      <c r="AZ160" s="15"/>
    </row>
    <row r="161" spans="2:52" x14ac:dyDescent="0.2">
      <c r="B161" s="13" t="s">
        <v>117</v>
      </c>
      <c r="E161" s="14">
        <f t="shared" ref="E161:Z161" si="858">+E156-D156</f>
        <v>5.0342399999999934</v>
      </c>
      <c r="F161" s="14">
        <f t="shared" si="858"/>
        <v>5.07</v>
      </c>
      <c r="G161" s="14">
        <f t="shared" si="858"/>
        <v>5.411520000000003</v>
      </c>
      <c r="H161" s="14">
        <f t="shared" si="858"/>
        <v>7.0845599999999962</v>
      </c>
      <c r="I161" s="14">
        <f t="shared" si="858"/>
        <v>5.9042400000000086</v>
      </c>
      <c r="J161" s="14">
        <f t="shared" si="858"/>
        <v>7.0771200000000007</v>
      </c>
      <c r="K161" s="14">
        <f t="shared" si="858"/>
        <v>6.2548799999999716</v>
      </c>
      <c r="L161" s="14">
        <f t="shared" si="858"/>
        <v>9.09504000000004</v>
      </c>
      <c r="M161" s="14">
        <f t="shared" si="858"/>
        <v>7.0787999999999869</v>
      </c>
      <c r="N161" s="14">
        <f t="shared" si="858"/>
        <v>6.9515999999999991</v>
      </c>
      <c r="O161" s="14">
        <f t="shared" si="858"/>
        <v>7.2619199999999893</v>
      </c>
      <c r="P161" s="14">
        <f t="shared" si="858"/>
        <v>6.9000000000000057</v>
      </c>
      <c r="Q161" s="14">
        <f t="shared" si="858"/>
        <v>9.5</v>
      </c>
      <c r="R161" s="14">
        <f t="shared" si="858"/>
        <v>15.800000000000011</v>
      </c>
      <c r="S161" s="14">
        <f t="shared" si="858"/>
        <v>9.3999999999999773</v>
      </c>
      <c r="T161" s="14">
        <f t="shared" si="858"/>
        <v>23.400000000000006</v>
      </c>
      <c r="U161" s="14">
        <f t="shared" si="858"/>
        <v>20.400000000000006</v>
      </c>
      <c r="V161" s="14">
        <f t="shared" si="858"/>
        <v>10.699999999999989</v>
      </c>
      <c r="W161" s="14">
        <f t="shared" si="858"/>
        <v>14.300000000000011</v>
      </c>
      <c r="X161" s="14">
        <f t="shared" si="858"/>
        <v>23</v>
      </c>
      <c r="Y161" s="14">
        <f t="shared" si="858"/>
        <v>18.699999999999989</v>
      </c>
      <c r="Z161" s="14">
        <f t="shared" si="858"/>
        <v>12.600000000000023</v>
      </c>
      <c r="AA161" s="14">
        <f t="shared" ref="AA161" si="859">+AA156-Z156</f>
        <v>7.8000000000000114</v>
      </c>
      <c r="AB161" s="14">
        <f t="shared" ref="AB161:AC161" si="860">+AB156-AA156</f>
        <v>17.899999999999977</v>
      </c>
      <c r="AC161" s="14">
        <f t="shared" si="860"/>
        <v>9.3999999999999773</v>
      </c>
      <c r="AD161" s="14">
        <f t="shared" ref="AD161:AE161" si="861">+AD156-AC156</f>
        <v>20.400000000000034</v>
      </c>
      <c r="AE161" s="14">
        <f t="shared" si="861"/>
        <v>14.300000000000011</v>
      </c>
      <c r="AF161" s="14">
        <f t="shared" ref="AF161" si="862">+AF156-AE156</f>
        <v>17.099999999999966</v>
      </c>
      <c r="AG161" s="14">
        <f t="shared" ref="AG161" si="863">+AG156-AF156</f>
        <v>23.5</v>
      </c>
      <c r="AH161" s="14">
        <f t="shared" ref="AH161" si="864">+AH156-AG156</f>
        <v>17</v>
      </c>
      <c r="AI161" s="14">
        <f t="shared" ref="AI161" si="865">+AI156-AH156</f>
        <v>14</v>
      </c>
      <c r="AJ161" s="14">
        <f t="shared" ref="AJ161" si="866">+AJ156-AI156</f>
        <v>18</v>
      </c>
      <c r="AK161" s="14">
        <f t="shared" ref="AK161" si="867">+AK156-AJ156</f>
        <v>17</v>
      </c>
      <c r="AL161" s="14">
        <f t="shared" ref="AL161" si="868">+AL156-AK156</f>
        <v>15</v>
      </c>
      <c r="AM161" s="14">
        <f t="shared" ref="AM161" si="869">+AM156-AL156</f>
        <v>15</v>
      </c>
      <c r="AR161" s="14">
        <f t="shared" ref="AR161:AY161" si="870">+AR156-AQ156</f>
        <v>26.320799999999977</v>
      </c>
      <c r="AS161" s="14">
        <f t="shared" si="870"/>
        <v>30.387360000000015</v>
      </c>
      <c r="AT161" s="14">
        <f t="shared" si="870"/>
        <v>41.599999999999994</v>
      </c>
      <c r="AU161" s="14">
        <f t="shared" si="870"/>
        <v>68.800000000000011</v>
      </c>
      <c r="AV161" s="14">
        <f t="shared" si="870"/>
        <v>62.100000000000023</v>
      </c>
      <c r="AW161" s="14">
        <f t="shared" si="870"/>
        <v>62</v>
      </c>
      <c r="AX161" s="14">
        <f t="shared" si="870"/>
        <v>71.599999999999966</v>
      </c>
      <c r="AY161" s="14">
        <f t="shared" si="870"/>
        <v>65</v>
      </c>
      <c r="AZ161" s="14"/>
    </row>
    <row r="162" spans="2:52" x14ac:dyDescent="0.2">
      <c r="B162" s="20" t="s">
        <v>18</v>
      </c>
      <c r="H162" s="120" t="str">
        <f t="shared" ref="H162" si="871">IFERROR(H161/D161-1,"n/a")</f>
        <v>n/a</v>
      </c>
      <c r="I162" s="120">
        <f t="shared" ref="I162" si="872">IFERROR(I161/E161-1,"n/a")</f>
        <v>0.17281655225019388</v>
      </c>
      <c r="J162" s="120">
        <f t="shared" ref="J162" si="873">IFERROR(J161/F161-1,"n/a")</f>
        <v>0.39588165680473386</v>
      </c>
      <c r="K162" s="120">
        <f t="shared" ref="K162" si="874">IFERROR(K161/G161-1,"n/a")</f>
        <v>0.15584530778782457</v>
      </c>
      <c r="L162" s="15">
        <f>IFERROR(L161/H161-1,"n/a")</f>
        <v>0.28378332599343437</v>
      </c>
      <c r="M162" s="15">
        <f t="shared" ref="M162" si="875">IFERROR(M161/I161-1,"n/a")</f>
        <v>0.19893500264216502</v>
      </c>
      <c r="N162" s="15">
        <f t="shared" ref="N162" si="876">IFERROR(N161/J161-1,"n/a")</f>
        <v>-1.7736028214867305E-2</v>
      </c>
      <c r="O162" s="15">
        <f t="shared" ref="O162" si="877">IFERROR(O161/K161-1,"n/a")</f>
        <v>0.16100069066073575</v>
      </c>
      <c r="P162" s="15">
        <f t="shared" ref="P162" si="878">IFERROR(P161/L161-1,"n/a")</f>
        <v>-0.24134473295334868</v>
      </c>
      <c r="Q162" s="15">
        <f t="shared" ref="Q162" si="879">IFERROR(Q161/M161-1,"n/a")</f>
        <v>0.34203537322710309</v>
      </c>
      <c r="R162" s="15">
        <f t="shared" ref="R162" si="880">IFERROR(R161/N161-1,"n/a")</f>
        <v>1.2728580470683029</v>
      </c>
      <c r="S162" s="15">
        <f t="shared" ref="S162" si="881">IFERROR(S161/O161-1,"n/a")</f>
        <v>0.29442351334082328</v>
      </c>
      <c r="T162" s="15">
        <f t="shared" ref="T162" si="882">IFERROR(T161/P161-1,"n/a")</f>
        <v>2.3913043478260851</v>
      </c>
      <c r="U162" s="15">
        <f t="shared" ref="U162" si="883">IFERROR(U161/Q161-1,"n/a")</f>
        <v>1.147368421052632</v>
      </c>
      <c r="V162" s="15">
        <f t="shared" ref="V162" si="884">IFERROR(V161/R161-1,"n/a")</f>
        <v>-0.32278481012658344</v>
      </c>
      <c r="W162" s="15">
        <f t="shared" ref="W162" si="885">IFERROR(W161/S161-1,"n/a")</f>
        <v>0.52127659574468566</v>
      </c>
      <c r="X162" s="15">
        <f t="shared" ref="X162" si="886">IFERROR(X161/T161-1,"n/a")</f>
        <v>-1.7094017094017366E-2</v>
      </c>
      <c r="Y162" s="15">
        <f t="shared" ref="Y162" si="887">IFERROR(Y161/U161-1,"n/a")</f>
        <v>-8.3333333333334147E-2</v>
      </c>
      <c r="Z162" s="15">
        <f t="shared" ref="Z162" si="888">IFERROR(Z161/V161-1,"n/a")</f>
        <v>0.17757009345794739</v>
      </c>
      <c r="AA162" s="15">
        <f t="shared" ref="AA162" si="889">IFERROR(AA161/W161-1,"n/a")</f>
        <v>-0.45454545454545414</v>
      </c>
      <c r="AB162" s="15">
        <f t="shared" ref="AB162:AC162" si="890">IFERROR(AB161/X161-1,"n/a")</f>
        <v>-0.22173913043478355</v>
      </c>
      <c r="AC162" s="15">
        <f t="shared" si="890"/>
        <v>-0.49732620320855703</v>
      </c>
      <c r="AD162" s="15">
        <f t="shared" ref="AD162:AE162" si="891">IFERROR(AD161/Z161-1,"n/a")</f>
        <v>0.61904761904761885</v>
      </c>
      <c r="AE162" s="15">
        <f t="shared" si="891"/>
        <v>0.83333333333333215</v>
      </c>
      <c r="AF162" s="15">
        <f t="shared" ref="AF162" si="892">IFERROR(AF161/AB161-1,"n/a")</f>
        <v>-4.4692737430168328E-2</v>
      </c>
      <c r="AG162" s="15">
        <f t="shared" ref="AG162" si="893">IFERROR(AG161/AC161-1,"n/a")</f>
        <v>1.5000000000000062</v>
      </c>
      <c r="AH162" s="15">
        <f t="shared" ref="AH162" si="894">IFERROR(AH161/AD161-1,"n/a")</f>
        <v>-0.16666666666666807</v>
      </c>
      <c r="AI162" s="15">
        <f t="shared" ref="AI162" si="895">IFERROR(AI161/AE161-1,"n/a")</f>
        <v>-2.0979020979021712E-2</v>
      </c>
      <c r="AJ162" s="15">
        <f t="shared" ref="AJ162" si="896">IFERROR(AJ161/AF161-1,"n/a")</f>
        <v>5.2631578947370583E-2</v>
      </c>
      <c r="AK162" s="15">
        <f t="shared" ref="AK162" si="897">IFERROR(AK161/AG161-1,"n/a")</f>
        <v>-0.27659574468085102</v>
      </c>
      <c r="AL162" s="15">
        <f t="shared" ref="AL162" si="898">IFERROR(AL161/AH161-1,"n/a")</f>
        <v>-0.11764705882352944</v>
      </c>
      <c r="AM162" s="15">
        <f t="shared" ref="AM162" si="899">IFERROR(AM161/AI161-1,"n/a")</f>
        <v>7.1428571428571397E-2</v>
      </c>
      <c r="AR162" s="120"/>
      <c r="AS162" s="120">
        <f t="shared" ref="AS162" si="900">IFERROR(AS161/AR161-1,"n/a")</f>
        <v>0.15449986322604325</v>
      </c>
      <c r="AT162" s="120">
        <f t="shared" ref="AT162" si="901">IFERROR(AT161/AS161-1,"n/a")</f>
        <v>0.36899026437308047</v>
      </c>
      <c r="AU162" s="120">
        <f t="shared" ref="AU162" si="902">IFERROR(AU161/AT161-1,"n/a")</f>
        <v>0.65384615384615441</v>
      </c>
      <c r="AV162" s="120">
        <f t="shared" ref="AV162" si="903">IFERROR(AV161/AU161-1,"n/a")</f>
        <v>-9.7383720930232398E-2</v>
      </c>
      <c r="AW162" s="120">
        <f t="shared" ref="AW162:AY162" si="904">IFERROR(AW161/AV161-1,"n/a")</f>
        <v>-1.6103059581323853E-3</v>
      </c>
      <c r="AX162" s="120">
        <f t="shared" si="904"/>
        <v>0.15483870967741886</v>
      </c>
      <c r="AY162" s="120">
        <f t="shared" si="904"/>
        <v>-9.2178770949720268E-2</v>
      </c>
      <c r="AZ162" s="120"/>
    </row>
    <row r="163" spans="2:52" x14ac:dyDescent="0.2">
      <c r="B163" s="13" t="s">
        <v>385</v>
      </c>
      <c r="E163" s="14">
        <f t="shared" ref="E163:K163" si="905">+E161</f>
        <v>5.0342399999999934</v>
      </c>
      <c r="F163" s="14">
        <f t="shared" si="905"/>
        <v>5.07</v>
      </c>
      <c r="G163" s="14">
        <f t="shared" si="905"/>
        <v>5.411520000000003</v>
      </c>
      <c r="H163" s="14">
        <f t="shared" si="905"/>
        <v>7.0845599999999962</v>
      </c>
      <c r="I163" s="14">
        <f t="shared" si="905"/>
        <v>5.9042400000000086</v>
      </c>
      <c r="J163" s="14">
        <f t="shared" si="905"/>
        <v>7.0771200000000007</v>
      </c>
      <c r="K163" s="14">
        <f t="shared" si="905"/>
        <v>6.2548799999999716</v>
      </c>
      <c r="L163" s="14">
        <f>+L161</f>
        <v>9.09504000000004</v>
      </c>
      <c r="M163" s="14">
        <f t="shared" ref="M163:AE163" si="906">+M161</f>
        <v>7.0787999999999869</v>
      </c>
      <c r="N163" s="14">
        <f t="shared" si="906"/>
        <v>6.9515999999999991</v>
      </c>
      <c r="O163" s="14">
        <f t="shared" si="906"/>
        <v>7.2619199999999893</v>
      </c>
      <c r="P163" s="14">
        <f t="shared" si="906"/>
        <v>6.9000000000000057</v>
      </c>
      <c r="Q163" s="14">
        <f t="shared" si="906"/>
        <v>9.5</v>
      </c>
      <c r="R163" s="14">
        <f t="shared" si="906"/>
        <v>15.800000000000011</v>
      </c>
      <c r="S163" s="14">
        <f t="shared" si="906"/>
        <v>9.3999999999999773</v>
      </c>
      <c r="T163" s="14">
        <f t="shared" si="906"/>
        <v>23.400000000000006</v>
      </c>
      <c r="U163" s="14">
        <f t="shared" si="906"/>
        <v>20.400000000000006</v>
      </c>
      <c r="V163" s="14">
        <f t="shared" si="906"/>
        <v>10.699999999999989</v>
      </c>
      <c r="W163" s="14">
        <f t="shared" si="906"/>
        <v>14.300000000000011</v>
      </c>
      <c r="X163" s="14">
        <f t="shared" si="906"/>
        <v>23</v>
      </c>
      <c r="Y163" s="14">
        <f t="shared" si="906"/>
        <v>18.699999999999989</v>
      </c>
      <c r="Z163" s="14">
        <f t="shared" si="906"/>
        <v>12.600000000000023</v>
      </c>
      <c r="AA163" s="14">
        <f t="shared" si="906"/>
        <v>7.8000000000000114</v>
      </c>
      <c r="AB163" s="14">
        <f t="shared" si="906"/>
        <v>17.899999999999977</v>
      </c>
      <c r="AC163" s="14">
        <f t="shared" si="906"/>
        <v>9.3999999999999773</v>
      </c>
      <c r="AD163" s="14">
        <f t="shared" si="906"/>
        <v>20.400000000000034</v>
      </c>
      <c r="AE163" s="14">
        <f t="shared" si="906"/>
        <v>14.300000000000011</v>
      </c>
      <c r="AF163" s="14">
        <f>+AF174</f>
        <v>17.099999999999966</v>
      </c>
      <c r="AG163" s="14">
        <f t="shared" ref="AG163:AI163" si="907">+AG174</f>
        <v>15.946</v>
      </c>
      <c r="AH163" s="14">
        <f t="shared" si="907"/>
        <v>14.561818181818184</v>
      </c>
      <c r="AI163" s="14">
        <f t="shared" si="907"/>
        <v>14</v>
      </c>
      <c r="AJ163" s="14">
        <f t="shared" ref="AJ163:AM163" si="908">+AJ174</f>
        <v>18</v>
      </c>
      <c r="AK163" s="14">
        <f t="shared" si="908"/>
        <v>17</v>
      </c>
      <c r="AL163" s="14">
        <f t="shared" si="908"/>
        <v>15</v>
      </c>
      <c r="AM163" s="14">
        <f t="shared" si="908"/>
        <v>15</v>
      </c>
      <c r="AR163" s="14">
        <f t="shared" ref="AR163:AW163" si="909">+AR161</f>
        <v>26.320799999999977</v>
      </c>
      <c r="AS163" s="14">
        <f t="shared" si="909"/>
        <v>30.387360000000015</v>
      </c>
      <c r="AT163" s="14">
        <f t="shared" si="909"/>
        <v>41.599999999999994</v>
      </c>
      <c r="AU163" s="14">
        <f t="shared" si="909"/>
        <v>68.800000000000011</v>
      </c>
      <c r="AV163" s="14">
        <f t="shared" si="909"/>
        <v>62.100000000000023</v>
      </c>
      <c r="AW163" s="14">
        <f t="shared" si="909"/>
        <v>62</v>
      </c>
      <c r="AX163" s="14">
        <f>+AX174</f>
        <v>61.607818181818146</v>
      </c>
      <c r="AY163" s="14">
        <f>+AY174</f>
        <v>65</v>
      </c>
      <c r="AZ163" s="120"/>
    </row>
    <row r="164" spans="2:52" x14ac:dyDescent="0.2">
      <c r="B164" s="20" t="s">
        <v>18</v>
      </c>
      <c r="C164" s="238"/>
      <c r="D164" s="238"/>
      <c r="E164" s="238"/>
      <c r="F164" s="238"/>
      <c r="G164" s="238"/>
      <c r="H164" s="120" t="str">
        <f t="shared" ref="H164:K164" si="910">IFERROR(H163/D163-1,"n/a")</f>
        <v>n/a</v>
      </c>
      <c r="I164" s="120">
        <f t="shared" si="910"/>
        <v>0.17281655225019388</v>
      </c>
      <c r="J164" s="120">
        <f t="shared" si="910"/>
        <v>0.39588165680473386</v>
      </c>
      <c r="K164" s="120">
        <f t="shared" si="910"/>
        <v>0.15584530778782457</v>
      </c>
      <c r="L164" s="120">
        <f>IFERROR(L163/H163-1,"n/a")</f>
        <v>0.28378332599343437</v>
      </c>
      <c r="M164" s="120">
        <f t="shared" ref="M164" si="911">IFERROR(M163/I163-1,"n/a")</f>
        <v>0.19893500264216502</v>
      </c>
      <c r="N164" s="120">
        <f t="shared" ref="N164" si="912">IFERROR(N163/J163-1,"n/a")</f>
        <v>-1.7736028214867305E-2</v>
      </c>
      <c r="O164" s="120">
        <f t="shared" ref="O164" si="913">IFERROR(O163/K163-1,"n/a")</f>
        <v>0.16100069066073575</v>
      </c>
      <c r="P164" s="120">
        <f t="shared" ref="P164" si="914">IFERROR(P163/L163-1,"n/a")</f>
        <v>-0.24134473295334868</v>
      </c>
      <c r="Q164" s="120">
        <f t="shared" ref="Q164" si="915">IFERROR(Q163/M163-1,"n/a")</f>
        <v>0.34203537322710309</v>
      </c>
      <c r="R164" s="120">
        <f t="shared" ref="R164" si="916">IFERROR(R163/N163-1,"n/a")</f>
        <v>1.2728580470683029</v>
      </c>
      <c r="S164" s="120">
        <f t="shared" ref="S164" si="917">IFERROR(S163/O163-1,"n/a")</f>
        <v>0.29442351334082328</v>
      </c>
      <c r="T164" s="120">
        <f t="shared" ref="T164" si="918">IFERROR(T163/P163-1,"n/a")</f>
        <v>2.3913043478260851</v>
      </c>
      <c r="U164" s="120">
        <f t="shared" ref="U164" si="919">IFERROR(U163/Q163-1,"n/a")</f>
        <v>1.147368421052632</v>
      </c>
      <c r="V164" s="120">
        <f t="shared" ref="V164" si="920">IFERROR(V163/R163-1,"n/a")</f>
        <v>-0.32278481012658344</v>
      </c>
      <c r="W164" s="120">
        <f t="shared" ref="W164" si="921">IFERROR(W163/S163-1,"n/a")</f>
        <v>0.52127659574468566</v>
      </c>
      <c r="X164" s="120">
        <f t="shared" ref="X164" si="922">IFERROR(X163/T163-1,"n/a")</f>
        <v>-1.7094017094017366E-2</v>
      </c>
      <c r="Y164" s="120">
        <f t="shared" ref="Y164" si="923">IFERROR(Y163/U163-1,"n/a")</f>
        <v>-8.3333333333334147E-2</v>
      </c>
      <c r="Z164" s="120">
        <f t="shared" ref="Z164" si="924">IFERROR(Z163/V163-1,"n/a")</f>
        <v>0.17757009345794739</v>
      </c>
      <c r="AA164" s="120">
        <f t="shared" ref="AA164" si="925">IFERROR(AA163/W163-1,"n/a")</f>
        <v>-0.45454545454545414</v>
      </c>
      <c r="AB164" s="120">
        <f t="shared" ref="AB164" si="926">IFERROR(AB163/X163-1,"n/a")</f>
        <v>-0.22173913043478355</v>
      </c>
      <c r="AC164" s="120">
        <f t="shared" ref="AC164" si="927">IFERROR(AC163/Y163-1,"n/a")</f>
        <v>-0.49732620320855703</v>
      </c>
      <c r="AD164" s="120">
        <f t="shared" ref="AD164" si="928">IFERROR(AD163/Z163-1,"n/a")</f>
        <v>0.61904761904761885</v>
      </c>
      <c r="AE164" s="120">
        <f t="shared" ref="AE164" si="929">IFERROR(AE163/AA163-1,"n/a")</f>
        <v>0.83333333333333215</v>
      </c>
      <c r="AF164" s="120">
        <f t="shared" ref="AF164" si="930">IFERROR(AF163/AB163-1,"n/a")</f>
        <v>-4.4692737430168328E-2</v>
      </c>
      <c r="AG164" s="120">
        <f t="shared" ref="AG164" si="931">IFERROR(AG163/AC163-1,"n/a")</f>
        <v>0.69638297872340837</v>
      </c>
      <c r="AH164" s="120">
        <f t="shared" ref="AH164" si="932">IFERROR(AH163/AD163-1,"n/a")</f>
        <v>-0.28618538324420784</v>
      </c>
      <c r="AI164" s="120">
        <f t="shared" ref="AI164" si="933">IFERROR(AI163/AE163-1,"n/a")</f>
        <v>-2.0979020979021712E-2</v>
      </c>
      <c r="AJ164" s="120">
        <f t="shared" ref="AJ164" si="934">IFERROR(AJ163/AF163-1,"n/a")</f>
        <v>5.2631578947370583E-2</v>
      </c>
      <c r="AK164" s="120">
        <f t="shared" ref="AK164" si="935">IFERROR(AK163/AG163-1,"n/a")</f>
        <v>6.6098081023454158E-2</v>
      </c>
      <c r="AL164" s="120">
        <f t="shared" ref="AL164" si="936">IFERROR(AL163/AH163-1,"n/a")</f>
        <v>3.0091147459108347E-2</v>
      </c>
      <c r="AM164" s="120">
        <f t="shared" ref="AM164" si="937">IFERROR(AM163/AI163-1,"n/a")</f>
        <v>7.1428571428571397E-2</v>
      </c>
      <c r="AR164" s="120"/>
      <c r="AS164" s="120">
        <f t="shared" ref="AS164" si="938">IFERROR(AS163/AR163-1,"n/a")</f>
        <v>0.15449986322604325</v>
      </c>
      <c r="AT164" s="120">
        <f t="shared" ref="AT164" si="939">IFERROR(AT163/AS163-1,"n/a")</f>
        <v>0.36899026437308047</v>
      </c>
      <c r="AU164" s="120">
        <f t="shared" ref="AU164" si="940">IFERROR(AU163/AT163-1,"n/a")</f>
        <v>0.65384615384615441</v>
      </c>
      <c r="AV164" s="120">
        <f t="shared" ref="AV164" si="941">IFERROR(AV163/AU163-1,"n/a")</f>
        <v>-9.7383720930232398E-2</v>
      </c>
      <c r="AW164" s="120">
        <f t="shared" ref="AW164" si="942">IFERROR(AW163/AV163-1,"n/a")</f>
        <v>-1.6103059581323853E-3</v>
      </c>
      <c r="AX164" s="120">
        <f t="shared" ref="AX164:AY164" si="943">IFERROR(AX163/AW163-1,"n/a")</f>
        <v>-6.3255131964815581E-3</v>
      </c>
      <c r="AY164" s="120">
        <f t="shared" si="943"/>
        <v>5.5060898410178805E-2</v>
      </c>
      <c r="AZ164" s="120"/>
    </row>
    <row r="165" spans="2:52" x14ac:dyDescent="0.2">
      <c r="B165" s="20"/>
      <c r="H165" s="120"/>
      <c r="I165" s="120"/>
      <c r="J165" s="120"/>
      <c r="K165" s="120"/>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R165" s="120"/>
      <c r="AS165" s="120"/>
      <c r="AT165" s="120"/>
      <c r="AU165" s="120"/>
      <c r="AV165" s="120"/>
      <c r="AW165" s="120"/>
    </row>
    <row r="166" spans="2:52" x14ac:dyDescent="0.2">
      <c r="B166" s="19" t="s">
        <v>35</v>
      </c>
      <c r="H166" s="120"/>
      <c r="I166" s="120"/>
      <c r="J166" s="120"/>
      <c r="K166" s="120"/>
      <c r="L166" s="15"/>
      <c r="M166" s="15"/>
      <c r="N166" s="15"/>
      <c r="O166" s="15"/>
      <c r="P166" s="15"/>
      <c r="Q166" s="15"/>
      <c r="R166" s="15"/>
      <c r="S166" s="15"/>
      <c r="T166" s="235"/>
      <c r="U166" s="15"/>
      <c r="V166" s="15"/>
      <c r="W166" s="15"/>
      <c r="X166" s="15"/>
      <c r="Y166" s="15"/>
      <c r="Z166" s="15"/>
      <c r="AA166" s="15"/>
      <c r="AB166" s="15"/>
      <c r="AC166" s="15"/>
      <c r="AD166" s="15"/>
      <c r="AE166" s="15"/>
      <c r="AF166" s="15"/>
      <c r="AG166" s="15"/>
      <c r="AH166" s="159"/>
      <c r="AI166" s="15"/>
      <c r="AJ166" s="15"/>
      <c r="AK166" s="15"/>
      <c r="AL166" s="15"/>
      <c r="AM166" s="15"/>
      <c r="AR166" s="120"/>
      <c r="AS166" s="120"/>
      <c r="AT166" s="120"/>
      <c r="AU166" s="120"/>
      <c r="AV166" s="120"/>
      <c r="AW166" s="120"/>
    </row>
    <row r="167" spans="2:52" x14ac:dyDescent="0.2">
      <c r="B167" s="13" t="s">
        <v>284</v>
      </c>
      <c r="H167" s="120"/>
      <c r="I167" s="120"/>
      <c r="J167" s="120"/>
      <c r="K167" s="120"/>
      <c r="L167" s="15"/>
      <c r="M167" s="15"/>
      <c r="N167" s="15"/>
      <c r="O167" s="15"/>
      <c r="P167" s="15"/>
      <c r="Q167" s="15"/>
      <c r="R167" s="15"/>
      <c r="S167" s="15"/>
      <c r="T167" s="235">
        <v>169.28</v>
      </c>
      <c r="U167" s="158">
        <f>+T167+16.98</f>
        <v>186.26</v>
      </c>
      <c r="V167" s="158">
        <f>+U167+15.23</f>
        <v>201.48999999999998</v>
      </c>
      <c r="W167" s="158">
        <f>+V167+14.22</f>
        <v>215.70999999999998</v>
      </c>
      <c r="X167" s="158">
        <f>+W167+22.72</f>
        <v>238.42999999999998</v>
      </c>
      <c r="Y167" s="158">
        <f>+X167+13.93</f>
        <v>252.35999999999999</v>
      </c>
      <c r="Z167" s="158">
        <f>+Y167+14.97</f>
        <v>267.33</v>
      </c>
      <c r="AA167" s="158">
        <v>275.10000000000002</v>
      </c>
      <c r="AB167" s="158">
        <v>293</v>
      </c>
      <c r="AC167" s="158">
        <v>302.39999999999998</v>
      </c>
      <c r="AD167" s="158">
        <v>322.8</v>
      </c>
      <c r="AE167" s="158">
        <v>337.1</v>
      </c>
      <c r="AF167" s="158">
        <v>354.2</v>
      </c>
      <c r="AG167" s="158">
        <v>377.7</v>
      </c>
      <c r="AH167" s="159">
        <f t="shared" ref="AH167" si="944">+AG167+AH172</f>
        <v>394.7</v>
      </c>
      <c r="AI167" s="159">
        <f t="shared" ref="AI167" si="945">+AH167+AI172</f>
        <v>408.7</v>
      </c>
      <c r="AJ167" s="159">
        <f t="shared" ref="AJ167" si="946">+AI167+AJ172</f>
        <v>426.7</v>
      </c>
      <c r="AK167" s="159">
        <f t="shared" ref="AK167" si="947">+AJ167+AK172</f>
        <v>443.7</v>
      </c>
      <c r="AL167" s="159">
        <f t="shared" ref="AL167" si="948">+AK167+AL172</f>
        <v>458.7</v>
      </c>
      <c r="AM167" s="159">
        <f t="shared" ref="AM167" si="949">+AL167+AM172</f>
        <v>473.7</v>
      </c>
      <c r="AR167" s="120"/>
      <c r="AS167" s="120"/>
      <c r="AT167" s="120"/>
      <c r="AU167" s="159">
        <f>+W167</f>
        <v>215.70999999999998</v>
      </c>
      <c r="AV167" s="159">
        <f>+AA167</f>
        <v>275.10000000000002</v>
      </c>
      <c r="AW167" s="159">
        <f>+AE167</f>
        <v>337.1</v>
      </c>
      <c r="AX167" s="171">
        <f>+AI167</f>
        <v>408.7</v>
      </c>
      <c r="AY167" s="171">
        <f>+AM167</f>
        <v>473.7</v>
      </c>
      <c r="AZ167" s="171"/>
    </row>
    <row r="168" spans="2:52" x14ac:dyDescent="0.2">
      <c r="B168" s="20" t="s">
        <v>18</v>
      </c>
      <c r="H168" s="120"/>
      <c r="I168" s="120"/>
      <c r="J168" s="120"/>
      <c r="K168" s="120"/>
      <c r="L168" s="15"/>
      <c r="M168" s="15"/>
      <c r="N168" s="15"/>
      <c r="O168" s="15"/>
      <c r="P168" s="15"/>
      <c r="Q168" s="15"/>
      <c r="R168" s="15"/>
      <c r="S168" s="15"/>
      <c r="T168" s="15"/>
      <c r="U168" s="15"/>
      <c r="V168" s="15"/>
      <c r="W168" s="15"/>
      <c r="X168" s="15">
        <f>+IFERROR(X167/T167-1,"n/a")</f>
        <v>0.40849480151228712</v>
      </c>
      <c r="Y168" s="15">
        <f t="shared" ref="Y168:AE168" si="950">+IFERROR(Y167/U167-1,"n/a")</f>
        <v>0.35488027488456986</v>
      </c>
      <c r="Z168" s="15">
        <f t="shared" si="950"/>
        <v>0.32676559630750912</v>
      </c>
      <c r="AA168" s="15">
        <f t="shared" si="950"/>
        <v>0.27532335079504922</v>
      </c>
      <c r="AB168" s="15">
        <f t="shared" si="950"/>
        <v>0.22887220567881572</v>
      </c>
      <c r="AC168" s="15">
        <f t="shared" si="950"/>
        <v>0.19828815977175451</v>
      </c>
      <c r="AD168" s="15">
        <f t="shared" si="950"/>
        <v>0.20749635282235457</v>
      </c>
      <c r="AE168" s="15">
        <f t="shared" si="950"/>
        <v>0.22537259178480551</v>
      </c>
      <c r="AF168" s="15">
        <f t="shared" ref="AF168:AG168" si="951">+IFERROR(AF167/AB167-1,"n/a")</f>
        <v>0.20887372013651873</v>
      </c>
      <c r="AG168" s="15">
        <f t="shared" si="951"/>
        <v>0.24900793650793651</v>
      </c>
      <c r="AH168" s="15">
        <f t="shared" ref="AH168" si="952">+IFERROR(AH167/AD167-1,"n/a")</f>
        <v>0.22273853779429986</v>
      </c>
      <c r="AI168" s="15">
        <f t="shared" ref="AI168" si="953">+IFERROR(AI167/AE167-1,"n/a")</f>
        <v>0.21239988134084831</v>
      </c>
      <c r="AJ168" s="15">
        <f t="shared" ref="AJ168" si="954">+IFERROR(AJ167/AF167-1,"n/a")</f>
        <v>0.20468661773009589</v>
      </c>
      <c r="AK168" s="15">
        <f t="shared" ref="AK168" si="955">+IFERROR(AK167/AG167-1,"n/a")</f>
        <v>0.17474185861795077</v>
      </c>
      <c r="AL168" s="15">
        <f t="shared" ref="AL168" si="956">+IFERROR(AL167/AH167-1,"n/a")</f>
        <v>0.1621484671902711</v>
      </c>
      <c r="AM168" s="15">
        <f t="shared" ref="AM168" si="957">+IFERROR(AM167/AI167-1,"n/a")</f>
        <v>0.15904086126743322</v>
      </c>
      <c r="AR168" s="120"/>
      <c r="AS168" s="120"/>
      <c r="AT168" s="120"/>
      <c r="AU168" s="120"/>
      <c r="AV168" s="15">
        <f t="shared" ref="AV168" si="958">IFERROR(AV167/AU167-1,"n/a")</f>
        <v>0.27532335079504922</v>
      </c>
      <c r="AW168" s="15">
        <f t="shared" ref="AW168:AY168" si="959">IFERROR(AW167/AV167-1,"n/a")</f>
        <v>0.22537259178480551</v>
      </c>
      <c r="AX168" s="15">
        <f t="shared" si="959"/>
        <v>0.21239988134084831</v>
      </c>
      <c r="AY168" s="15">
        <f t="shared" si="959"/>
        <v>0.15904086126743322</v>
      </c>
      <c r="AZ168" s="15"/>
    </row>
    <row r="169" spans="2:52" x14ac:dyDescent="0.2">
      <c r="B169" s="20" t="s">
        <v>383</v>
      </c>
      <c r="H169" s="120"/>
      <c r="I169" s="120"/>
      <c r="J169" s="120"/>
      <c r="K169" s="120"/>
      <c r="L169" s="15"/>
      <c r="M169" s="15"/>
      <c r="N169" s="15"/>
      <c r="O169" s="15"/>
      <c r="P169" s="15"/>
      <c r="Q169" s="15"/>
      <c r="R169" s="15"/>
      <c r="S169" s="15"/>
      <c r="T169" s="15"/>
      <c r="U169" s="15"/>
      <c r="V169" s="15"/>
      <c r="W169" s="15"/>
      <c r="X169" s="15">
        <f>+X168</f>
        <v>0.40849480151228712</v>
      </c>
      <c r="Y169" s="15">
        <f t="shared" ref="Y169:AF169" si="960">+Y168</f>
        <v>0.35488027488456986</v>
      </c>
      <c r="Z169" s="15">
        <f t="shared" si="960"/>
        <v>0.32676559630750912</v>
      </c>
      <c r="AA169" s="15">
        <f t="shared" si="960"/>
        <v>0.27532335079504922</v>
      </c>
      <c r="AB169" s="15">
        <f t="shared" si="960"/>
        <v>0.22887220567881572</v>
      </c>
      <c r="AC169" s="15">
        <f t="shared" si="960"/>
        <v>0.19828815977175451</v>
      </c>
      <c r="AD169" s="15">
        <f t="shared" si="960"/>
        <v>0.20749635282235457</v>
      </c>
      <c r="AE169" s="15">
        <f t="shared" si="960"/>
        <v>0.22537259178480551</v>
      </c>
      <c r="AF169" s="15">
        <f t="shared" si="960"/>
        <v>0.20887372013651873</v>
      </c>
      <c r="AG169" s="288">
        <f>+(AG167-AG178-AG179)/AC167-1</f>
        <v>0.22402777777777794</v>
      </c>
      <c r="AH169" s="288">
        <f t="shared" ref="AH169:AI169" si="961">+(AH167-AH178-AH179)/AD167-1</f>
        <v>0.191783823363749</v>
      </c>
      <c r="AI169" s="288">
        <f t="shared" si="961"/>
        <v>0.18275828591461929</v>
      </c>
      <c r="AJ169" s="288">
        <f t="shared" ref="AJ169" si="962">+(AJ167-AJ178-AJ179)/AF167-1</f>
        <v>0.17647605359067819</v>
      </c>
      <c r="AK169" s="288">
        <f t="shared" ref="AK169" si="963">+(AK167-AK178-AK179)/AG167-1</f>
        <v>0.16828651888222979</v>
      </c>
      <c r="AL169" s="288">
        <f t="shared" ref="AL169" si="964">+(AL167-AL178-AL179)/AH167-1</f>
        <v>0.1621484671902711</v>
      </c>
      <c r="AM169" s="288">
        <f t="shared" ref="AM169" si="965">+(AM167-AM178-AM179)/AI167-1</f>
        <v>0.15904086126743322</v>
      </c>
      <c r="AR169" s="120"/>
      <c r="AS169" s="120"/>
      <c r="AT169" s="120"/>
      <c r="AU169" s="120"/>
      <c r="AV169" s="15">
        <f t="shared" ref="AV169:AW169" si="966">+AV168</f>
        <v>0.27532335079504922</v>
      </c>
      <c r="AW169" s="15">
        <f t="shared" si="966"/>
        <v>0.22537259178480551</v>
      </c>
      <c r="AX169" s="288">
        <f>+(AX167-AX178-AX179)/AW167-1</f>
        <v>0.18275828591461929</v>
      </c>
      <c r="AY169" s="288">
        <f>+(AY167-AY178-AY179)/AX167-1</f>
        <v>0.15904086126743322</v>
      </c>
      <c r="AZ169" s="15"/>
    </row>
    <row r="170" spans="2:52" x14ac:dyDescent="0.2">
      <c r="B170" s="20" t="s">
        <v>214</v>
      </c>
      <c r="H170" s="120"/>
      <c r="I170" s="120"/>
      <c r="J170" s="120"/>
      <c r="K170" s="120"/>
      <c r="L170" s="15"/>
      <c r="M170" s="15"/>
      <c r="N170" s="15"/>
      <c r="O170" s="15"/>
      <c r="P170" s="15"/>
      <c r="Q170" s="15"/>
      <c r="R170" s="15"/>
      <c r="S170" s="15"/>
      <c r="T170" s="15"/>
      <c r="U170" s="15">
        <f>+IFERROR(U167/T167-1,"n/a")</f>
        <v>0.10030718336483924</v>
      </c>
      <c r="V170" s="15">
        <f t="shared" ref="V170:AE170" si="967">+IFERROR(V167/U167-1,"n/a")</f>
        <v>8.1767421883388813E-2</v>
      </c>
      <c r="W170" s="15">
        <f t="shared" si="967"/>
        <v>7.0574222045759027E-2</v>
      </c>
      <c r="X170" s="15">
        <f t="shared" si="967"/>
        <v>0.10532659589263371</v>
      </c>
      <c r="Y170" s="15">
        <f t="shared" si="967"/>
        <v>5.8423856058381851E-2</v>
      </c>
      <c r="Z170" s="15">
        <f t="shared" si="967"/>
        <v>5.9320019020447035E-2</v>
      </c>
      <c r="AA170" s="15">
        <f t="shared" si="967"/>
        <v>2.9065200314218442E-2</v>
      </c>
      <c r="AB170" s="15">
        <f t="shared" si="967"/>
        <v>6.5067248273354972E-2</v>
      </c>
      <c r="AC170" s="15">
        <f t="shared" si="967"/>
        <v>3.2081911262798579E-2</v>
      </c>
      <c r="AD170" s="15">
        <f t="shared" si="967"/>
        <v>6.7460317460317665E-2</v>
      </c>
      <c r="AE170" s="15">
        <f t="shared" si="967"/>
        <v>4.4299876084262779E-2</v>
      </c>
      <c r="AF170" s="15">
        <f t="shared" ref="AF170:AG170" si="968">+IFERROR(AF167/AE167-1,"n/a")</f>
        <v>5.0726787303470688E-2</v>
      </c>
      <c r="AG170" s="15">
        <f t="shared" si="968"/>
        <v>6.634669678147942E-2</v>
      </c>
      <c r="AH170" s="15">
        <f t="shared" ref="AH170" si="969">+IFERROR(AH167/AG167-1,"n/a")</f>
        <v>4.5009266613714516E-2</v>
      </c>
      <c r="AI170" s="15">
        <f t="shared" ref="AI170" si="970">+IFERROR(AI167/AH167-1,"n/a")</f>
        <v>3.5469977197871705E-2</v>
      </c>
      <c r="AJ170" s="15">
        <f t="shared" ref="AJ170" si="971">+IFERROR(AJ167/AI167-1,"n/a")</f>
        <v>4.4042084658673764E-2</v>
      </c>
      <c r="AK170" s="15">
        <f t="shared" ref="AK170" si="972">+IFERROR(AK167/AJ167-1,"n/a")</f>
        <v>3.9840637450199168E-2</v>
      </c>
      <c r="AL170" s="15">
        <f t="shared" ref="AL170" si="973">+IFERROR(AL167/AK167-1,"n/a")</f>
        <v>3.380662609871532E-2</v>
      </c>
      <c r="AM170" s="15">
        <f t="shared" ref="AM170" si="974">+IFERROR(AM167/AL167-1,"n/a")</f>
        <v>3.2701111837802443E-2</v>
      </c>
      <c r="AR170" s="120"/>
      <c r="AS170" s="120"/>
      <c r="AT170" s="120"/>
      <c r="AU170" s="120"/>
      <c r="AV170" s="15">
        <f t="shared" ref="AV170" si="975">+IFERROR(AV167/AU167-1,"n/a")</f>
        <v>0.27532335079504922</v>
      </c>
      <c r="AW170" s="15">
        <f t="shared" ref="AW170:AY170" si="976">+IFERROR(AW167/AV167-1,"n/a")</f>
        <v>0.22537259178480551</v>
      </c>
      <c r="AX170" s="15">
        <f t="shared" si="976"/>
        <v>0.21239988134084831</v>
      </c>
      <c r="AY170" s="15">
        <f t="shared" si="976"/>
        <v>0.15904086126743322</v>
      </c>
      <c r="AZ170" s="15"/>
    </row>
    <row r="171" spans="2:52" x14ac:dyDescent="0.2">
      <c r="B171" s="20" t="s">
        <v>384</v>
      </c>
      <c r="H171" s="120"/>
      <c r="I171" s="120"/>
      <c r="J171" s="120"/>
      <c r="K171" s="120"/>
      <c r="L171" s="15"/>
      <c r="M171" s="15"/>
      <c r="N171" s="15"/>
      <c r="O171" s="15"/>
      <c r="P171" s="15"/>
      <c r="Q171" s="15"/>
      <c r="R171" s="15"/>
      <c r="S171" s="15"/>
      <c r="T171" s="15"/>
      <c r="U171" s="15">
        <f>+U170</f>
        <v>0.10030718336483924</v>
      </c>
      <c r="V171" s="15">
        <f t="shared" ref="V171:AI171" si="977">+V170</f>
        <v>8.1767421883388813E-2</v>
      </c>
      <c r="W171" s="15">
        <f t="shared" si="977"/>
        <v>7.0574222045759027E-2</v>
      </c>
      <c r="X171" s="15">
        <f t="shared" si="977"/>
        <v>0.10532659589263371</v>
      </c>
      <c r="Y171" s="15">
        <f t="shared" si="977"/>
        <v>5.8423856058381851E-2</v>
      </c>
      <c r="Z171" s="15">
        <f t="shared" si="977"/>
        <v>5.9320019020447035E-2</v>
      </c>
      <c r="AA171" s="15">
        <f t="shared" si="977"/>
        <v>2.9065200314218442E-2</v>
      </c>
      <c r="AB171" s="15">
        <f t="shared" si="977"/>
        <v>6.5067248273354972E-2</v>
      </c>
      <c r="AC171" s="15">
        <f t="shared" si="977"/>
        <v>3.2081911262798579E-2</v>
      </c>
      <c r="AD171" s="15">
        <f t="shared" si="977"/>
        <v>6.7460317460317665E-2</v>
      </c>
      <c r="AE171" s="15">
        <f t="shared" si="977"/>
        <v>4.4299876084262779E-2</v>
      </c>
      <c r="AF171" s="15">
        <f t="shared" si="977"/>
        <v>5.0726787303470688E-2</v>
      </c>
      <c r="AG171" s="288">
        <f>+(AG167-AG178)/AF167-1</f>
        <v>4.5019762845849964E-2</v>
      </c>
      <c r="AH171" s="288">
        <f>+(AH167-AH179)/AG167-1</f>
        <v>3.8553926877993527E-2</v>
      </c>
      <c r="AI171" s="15">
        <f t="shared" si="977"/>
        <v>3.5469977197871705E-2</v>
      </c>
      <c r="AJ171" s="15">
        <f t="shared" ref="AJ171:AM171" si="978">+AJ170</f>
        <v>4.4042084658673764E-2</v>
      </c>
      <c r="AK171" s="15">
        <f t="shared" si="978"/>
        <v>3.9840637450199168E-2</v>
      </c>
      <c r="AL171" s="15">
        <f t="shared" si="978"/>
        <v>3.380662609871532E-2</v>
      </c>
      <c r="AM171" s="15">
        <f t="shared" si="978"/>
        <v>3.2701111837802443E-2</v>
      </c>
      <c r="AR171" s="120"/>
      <c r="AS171" s="120"/>
      <c r="AT171" s="120"/>
      <c r="AU171" s="120"/>
      <c r="AV171" s="15">
        <f>+AV169</f>
        <v>0.27532335079504922</v>
      </c>
      <c r="AW171" s="15">
        <f t="shared" ref="AW171:AX171" si="979">+AW169</f>
        <v>0.22537259178480551</v>
      </c>
      <c r="AX171" s="15">
        <f t="shared" si="979"/>
        <v>0.18275828591461929</v>
      </c>
      <c r="AY171" s="15">
        <f t="shared" ref="AY171" si="980">+AY169</f>
        <v>0.15904086126743322</v>
      </c>
      <c r="AZ171" s="15"/>
    </row>
    <row r="172" spans="2:52" x14ac:dyDescent="0.2">
      <c r="B172" s="20" t="s">
        <v>117</v>
      </c>
      <c r="H172" s="120"/>
      <c r="I172" s="120"/>
      <c r="J172" s="120"/>
      <c r="K172" s="120"/>
      <c r="L172" s="15"/>
      <c r="M172" s="15"/>
      <c r="N172" s="15"/>
      <c r="O172" s="15"/>
      <c r="P172" s="15"/>
      <c r="Q172" s="15"/>
      <c r="R172" s="15"/>
      <c r="S172" s="15"/>
      <c r="T172" s="15"/>
      <c r="U172" s="104">
        <f>+IFERROR(U167-T167,"n/a")</f>
        <v>16.97999999999999</v>
      </c>
      <c r="V172" s="104">
        <f t="shared" ref="V172:AG172" si="981">+IFERROR(V167-U167,"n/a")</f>
        <v>15.22999999999999</v>
      </c>
      <c r="W172" s="104">
        <f t="shared" si="981"/>
        <v>14.219999999999999</v>
      </c>
      <c r="X172" s="104">
        <f t="shared" si="981"/>
        <v>22.72</v>
      </c>
      <c r="Y172" s="104">
        <f t="shared" si="981"/>
        <v>13.930000000000007</v>
      </c>
      <c r="Z172" s="104">
        <f t="shared" si="981"/>
        <v>14.969999999999999</v>
      </c>
      <c r="AA172" s="104">
        <f t="shared" si="981"/>
        <v>7.7700000000000387</v>
      </c>
      <c r="AB172" s="104">
        <f t="shared" si="981"/>
        <v>17.899999999999977</v>
      </c>
      <c r="AC172" s="104">
        <f t="shared" si="981"/>
        <v>9.3999999999999773</v>
      </c>
      <c r="AD172" s="104">
        <f t="shared" si="981"/>
        <v>20.400000000000034</v>
      </c>
      <c r="AE172" s="104">
        <f t="shared" si="981"/>
        <v>14.300000000000011</v>
      </c>
      <c r="AF172" s="104">
        <f t="shared" si="981"/>
        <v>17.099999999999966</v>
      </c>
      <c r="AG172" s="104">
        <f t="shared" si="981"/>
        <v>23.5</v>
      </c>
      <c r="AH172" s="144">
        <v>17</v>
      </c>
      <c r="AI172" s="144">
        <v>14</v>
      </c>
      <c r="AJ172" s="144">
        <v>18</v>
      </c>
      <c r="AK172" s="144">
        <v>17</v>
      </c>
      <c r="AL172" s="144">
        <v>15</v>
      </c>
      <c r="AM172" s="144">
        <v>15</v>
      </c>
      <c r="AR172" s="120"/>
      <c r="AS172" s="120"/>
      <c r="AT172" s="120"/>
      <c r="AU172" s="120"/>
      <c r="AV172" s="14">
        <f t="shared" ref="AV172" si="982">+AV167-AU167</f>
        <v>59.390000000000043</v>
      </c>
      <c r="AW172" s="14">
        <f t="shared" ref="AW172:AY172" si="983">+AW167-AV167</f>
        <v>62</v>
      </c>
      <c r="AX172" s="14">
        <f t="shared" si="983"/>
        <v>71.599999999999966</v>
      </c>
      <c r="AY172" s="14">
        <f t="shared" si="983"/>
        <v>65</v>
      </c>
      <c r="AZ172" s="14"/>
    </row>
    <row r="173" spans="2:52" x14ac:dyDescent="0.2">
      <c r="B173" s="26" t="s">
        <v>18</v>
      </c>
      <c r="H173" s="120"/>
      <c r="I173" s="120"/>
      <c r="J173" s="120"/>
      <c r="K173" s="120"/>
      <c r="L173" s="15"/>
      <c r="M173" s="15"/>
      <c r="N173" s="15"/>
      <c r="O173" s="15"/>
      <c r="P173" s="15"/>
      <c r="Q173" s="15"/>
      <c r="R173" s="15"/>
      <c r="S173" s="15"/>
      <c r="T173" s="15"/>
      <c r="U173" s="15"/>
      <c r="V173" s="15"/>
      <c r="W173" s="15"/>
      <c r="X173" s="120" t="str">
        <f>+IFERROR(X172/T172-1,"n/a")</f>
        <v>n/a</v>
      </c>
      <c r="Y173" s="120">
        <f t="shared" ref="Y173" si="984">+IFERROR(Y172/U172-1,"n/a")</f>
        <v>-0.17962308598350907</v>
      </c>
      <c r="Z173" s="120">
        <f t="shared" ref="Z173:AG173" si="985">+IFERROR(Z172/V172-1,"n/a")</f>
        <v>-1.7071569271174702E-2</v>
      </c>
      <c r="AA173" s="120">
        <f t="shared" si="985"/>
        <v>-0.45358649789029259</v>
      </c>
      <c r="AB173" s="120">
        <f t="shared" si="985"/>
        <v>-0.21214788732394463</v>
      </c>
      <c r="AC173" s="120">
        <f t="shared" si="985"/>
        <v>-0.32519741564967897</v>
      </c>
      <c r="AD173" s="120">
        <f t="shared" si="985"/>
        <v>0.36272545090180608</v>
      </c>
      <c r="AE173" s="120">
        <f t="shared" si="985"/>
        <v>0.84041184041183281</v>
      </c>
      <c r="AF173" s="120">
        <f t="shared" si="985"/>
        <v>-4.4692737430168328E-2</v>
      </c>
      <c r="AG173" s="120">
        <f t="shared" si="985"/>
        <v>1.5000000000000062</v>
      </c>
      <c r="AH173" s="120">
        <f t="shared" ref="AH173" si="986">+IFERROR(AH172/AD172-1,"n/a")</f>
        <v>-0.16666666666666807</v>
      </c>
      <c r="AI173" s="120">
        <f t="shared" ref="AI173" si="987">+IFERROR(AI172/AE172-1,"n/a")</f>
        <v>-2.0979020979021712E-2</v>
      </c>
      <c r="AJ173" s="120">
        <f t="shared" ref="AJ173" si="988">+IFERROR(AJ172/AF172-1,"n/a")</f>
        <v>5.2631578947370583E-2</v>
      </c>
      <c r="AK173" s="120">
        <f t="shared" ref="AK173" si="989">+IFERROR(AK172/AG172-1,"n/a")</f>
        <v>-0.27659574468085102</v>
      </c>
      <c r="AL173" s="120">
        <f t="shared" ref="AL173" si="990">+IFERROR(AL172/AH172-1,"n/a")</f>
        <v>-0.11764705882352944</v>
      </c>
      <c r="AM173" s="120">
        <f t="shared" ref="AM173" si="991">+IFERROR(AM172/AI172-1,"n/a")</f>
        <v>7.1428571428571397E-2</v>
      </c>
      <c r="AR173" s="120"/>
      <c r="AS173" s="120"/>
      <c r="AT173" s="120"/>
      <c r="AU173" s="120"/>
      <c r="AV173" s="120"/>
      <c r="AW173" s="120">
        <f t="shared" ref="AW173:AY173" si="992">IFERROR(AW172/AV172-1,"n/a")</f>
        <v>4.3946792389290446E-2</v>
      </c>
      <c r="AX173" s="120">
        <f t="shared" si="992"/>
        <v>0.15483870967741886</v>
      </c>
      <c r="AY173" s="120">
        <f t="shared" si="992"/>
        <v>-9.2178770949720268E-2</v>
      </c>
      <c r="AZ173" s="120"/>
    </row>
    <row r="174" spans="2:52" x14ac:dyDescent="0.2">
      <c r="B174" s="20" t="s">
        <v>385</v>
      </c>
      <c r="H174" s="120"/>
      <c r="I174" s="120"/>
      <c r="J174" s="120"/>
      <c r="K174" s="120"/>
      <c r="L174" s="15"/>
      <c r="M174" s="15"/>
      <c r="N174" s="15"/>
      <c r="O174" s="15"/>
      <c r="P174" s="15"/>
      <c r="Q174" s="15"/>
      <c r="R174" s="15"/>
      <c r="S174" s="15"/>
      <c r="T174" s="15"/>
      <c r="U174" s="104">
        <f>+U172</f>
        <v>16.97999999999999</v>
      </c>
      <c r="V174" s="104">
        <f t="shared" ref="V174:AI174" si="993">+V172</f>
        <v>15.22999999999999</v>
      </c>
      <c r="W174" s="104">
        <f t="shared" si="993"/>
        <v>14.219999999999999</v>
      </c>
      <c r="X174" s="104">
        <f t="shared" si="993"/>
        <v>22.72</v>
      </c>
      <c r="Y174" s="104">
        <f t="shared" si="993"/>
        <v>13.930000000000007</v>
      </c>
      <c r="Z174" s="104">
        <f t="shared" si="993"/>
        <v>14.969999999999999</v>
      </c>
      <c r="AA174" s="104">
        <f t="shared" si="993"/>
        <v>7.7700000000000387</v>
      </c>
      <c r="AB174" s="104">
        <f t="shared" si="993"/>
        <v>17.899999999999977</v>
      </c>
      <c r="AC174" s="104">
        <f t="shared" si="993"/>
        <v>9.3999999999999773</v>
      </c>
      <c r="AD174" s="104">
        <f t="shared" si="993"/>
        <v>20.400000000000034</v>
      </c>
      <c r="AE174" s="104">
        <f t="shared" si="993"/>
        <v>14.300000000000011</v>
      </c>
      <c r="AF174" s="104">
        <f t="shared" si="993"/>
        <v>17.099999999999966</v>
      </c>
      <c r="AG174" s="287">
        <f>+AG172-AG178</f>
        <v>15.946</v>
      </c>
      <c r="AH174" s="287">
        <f>+AH172-AH179</f>
        <v>14.561818181818184</v>
      </c>
      <c r="AI174" s="104">
        <f t="shared" si="993"/>
        <v>14</v>
      </c>
      <c r="AJ174" s="104">
        <f t="shared" ref="AJ174:AM174" si="994">+AJ172</f>
        <v>18</v>
      </c>
      <c r="AK174" s="104">
        <f t="shared" si="994"/>
        <v>17</v>
      </c>
      <c r="AL174" s="104">
        <f t="shared" si="994"/>
        <v>15</v>
      </c>
      <c r="AM174" s="104">
        <f t="shared" si="994"/>
        <v>15</v>
      </c>
      <c r="AR174" s="120"/>
      <c r="AS174" s="120"/>
      <c r="AT174" s="120"/>
      <c r="AU174" s="120"/>
      <c r="AV174" s="104">
        <f t="shared" ref="AV174:AW174" si="995">+AV172</f>
        <v>59.390000000000043</v>
      </c>
      <c r="AW174" s="104">
        <f t="shared" si="995"/>
        <v>62</v>
      </c>
      <c r="AX174" s="287">
        <f>+AX172-AX178-AX179</f>
        <v>61.607818181818146</v>
      </c>
      <c r="AY174" s="287">
        <f>+AY172-AY178-AY179</f>
        <v>65</v>
      </c>
      <c r="AZ174" s="120"/>
    </row>
    <row r="175" spans="2:52" x14ac:dyDescent="0.2">
      <c r="B175" s="26" t="s">
        <v>18</v>
      </c>
      <c r="H175" s="120"/>
      <c r="I175" s="120"/>
      <c r="J175" s="120"/>
      <c r="K175" s="120"/>
      <c r="L175" s="15"/>
      <c r="M175" s="15"/>
      <c r="N175" s="15"/>
      <c r="O175" s="15"/>
      <c r="P175" s="15"/>
      <c r="Q175" s="15"/>
      <c r="R175" s="15"/>
      <c r="S175" s="15"/>
      <c r="T175" s="15"/>
      <c r="U175" s="15"/>
      <c r="V175" s="15"/>
      <c r="W175" s="15"/>
      <c r="X175" s="120" t="str">
        <f>+IFERROR(X174/T174-1,"n/a")</f>
        <v>n/a</v>
      </c>
      <c r="Y175" s="120">
        <f t="shared" ref="Y175" si="996">+IFERROR(Y174/U174-1,"n/a")</f>
        <v>-0.17962308598350907</v>
      </c>
      <c r="Z175" s="120">
        <f t="shared" ref="Z175" si="997">+IFERROR(Z174/V174-1,"n/a")</f>
        <v>-1.7071569271174702E-2</v>
      </c>
      <c r="AA175" s="120">
        <f t="shared" ref="AA175" si="998">+IFERROR(AA174/W174-1,"n/a")</f>
        <v>-0.45358649789029259</v>
      </c>
      <c r="AB175" s="120">
        <f t="shared" ref="AB175" si="999">+IFERROR(AB174/X174-1,"n/a")</f>
        <v>-0.21214788732394463</v>
      </c>
      <c r="AC175" s="120">
        <f t="shared" ref="AC175" si="1000">+IFERROR(AC174/Y174-1,"n/a")</f>
        <v>-0.32519741564967897</v>
      </c>
      <c r="AD175" s="120">
        <f t="shared" ref="AD175" si="1001">+IFERROR(AD174/Z174-1,"n/a")</f>
        <v>0.36272545090180608</v>
      </c>
      <c r="AE175" s="120">
        <f t="shared" ref="AE175" si="1002">+IFERROR(AE174/AA174-1,"n/a")</f>
        <v>0.84041184041183281</v>
      </c>
      <c r="AF175" s="120">
        <f t="shared" ref="AF175" si="1003">+IFERROR(AF174/AB174-1,"n/a")</f>
        <v>-4.4692737430168328E-2</v>
      </c>
      <c r="AG175" s="120">
        <f t="shared" ref="AG175" si="1004">+IFERROR(AG174/AC174-1,"n/a")</f>
        <v>0.69638297872340837</v>
      </c>
      <c r="AH175" s="120">
        <f t="shared" ref="AH175" si="1005">+IFERROR(AH174/AD174-1,"n/a")</f>
        <v>-0.28618538324420784</v>
      </c>
      <c r="AI175" s="120">
        <f t="shared" ref="AI175" si="1006">+IFERROR(AI174/AE174-1,"n/a")</f>
        <v>-2.0979020979021712E-2</v>
      </c>
      <c r="AJ175" s="120">
        <f t="shared" ref="AJ175" si="1007">+IFERROR(AJ174/AF174-1,"n/a")</f>
        <v>5.2631578947370583E-2</v>
      </c>
      <c r="AK175" s="120">
        <f t="shared" ref="AK175" si="1008">+IFERROR(AK174/AG174-1,"n/a")</f>
        <v>6.6098081023454158E-2</v>
      </c>
      <c r="AL175" s="120">
        <f t="shared" ref="AL175" si="1009">+IFERROR(AL174/AH174-1,"n/a")</f>
        <v>3.0091147459108347E-2</v>
      </c>
      <c r="AM175" s="120">
        <f t="shared" ref="AM175" si="1010">+IFERROR(AM174/AI174-1,"n/a")</f>
        <v>7.1428571428571397E-2</v>
      </c>
      <c r="AR175" s="120"/>
      <c r="AS175" s="120"/>
      <c r="AT175" s="120"/>
      <c r="AU175" s="120"/>
      <c r="AV175" s="120"/>
      <c r="AW175" s="120">
        <f t="shared" ref="AW175" si="1011">IFERROR(AW174/AV174-1,"n/a")</f>
        <v>4.3946792389290446E-2</v>
      </c>
      <c r="AX175" s="120">
        <f t="shared" ref="AX175:AY175" si="1012">IFERROR(AX174/AW174-1,"n/a")</f>
        <v>-6.3255131964815581E-3</v>
      </c>
      <c r="AY175" s="120">
        <f t="shared" si="1012"/>
        <v>5.5060898410178805E-2</v>
      </c>
      <c r="AZ175" s="120"/>
    </row>
    <row r="176" spans="2:52" x14ac:dyDescent="0.2">
      <c r="B176" s="26"/>
      <c r="H176" s="120"/>
      <c r="I176" s="120"/>
      <c r="J176" s="120"/>
      <c r="K176" s="120"/>
      <c r="L176" s="15"/>
      <c r="M176" s="15"/>
      <c r="N176" s="15"/>
      <c r="O176" s="15"/>
      <c r="P176" s="15"/>
      <c r="Q176" s="15"/>
      <c r="R176" s="15"/>
      <c r="S176" s="15"/>
      <c r="T176" s="15"/>
      <c r="U176" s="15"/>
      <c r="V176" s="15"/>
      <c r="W176" s="15"/>
      <c r="X176" s="120"/>
      <c r="Y176" s="120"/>
      <c r="Z176" s="120"/>
      <c r="AA176" s="120"/>
      <c r="AB176" s="120"/>
      <c r="AC176" s="120"/>
      <c r="AD176" s="120"/>
      <c r="AE176" s="120"/>
      <c r="AF176" s="120"/>
      <c r="AG176" s="120"/>
      <c r="AH176" s="120"/>
      <c r="AI176" s="120"/>
      <c r="AJ176" s="120"/>
      <c r="AK176" s="120"/>
      <c r="AL176" s="120"/>
      <c r="AM176" s="120"/>
      <c r="AR176" s="120"/>
      <c r="AS176" s="120"/>
      <c r="AT176" s="120"/>
      <c r="AU176" s="120"/>
      <c r="AV176" s="120"/>
      <c r="AW176" s="120"/>
      <c r="AX176" s="120"/>
      <c r="AY176" s="120"/>
      <c r="AZ176" s="120"/>
    </row>
    <row r="177" spans="1:52" x14ac:dyDescent="0.2">
      <c r="B177" s="19" t="s">
        <v>35</v>
      </c>
      <c r="H177" s="120"/>
      <c r="I177" s="120"/>
      <c r="J177" s="120"/>
      <c r="K177" s="120"/>
      <c r="L177" s="15"/>
      <c r="M177" s="15"/>
      <c r="N177" s="15"/>
      <c r="O177" s="15"/>
      <c r="P177" s="15"/>
      <c r="Q177" s="15"/>
      <c r="R177" s="15"/>
      <c r="S177" s="15"/>
      <c r="T177" s="15"/>
      <c r="U177" s="15"/>
      <c r="V177" s="15"/>
      <c r="W177" s="15"/>
      <c r="X177" s="120"/>
      <c r="Y177" s="120"/>
      <c r="Z177" s="120"/>
      <c r="AA177" s="120"/>
      <c r="AB177" s="120"/>
      <c r="AC177" s="120"/>
      <c r="AD177" s="120"/>
      <c r="AE177" s="120"/>
      <c r="AF177" s="120"/>
      <c r="AG177" s="120"/>
      <c r="AH177" s="120"/>
      <c r="AI177" s="120"/>
      <c r="AJ177" s="120"/>
      <c r="AK177" s="120"/>
      <c r="AL177" s="120"/>
      <c r="AM177" s="120"/>
      <c r="AR177" s="120"/>
      <c r="AS177" s="120"/>
      <c r="AT177" s="120"/>
      <c r="AU177" s="120"/>
      <c r="AV177" s="120"/>
      <c r="AW177" s="120"/>
      <c r="AX177" s="120"/>
      <c r="AY177" s="120"/>
      <c r="AZ177" s="120"/>
    </row>
    <row r="178" spans="1:52" x14ac:dyDescent="0.2">
      <c r="B178" s="13" t="s">
        <v>382</v>
      </c>
      <c r="H178" s="120"/>
      <c r="I178" s="120"/>
      <c r="J178" s="120"/>
      <c r="K178" s="120"/>
      <c r="L178" s="15"/>
      <c r="M178" s="15"/>
      <c r="N178" s="15"/>
      <c r="O178" s="15"/>
      <c r="P178" s="15"/>
      <c r="Q178" s="15"/>
      <c r="R178" s="15"/>
      <c r="S178" s="15"/>
      <c r="T178" s="15"/>
      <c r="U178" s="15"/>
      <c r="V178" s="15"/>
      <c r="W178" s="15"/>
      <c r="X178" s="120"/>
      <c r="Y178" s="120"/>
      <c r="Z178" s="120"/>
      <c r="AA178" s="120"/>
      <c r="AB178" s="120"/>
      <c r="AC178" s="120"/>
      <c r="AD178" s="120"/>
      <c r="AE178" s="120"/>
      <c r="AF178" s="120"/>
      <c r="AG178" s="287">
        <f>0.02*AG167</f>
        <v>7.5540000000000003</v>
      </c>
      <c r="AH178" s="287">
        <f>+AG178</f>
        <v>7.5540000000000003</v>
      </c>
      <c r="AI178" s="287">
        <f>+AH178</f>
        <v>7.5540000000000003</v>
      </c>
      <c r="AJ178" s="287">
        <f t="shared" ref="AJ178:AM178" si="1013">+AI178</f>
        <v>7.5540000000000003</v>
      </c>
      <c r="AK178" s="287">
        <v>0</v>
      </c>
      <c r="AL178" s="287">
        <f t="shared" si="1013"/>
        <v>0</v>
      </c>
      <c r="AM178" s="287">
        <f t="shared" si="1013"/>
        <v>0</v>
      </c>
      <c r="AR178" s="120"/>
      <c r="AS178" s="120"/>
      <c r="AT178" s="120"/>
      <c r="AU178" s="120"/>
      <c r="AV178" s="120"/>
      <c r="AW178" s="120"/>
      <c r="AX178" s="104">
        <f>+AI178</f>
        <v>7.5540000000000003</v>
      </c>
      <c r="AY178" s="104">
        <f>+AM178</f>
        <v>0</v>
      </c>
      <c r="AZ178" s="120"/>
    </row>
    <row r="179" spans="1:52" x14ac:dyDescent="0.2">
      <c r="B179" s="13" t="s">
        <v>386</v>
      </c>
      <c r="H179" s="120"/>
      <c r="I179" s="120"/>
      <c r="J179" s="120"/>
      <c r="K179" s="120"/>
      <c r="L179" s="15"/>
      <c r="M179" s="15"/>
      <c r="N179" s="15"/>
      <c r="O179" s="15"/>
      <c r="P179" s="15"/>
      <c r="Q179" s="15"/>
      <c r="R179" s="15"/>
      <c r="S179" s="15"/>
      <c r="T179" s="15"/>
      <c r="U179" s="15"/>
      <c r="V179" s="15"/>
      <c r="W179" s="15"/>
      <c r="X179" s="120"/>
      <c r="Y179" s="120"/>
      <c r="Z179" s="120"/>
      <c r="AA179" s="120"/>
      <c r="AB179" s="120"/>
      <c r="AC179" s="120"/>
      <c r="AD179" s="120"/>
      <c r="AE179" s="120"/>
      <c r="AF179" s="120"/>
      <c r="AG179" s="287">
        <v>0</v>
      </c>
      <c r="AH179" s="287">
        <f>+AH199/2.5*12</f>
        <v>2.4381818181818158</v>
      </c>
      <c r="AI179" s="287">
        <f>+AH179</f>
        <v>2.4381818181818158</v>
      </c>
      <c r="AJ179" s="287">
        <f t="shared" ref="AJ179:AM179" si="1014">+AI179</f>
        <v>2.4381818181818158</v>
      </c>
      <c r="AK179" s="287">
        <f t="shared" si="1014"/>
        <v>2.4381818181818158</v>
      </c>
      <c r="AL179" s="287">
        <v>0</v>
      </c>
      <c r="AM179" s="287">
        <f t="shared" si="1014"/>
        <v>0</v>
      </c>
      <c r="AR179" s="120"/>
      <c r="AS179" s="120"/>
      <c r="AT179" s="120"/>
      <c r="AU179" s="120"/>
      <c r="AV179" s="120"/>
      <c r="AW179" s="120"/>
      <c r="AX179" s="104">
        <f>+AI179</f>
        <v>2.4381818181818158</v>
      </c>
      <c r="AY179" s="104">
        <f>+AM179</f>
        <v>0</v>
      </c>
      <c r="AZ179" s="120"/>
    </row>
    <row r="180" spans="1:52" x14ac:dyDescent="0.2">
      <c r="B180" s="13"/>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R180" s="15"/>
      <c r="AS180" s="15"/>
      <c r="AT180" s="15"/>
      <c r="AU180" s="15"/>
      <c r="AV180" s="15"/>
      <c r="AW180" s="15"/>
    </row>
    <row r="181" spans="1:52" x14ac:dyDescent="0.2">
      <c r="B181" s="25" t="s">
        <v>17</v>
      </c>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R181" s="15"/>
      <c r="AS181" s="15"/>
      <c r="AT181" s="15"/>
      <c r="AU181" s="15"/>
      <c r="AV181" s="15"/>
      <c r="AW181" s="15"/>
    </row>
    <row r="182" spans="1:52" x14ac:dyDescent="0.2">
      <c r="B182" t="s">
        <v>114</v>
      </c>
      <c r="D182" s="10">
        <f t="shared" ref="D182:T182" si="1015">+D156</f>
        <v>30.376080000000005</v>
      </c>
      <c r="E182" s="10">
        <f t="shared" si="1015"/>
        <v>35.410319999999999</v>
      </c>
      <c r="F182" s="10">
        <f t="shared" si="1015"/>
        <v>40.480319999999999</v>
      </c>
      <c r="G182" s="10">
        <f t="shared" si="1015"/>
        <v>45.891840000000002</v>
      </c>
      <c r="H182" s="171">
        <f t="shared" si="1015"/>
        <v>52.976399999999998</v>
      </c>
      <c r="I182" s="171">
        <f t="shared" si="1015"/>
        <v>58.880640000000007</v>
      </c>
      <c r="J182" s="171">
        <f t="shared" si="1015"/>
        <v>65.957760000000007</v>
      </c>
      <c r="K182" s="171">
        <f t="shared" si="1015"/>
        <v>72.212639999999979</v>
      </c>
      <c r="L182" s="171">
        <f t="shared" si="1015"/>
        <v>81.307680000000019</v>
      </c>
      <c r="M182" s="171">
        <f t="shared" si="1015"/>
        <v>88.386480000000006</v>
      </c>
      <c r="N182" s="171">
        <f t="shared" si="1015"/>
        <v>95.338080000000005</v>
      </c>
      <c r="O182" s="171">
        <f t="shared" si="1015"/>
        <v>102.6</v>
      </c>
      <c r="P182" s="171">
        <f t="shared" si="1015"/>
        <v>109.5</v>
      </c>
      <c r="Q182" s="171">
        <f t="shared" si="1015"/>
        <v>119</v>
      </c>
      <c r="R182" s="171">
        <f t="shared" si="1015"/>
        <v>134.80000000000001</v>
      </c>
      <c r="S182" s="171">
        <f t="shared" si="1015"/>
        <v>144.19999999999999</v>
      </c>
      <c r="T182" s="171">
        <f t="shared" si="1015"/>
        <v>167.6</v>
      </c>
      <c r="U182" s="171">
        <f t="shared" ref="U182:AG182" si="1016">+U167</f>
        <v>186.26</v>
      </c>
      <c r="V182" s="171">
        <f t="shared" si="1016"/>
        <v>201.48999999999998</v>
      </c>
      <c r="W182" s="171">
        <f t="shared" si="1016"/>
        <v>215.70999999999998</v>
      </c>
      <c r="X182" s="171">
        <f t="shared" si="1016"/>
        <v>238.42999999999998</v>
      </c>
      <c r="Y182" s="171">
        <f t="shared" si="1016"/>
        <v>252.35999999999999</v>
      </c>
      <c r="Z182" s="171">
        <f t="shared" si="1016"/>
        <v>267.33</v>
      </c>
      <c r="AA182" s="171">
        <f t="shared" si="1016"/>
        <v>275.10000000000002</v>
      </c>
      <c r="AB182" s="171">
        <f t="shared" si="1016"/>
        <v>293</v>
      </c>
      <c r="AC182" s="171">
        <f t="shared" si="1016"/>
        <v>302.39999999999998</v>
      </c>
      <c r="AD182" s="171">
        <f t="shared" si="1016"/>
        <v>322.8</v>
      </c>
      <c r="AE182" s="171">
        <f t="shared" si="1016"/>
        <v>337.1</v>
      </c>
      <c r="AF182" s="171">
        <f t="shared" si="1016"/>
        <v>354.2</v>
      </c>
      <c r="AG182" s="171">
        <f t="shared" si="1016"/>
        <v>377.7</v>
      </c>
      <c r="AH182" s="171">
        <f>+AH156</f>
        <v>394.7</v>
      </c>
      <c r="AI182" s="171">
        <f>+AI156</f>
        <v>408.7</v>
      </c>
      <c r="AJ182" s="171">
        <f t="shared" ref="AJ182:AM182" si="1017">+AJ156</f>
        <v>426.7</v>
      </c>
      <c r="AK182" s="171">
        <f t="shared" si="1017"/>
        <v>443.7</v>
      </c>
      <c r="AL182" s="171">
        <f t="shared" si="1017"/>
        <v>458.7</v>
      </c>
      <c r="AM182" s="171">
        <f t="shared" si="1017"/>
        <v>473.7</v>
      </c>
      <c r="AN182" s="171"/>
      <c r="AO182" s="171"/>
      <c r="AP182" s="171"/>
      <c r="AQ182" s="171">
        <f t="shared" ref="AQ182:AX182" si="1018">+AQ156</f>
        <v>45.891840000000002</v>
      </c>
      <c r="AR182" s="171">
        <f t="shared" si="1018"/>
        <v>72.212639999999979</v>
      </c>
      <c r="AS182" s="171">
        <f t="shared" si="1018"/>
        <v>102.6</v>
      </c>
      <c r="AT182" s="171">
        <f t="shared" si="1018"/>
        <v>144.19999999999999</v>
      </c>
      <c r="AU182" s="171">
        <f t="shared" si="1018"/>
        <v>213</v>
      </c>
      <c r="AV182" s="171">
        <f t="shared" si="1018"/>
        <v>275.10000000000002</v>
      </c>
      <c r="AW182" s="171">
        <f t="shared" si="1018"/>
        <v>337.1</v>
      </c>
      <c r="AX182" s="171">
        <f t="shared" si="1018"/>
        <v>408.7</v>
      </c>
      <c r="AY182" s="171">
        <f t="shared" ref="AY182" si="1019">+AY156</f>
        <v>473.7</v>
      </c>
      <c r="AZ182" s="171"/>
    </row>
    <row r="183" spans="1:52" x14ac:dyDescent="0.2">
      <c r="B183" t="s">
        <v>120</v>
      </c>
      <c r="D183" s="112" t="s">
        <v>91</v>
      </c>
      <c r="E183" s="10">
        <f>+AVERAGE(D182:E182)</f>
        <v>32.8932</v>
      </c>
      <c r="F183" s="10">
        <f t="shared" ref="F183:S183" si="1020">+AVERAGE(E182:F182)</f>
        <v>37.945319999999995</v>
      </c>
      <c r="G183" s="10">
        <f t="shared" si="1020"/>
        <v>43.186080000000004</v>
      </c>
      <c r="H183" s="171">
        <f t="shared" si="1020"/>
        <v>49.43412</v>
      </c>
      <c r="I183" s="171">
        <f t="shared" si="1020"/>
        <v>55.928520000000006</v>
      </c>
      <c r="J183" s="171">
        <f t="shared" si="1020"/>
        <v>62.419200000000004</v>
      </c>
      <c r="K183" s="171">
        <f t="shared" si="1020"/>
        <v>69.085199999999986</v>
      </c>
      <c r="L183" s="171">
        <f t="shared" si="1020"/>
        <v>76.760159999999999</v>
      </c>
      <c r="M183" s="171">
        <f t="shared" si="1020"/>
        <v>84.847080000000005</v>
      </c>
      <c r="N183" s="171">
        <f t="shared" si="1020"/>
        <v>91.862279999999998</v>
      </c>
      <c r="O183" s="171">
        <f t="shared" si="1020"/>
        <v>98.969040000000007</v>
      </c>
      <c r="P183" s="171">
        <f t="shared" si="1020"/>
        <v>106.05</v>
      </c>
      <c r="Q183" s="171">
        <f t="shared" si="1020"/>
        <v>114.25</v>
      </c>
      <c r="R183" s="171">
        <f t="shared" si="1020"/>
        <v>126.9</v>
      </c>
      <c r="S183" s="171">
        <f t="shared" si="1020"/>
        <v>139.5</v>
      </c>
      <c r="T183" s="171">
        <f t="shared" ref="T183:AG183" si="1021">+AVERAGE(S182:T182)</f>
        <v>155.89999999999998</v>
      </c>
      <c r="U183" s="171">
        <f t="shared" si="1021"/>
        <v>176.93</v>
      </c>
      <c r="V183" s="171">
        <f t="shared" si="1021"/>
        <v>193.875</v>
      </c>
      <c r="W183" s="171">
        <f t="shared" si="1021"/>
        <v>208.59999999999997</v>
      </c>
      <c r="X183" s="171">
        <f t="shared" si="1021"/>
        <v>227.07</v>
      </c>
      <c r="Y183" s="171">
        <f t="shared" si="1021"/>
        <v>245.39499999999998</v>
      </c>
      <c r="Z183" s="171">
        <f t="shared" si="1021"/>
        <v>259.84499999999997</v>
      </c>
      <c r="AA183" s="171">
        <f t="shared" si="1021"/>
        <v>271.21500000000003</v>
      </c>
      <c r="AB183" s="171">
        <f t="shared" si="1021"/>
        <v>284.05</v>
      </c>
      <c r="AC183" s="171">
        <f t="shared" si="1021"/>
        <v>297.7</v>
      </c>
      <c r="AD183" s="171">
        <f t="shared" si="1021"/>
        <v>312.60000000000002</v>
      </c>
      <c r="AE183" s="171">
        <f t="shared" si="1021"/>
        <v>329.95000000000005</v>
      </c>
      <c r="AF183" s="171">
        <f t="shared" si="1021"/>
        <v>345.65</v>
      </c>
      <c r="AG183" s="171">
        <f t="shared" si="1021"/>
        <v>365.95</v>
      </c>
      <c r="AH183" s="171">
        <f t="shared" ref="AH183" si="1022">+AVERAGE(AG182:AH182)</f>
        <v>386.2</v>
      </c>
      <c r="AI183" s="171">
        <f t="shared" ref="AI183" si="1023">+AVERAGE(AH182:AI182)</f>
        <v>401.7</v>
      </c>
      <c r="AJ183" s="171">
        <f t="shared" ref="AJ183" si="1024">+AVERAGE(AI182:AJ182)</f>
        <v>417.7</v>
      </c>
      <c r="AK183" s="171">
        <f t="shared" ref="AK183" si="1025">+AVERAGE(AJ182:AK182)</f>
        <v>435.2</v>
      </c>
      <c r="AL183" s="171">
        <f t="shared" ref="AL183" si="1026">+AVERAGE(AK182:AL182)</f>
        <v>451.2</v>
      </c>
      <c r="AM183" s="171">
        <f t="shared" ref="AM183" si="1027">+AVERAGE(AL182:AM182)</f>
        <v>466.2</v>
      </c>
      <c r="AN183" s="171"/>
      <c r="AO183" s="171"/>
      <c r="AP183" s="171"/>
      <c r="AQ183" s="225" t="str">
        <f>+IFERROR(AQ185/AQ184,"n/a")</f>
        <v>n/a</v>
      </c>
      <c r="AR183" s="225">
        <f t="shared" ref="AR183:AU183" si="1028">+IFERROR(AR185/AR184,"n/a")</f>
        <v>59.279372383561636</v>
      </c>
      <c r="AS183" s="225">
        <f t="shared" si="1028"/>
        <v>88.180767452054795</v>
      </c>
      <c r="AT183" s="225">
        <f t="shared" si="1028"/>
        <v>121.73797814207651</v>
      </c>
      <c r="AU183" s="225">
        <f t="shared" si="1028"/>
        <v>183.99816438356163</v>
      </c>
      <c r="AV183" s="225">
        <f t="shared" ref="AV183:AW183" si="1029">+IFERROR(AV185/AV184,"n/a")</f>
        <v>251.02675342465756</v>
      </c>
      <c r="AW183" s="225">
        <f t="shared" si="1029"/>
        <v>306.21863013698629</v>
      </c>
      <c r="AX183" s="225">
        <f t="shared" ref="AX183:AY183" si="1030">+IFERROR(AX185/AX184,"n/a")</f>
        <v>374.9792349726776</v>
      </c>
      <c r="AY183" s="225">
        <f t="shared" si="1030"/>
        <v>442.73150684931511</v>
      </c>
      <c r="AZ183" s="225"/>
    </row>
    <row r="184" spans="1:52" ht="13.5" x14ac:dyDescent="0.35">
      <c r="B184" s="122" t="s">
        <v>123</v>
      </c>
      <c r="D184" s="128">
        <f t="shared" ref="D184:AI184" si="1031">+(D8-D7+1)/365</f>
        <v>0.24657534246575341</v>
      </c>
      <c r="E184" s="128">
        <f t="shared" si="1031"/>
        <v>0.24931506849315069</v>
      </c>
      <c r="F184" s="128">
        <f t="shared" si="1031"/>
        <v>0.25205479452054796</v>
      </c>
      <c r="G184" s="128">
        <f t="shared" si="1031"/>
        <v>0.25205479452054796</v>
      </c>
      <c r="H184" s="255">
        <f t="shared" si="1031"/>
        <v>0.24657534246575341</v>
      </c>
      <c r="I184" s="255">
        <f t="shared" si="1031"/>
        <v>0.24931506849315069</v>
      </c>
      <c r="J184" s="255">
        <f t="shared" si="1031"/>
        <v>0.25205479452054796</v>
      </c>
      <c r="K184" s="255">
        <f t="shared" si="1031"/>
        <v>0.25205479452054796</v>
      </c>
      <c r="L184" s="255">
        <f t="shared" si="1031"/>
        <v>0.24657534246575341</v>
      </c>
      <c r="M184" s="255">
        <f t="shared" si="1031"/>
        <v>0.24931506849315069</v>
      </c>
      <c r="N184" s="255">
        <f t="shared" si="1031"/>
        <v>0.25205479452054796</v>
      </c>
      <c r="O184" s="255">
        <f t="shared" si="1031"/>
        <v>0.25205479452054796</v>
      </c>
      <c r="P184" s="255">
        <f t="shared" si="1031"/>
        <v>0.24931506849315069</v>
      </c>
      <c r="Q184" s="255">
        <f t="shared" si="1031"/>
        <v>0.24931506849315069</v>
      </c>
      <c r="R184" s="255">
        <f t="shared" si="1031"/>
        <v>0.25205479452054796</v>
      </c>
      <c r="S184" s="255">
        <f t="shared" si="1031"/>
        <v>0.25205479452054796</v>
      </c>
      <c r="T184" s="255">
        <f t="shared" si="1031"/>
        <v>0.24657534246575341</v>
      </c>
      <c r="U184" s="255">
        <f t="shared" si="1031"/>
        <v>0.24931506849315069</v>
      </c>
      <c r="V184" s="255">
        <f t="shared" si="1031"/>
        <v>0.25205479452054796</v>
      </c>
      <c r="W184" s="255">
        <f t="shared" si="1031"/>
        <v>0.25205479452054796</v>
      </c>
      <c r="X184" s="255">
        <f t="shared" si="1031"/>
        <v>0.24657534246575341</v>
      </c>
      <c r="Y184" s="255">
        <f t="shared" si="1031"/>
        <v>0.24931506849315069</v>
      </c>
      <c r="Z184" s="255">
        <f t="shared" si="1031"/>
        <v>0.25205479452054796</v>
      </c>
      <c r="AA184" s="255">
        <f t="shared" si="1031"/>
        <v>0.25205479452054796</v>
      </c>
      <c r="AB184" s="255">
        <f t="shared" si="1031"/>
        <v>0.24657534246575341</v>
      </c>
      <c r="AC184" s="255">
        <f t="shared" si="1031"/>
        <v>0.24931506849315069</v>
      </c>
      <c r="AD184" s="255">
        <f t="shared" si="1031"/>
        <v>0.25205479452054796</v>
      </c>
      <c r="AE184" s="255">
        <f t="shared" si="1031"/>
        <v>0.25205479452054796</v>
      </c>
      <c r="AF184" s="255">
        <f t="shared" si="1031"/>
        <v>0.24931506849315069</v>
      </c>
      <c r="AG184" s="255">
        <f t="shared" si="1031"/>
        <v>0.24931506849315069</v>
      </c>
      <c r="AH184" s="255">
        <f t="shared" si="1031"/>
        <v>0.25205479452054796</v>
      </c>
      <c r="AI184" s="255">
        <f t="shared" si="1031"/>
        <v>0.25205479452054796</v>
      </c>
      <c r="AJ184" s="255">
        <f t="shared" ref="AJ184:AM184" si="1032">+(AJ8-AJ7+1)/365</f>
        <v>0.24657534246575341</v>
      </c>
      <c r="AK184" s="255">
        <f t="shared" si="1032"/>
        <v>0.24931506849315069</v>
      </c>
      <c r="AL184" s="255">
        <f t="shared" si="1032"/>
        <v>0.25205479452054796</v>
      </c>
      <c r="AM184" s="255">
        <f t="shared" si="1032"/>
        <v>0.25205479452054796</v>
      </c>
      <c r="AN184" s="189"/>
      <c r="AO184" s="189"/>
      <c r="AP184" s="189"/>
      <c r="AQ184" s="255">
        <f t="shared" ref="AQ184:AX184" si="1033">+(AQ8-AQ7+1)/365</f>
        <v>1</v>
      </c>
      <c r="AR184" s="255">
        <f t="shared" si="1033"/>
        <v>1</v>
      </c>
      <c r="AS184" s="255">
        <f t="shared" si="1033"/>
        <v>1</v>
      </c>
      <c r="AT184" s="255">
        <f t="shared" si="1033"/>
        <v>1.0027397260273974</v>
      </c>
      <c r="AU184" s="255">
        <f t="shared" si="1033"/>
        <v>1</v>
      </c>
      <c r="AV184" s="255">
        <f t="shared" si="1033"/>
        <v>1</v>
      </c>
      <c r="AW184" s="255">
        <f t="shared" si="1033"/>
        <v>1</v>
      </c>
      <c r="AX184" s="255">
        <f t="shared" si="1033"/>
        <v>1.0027397260273974</v>
      </c>
      <c r="AY184" s="255">
        <f t="shared" ref="AY184" si="1034">+(AY8-AY7+1)/365</f>
        <v>1</v>
      </c>
      <c r="AZ184" s="255"/>
    </row>
    <row r="185" spans="1:52" x14ac:dyDescent="0.2">
      <c r="B185" s="12" t="s">
        <v>121</v>
      </c>
      <c r="D185" s="113" t="str">
        <f>+IFERROR(D183*D184,"n/a")</f>
        <v>n/a</v>
      </c>
      <c r="E185" s="113">
        <f t="shared" ref="E185:T185" si="1035">+IFERROR(E183*E184,"n/a")</f>
        <v>8.2007704109589046</v>
      </c>
      <c r="F185" s="113">
        <f t="shared" si="1035"/>
        <v>9.5642998356164384</v>
      </c>
      <c r="G185" s="113">
        <f t="shared" si="1035"/>
        <v>10.885258520547946</v>
      </c>
      <c r="H185" s="225">
        <f t="shared" si="1035"/>
        <v>12.189235068493151</v>
      </c>
      <c r="I185" s="225">
        <f t="shared" si="1035"/>
        <v>13.94382279452055</v>
      </c>
      <c r="J185" s="225">
        <f t="shared" si="1035"/>
        <v>15.733058630136988</v>
      </c>
      <c r="K185" s="225">
        <f t="shared" si="1035"/>
        <v>17.413255890410955</v>
      </c>
      <c r="L185" s="225">
        <f t="shared" si="1035"/>
        <v>18.927162739726025</v>
      </c>
      <c r="M185" s="225">
        <f t="shared" si="1035"/>
        <v>21.153655561643838</v>
      </c>
      <c r="N185" s="225">
        <f t="shared" si="1035"/>
        <v>23.154328109589041</v>
      </c>
      <c r="O185" s="225">
        <f t="shared" si="1035"/>
        <v>24.945621041095894</v>
      </c>
      <c r="P185" s="225">
        <f t="shared" si="1035"/>
        <v>26.439863013698631</v>
      </c>
      <c r="Q185" s="225">
        <f t="shared" si="1035"/>
        <v>28.484246575342468</v>
      </c>
      <c r="R185" s="225">
        <f t="shared" si="1035"/>
        <v>31.985753424657538</v>
      </c>
      <c r="S185" s="225">
        <f t="shared" si="1035"/>
        <v>35.161643835616438</v>
      </c>
      <c r="T185" s="225">
        <f t="shared" si="1035"/>
        <v>38.441095890410949</v>
      </c>
      <c r="U185" s="225">
        <f t="shared" ref="U185:V185" si="1036">+IFERROR(U183*U184,"n/a")</f>
        <v>44.111315068493155</v>
      </c>
      <c r="V185" s="225">
        <f t="shared" si="1036"/>
        <v>48.867123287671234</v>
      </c>
      <c r="W185" s="225">
        <f t="shared" ref="W185:X185" si="1037">+IFERROR(W183*W184,"n/a")</f>
        <v>52.578630136986298</v>
      </c>
      <c r="X185" s="225">
        <f t="shared" si="1037"/>
        <v>55.989863013698624</v>
      </c>
      <c r="Y185" s="225">
        <f t="shared" ref="Y185:Z185" si="1038">+IFERROR(Y183*Y184,"n/a")</f>
        <v>61.180671232876712</v>
      </c>
      <c r="Z185" s="225">
        <f t="shared" si="1038"/>
        <v>65.495178082191785</v>
      </c>
      <c r="AA185" s="225">
        <f t="shared" ref="AA185:AB185" si="1039">+IFERROR(AA183*AA184,"n/a")</f>
        <v>68.361041095890428</v>
      </c>
      <c r="AB185" s="225">
        <f t="shared" si="1039"/>
        <v>70.039726027397265</v>
      </c>
      <c r="AC185" s="225">
        <f t="shared" ref="AC185:AD185" si="1040">+IFERROR(AC183*AC184,"n/a")</f>
        <v>74.22109589041095</v>
      </c>
      <c r="AD185" s="225">
        <f t="shared" si="1040"/>
        <v>78.792328767123294</v>
      </c>
      <c r="AE185" s="225">
        <f t="shared" ref="AE185:AF185" si="1041">+IFERROR(AE183*AE184,"n/a")</f>
        <v>83.165479452054811</v>
      </c>
      <c r="AF185" s="225">
        <f t="shared" si="1041"/>
        <v>86.175753424657529</v>
      </c>
      <c r="AG185" s="225">
        <f t="shared" ref="AG185" si="1042">+IFERROR(AG183*AG184,"n/a")</f>
        <v>91.236849315068497</v>
      </c>
      <c r="AH185" s="225">
        <f t="shared" ref="AH185:AI185" si="1043">+IFERROR(AH183*AH184,"n/a")</f>
        <v>97.343561643835628</v>
      </c>
      <c r="AI185" s="225">
        <f t="shared" si="1043"/>
        <v>101.25041095890411</v>
      </c>
      <c r="AJ185" s="225">
        <f t="shared" ref="AJ185:AM185" si="1044">+IFERROR(AJ183*AJ184,"n/a")</f>
        <v>102.9945205479452</v>
      </c>
      <c r="AK185" s="225">
        <f t="shared" si="1044"/>
        <v>108.50191780821918</v>
      </c>
      <c r="AL185" s="225">
        <f t="shared" si="1044"/>
        <v>113.72712328767123</v>
      </c>
      <c r="AM185" s="225">
        <f t="shared" si="1044"/>
        <v>117.50794520547946</v>
      </c>
      <c r="AN185" s="171"/>
      <c r="AO185" s="171"/>
      <c r="AP185" s="171"/>
      <c r="AQ185" s="232" t="str">
        <f>+IFERROR(D185+E185+F185+G185,"n/a")</f>
        <v>n/a</v>
      </c>
      <c r="AR185" s="233">
        <f>+SUM(H185:K185)</f>
        <v>59.279372383561636</v>
      </c>
      <c r="AS185" s="233">
        <f>+SUM(L185:O185)</f>
        <v>88.180767452054795</v>
      </c>
      <c r="AT185" s="171">
        <f>+SUM(P185:S185)</f>
        <v>122.07150684931509</v>
      </c>
      <c r="AU185" s="171">
        <f>+SUM(T185:W185)</f>
        <v>183.99816438356163</v>
      </c>
      <c r="AV185" s="171">
        <f>+SUM(X185:AA185)</f>
        <v>251.02675342465756</v>
      </c>
      <c r="AW185" s="171">
        <f>+SUM(AB185:AE185)</f>
        <v>306.21863013698629</v>
      </c>
      <c r="AX185" s="171">
        <f>+SUM(AF185:AI185)</f>
        <v>376.00657534246579</v>
      </c>
      <c r="AY185" s="171">
        <f>+SUM(AJ185:AM185)</f>
        <v>442.73150684931511</v>
      </c>
      <c r="AZ185" s="171"/>
    </row>
    <row r="186" spans="1:52" ht="13.5" x14ac:dyDescent="0.35">
      <c r="B186" t="s">
        <v>122</v>
      </c>
      <c r="D186" s="124" t="str">
        <f>+IFERROR(D187/D185,"n/a")</f>
        <v>n/a</v>
      </c>
      <c r="E186" s="124" t="str">
        <f t="shared" ref="E186:T186" si="1045">+IFERROR(E187/E185,"n/a")</f>
        <v>n/a</v>
      </c>
      <c r="F186" s="124" t="str">
        <f t="shared" si="1045"/>
        <v>n/a</v>
      </c>
      <c r="G186" s="124" t="str">
        <f t="shared" si="1045"/>
        <v>n/a</v>
      </c>
      <c r="H186" s="124">
        <f t="shared" si="1045"/>
        <v>1.0747187929668369</v>
      </c>
      <c r="I186" s="124">
        <f t="shared" si="1045"/>
        <v>1.0829168028393037</v>
      </c>
      <c r="J186" s="124">
        <f t="shared" si="1045"/>
        <v>1.0678152541692856</v>
      </c>
      <c r="K186" s="124">
        <f t="shared" si="1045"/>
        <v>1.0636149905888108</v>
      </c>
      <c r="L186" s="261">
        <f t="shared" si="1045"/>
        <v>1.0762838720271326</v>
      </c>
      <c r="M186" s="261">
        <f t="shared" si="1045"/>
        <v>1.0458712412863338</v>
      </c>
      <c r="N186" s="261">
        <f t="shared" si="1045"/>
        <v>1.0292244234947472</v>
      </c>
      <c r="O186" s="261">
        <f t="shared" si="1045"/>
        <v>1.0335681744513232</v>
      </c>
      <c r="P186" s="261">
        <f t="shared" si="1045"/>
        <v>1.0509509820683796</v>
      </c>
      <c r="Q186" s="261">
        <f t="shared" si="1045"/>
        <v>0.99886791545434872</v>
      </c>
      <c r="R186" s="261">
        <f t="shared" si="1045"/>
        <v>1.0065731318737792</v>
      </c>
      <c r="S186" s="261">
        <f t="shared" si="1045"/>
        <v>1.0363565529063425</v>
      </c>
      <c r="T186" s="261">
        <f t="shared" si="1045"/>
        <v>1.0405010334259854</v>
      </c>
      <c r="U186" s="261">
        <f t="shared" ref="U186:V186" si="1046">+IFERROR(U187/U185,"n/a")</f>
        <v>1.0202597662327499</v>
      </c>
      <c r="V186" s="261">
        <f t="shared" si="1046"/>
        <v>1.0078759846382419</v>
      </c>
      <c r="W186" s="261">
        <f t="shared" ref="W186:X186" si="1047">+IFERROR(W187/W185,"n/a")</f>
        <v>1.0222023635833091</v>
      </c>
      <c r="X186" s="261">
        <f t="shared" si="1047"/>
        <v>1.0203275544007477</v>
      </c>
      <c r="Y186" s="261">
        <f t="shared" ref="Y186:Z186" si="1048">+IFERROR(Y187/Y185,"n/a")</f>
        <v>1.0233624237577048</v>
      </c>
      <c r="Z186" s="261">
        <f t="shared" si="1048"/>
        <v>1.0045472342625663</v>
      </c>
      <c r="AA186" s="261">
        <f t="shared" ref="AA186:AB186" si="1049">+IFERROR(AA187/AA185,"n/a")</f>
        <v>1.0062017619584651</v>
      </c>
      <c r="AB186" s="261">
        <f t="shared" si="1049"/>
        <v>1.0118543292456337</v>
      </c>
      <c r="AC186" s="261">
        <f t="shared" ref="AC186:AD186" si="1050">+IFERROR(AC187/AC185,"n/a")</f>
        <v>1.0063580859852275</v>
      </c>
      <c r="AD186" s="261">
        <f t="shared" si="1050"/>
        <v>0.99905664969818353</v>
      </c>
      <c r="AE186" s="261">
        <f t="shared" ref="AE186:AF186" si="1051">+IFERROR(AE187/AE185,"n/a")</f>
        <v>1.0027477812843841</v>
      </c>
      <c r="AF186" s="261">
        <f t="shared" si="1051"/>
        <v>0.99577893537100826</v>
      </c>
      <c r="AG186" s="261">
        <f t="shared" ref="AG186" si="1052">+IFERROR(AG187/AG185,"n/a")</f>
        <v>0.99686695324077468</v>
      </c>
      <c r="AH186" s="262">
        <v>1</v>
      </c>
      <c r="AI186" s="262">
        <v>1</v>
      </c>
      <c r="AJ186" s="262">
        <v>1</v>
      </c>
      <c r="AK186" s="262">
        <v>1</v>
      </c>
      <c r="AL186" s="262">
        <v>1</v>
      </c>
      <c r="AM186" s="262">
        <v>1</v>
      </c>
      <c r="AN186" s="101"/>
      <c r="AO186" s="101"/>
      <c r="AP186" s="101"/>
      <c r="AQ186" s="261" t="str">
        <f t="shared" ref="AQ186" si="1053">+IFERROR(AQ187/AQ185,"n/a")</f>
        <v>n/a</v>
      </c>
      <c r="AR186" s="261">
        <f t="shared" ref="AR186" si="1054">+IFERROR(AR187/AR185,"n/a")</f>
        <v>1.071553180236007</v>
      </c>
      <c r="AS186" s="261">
        <f t="shared" ref="AS186" si="1055">+IFERROR(AS187/AS185,"n/a")</f>
        <v>1.0445474978439153</v>
      </c>
      <c r="AT186" s="261">
        <f t="shared" ref="AT186:AV186" si="1056">+IFERROR(AT187/AT185,"n/a")</f>
        <v>1.0229659911886362</v>
      </c>
      <c r="AU186" s="261">
        <f t="shared" si="1056"/>
        <v>1.021754758422992</v>
      </c>
      <c r="AV186" s="261">
        <f t="shared" si="1056"/>
        <v>1.0131031713969469</v>
      </c>
      <c r="AW186" s="261">
        <f t="shared" ref="AW186:AX186" si="1057">+IFERROR(AW187/AW185,"n/a")</f>
        <v>1.0047559805958319</v>
      </c>
      <c r="AX186" s="261">
        <f t="shared" si="1057"/>
        <v>0.99827236335126746</v>
      </c>
      <c r="AY186" s="261">
        <f t="shared" ref="AY186" si="1058">+IFERROR(AY187/AY185,"n/a")</f>
        <v>1</v>
      </c>
      <c r="AZ186" s="261"/>
    </row>
    <row r="187" spans="1:52" s="139" customFormat="1" x14ac:dyDescent="0.2">
      <c r="A187" s="137"/>
      <c r="B187" s="138" t="s">
        <v>17</v>
      </c>
      <c r="D187" s="140" t="str">
        <f>+D275</f>
        <v>n/a</v>
      </c>
      <c r="E187" s="140" t="str">
        <f t="shared" ref="E187:T187" si="1059">+E275</f>
        <v>n/a</v>
      </c>
      <c r="F187" s="140" t="str">
        <f t="shared" si="1059"/>
        <v>n/a</v>
      </c>
      <c r="G187" s="140" t="str">
        <f t="shared" si="1059"/>
        <v>n/a</v>
      </c>
      <c r="H187" s="228">
        <f t="shared" si="1059"/>
        <v>13.1</v>
      </c>
      <c r="I187" s="228">
        <f t="shared" si="1059"/>
        <v>15.1</v>
      </c>
      <c r="J187" s="228">
        <f t="shared" si="1059"/>
        <v>16.8</v>
      </c>
      <c r="K187" s="228">
        <f t="shared" si="1059"/>
        <v>18.521000000000001</v>
      </c>
      <c r="L187" s="228">
        <f t="shared" si="1059"/>
        <v>20.370999999999999</v>
      </c>
      <c r="M187" s="228">
        <f t="shared" si="1059"/>
        <v>22.123999999999999</v>
      </c>
      <c r="N187" s="228">
        <f t="shared" si="1059"/>
        <v>23.831</v>
      </c>
      <c r="O187" s="228">
        <f t="shared" si="1059"/>
        <v>25.783000000000001</v>
      </c>
      <c r="P187" s="228">
        <f t="shared" si="1059"/>
        <v>27.786999999999999</v>
      </c>
      <c r="Q187" s="228">
        <f t="shared" si="1059"/>
        <v>28.452000000000002</v>
      </c>
      <c r="R187" s="228">
        <f t="shared" si="1059"/>
        <v>32.195999999999998</v>
      </c>
      <c r="S187" s="228">
        <f t="shared" si="1059"/>
        <v>36.44</v>
      </c>
      <c r="T187" s="228">
        <f t="shared" si="1059"/>
        <v>39.997999999999998</v>
      </c>
      <c r="U187" s="228">
        <f t="shared" ref="U187:V187" si="1060">+U275</f>
        <v>45.005000000000003</v>
      </c>
      <c r="V187" s="228">
        <f t="shared" si="1060"/>
        <v>49.252000000000002</v>
      </c>
      <c r="W187" s="228">
        <f t="shared" ref="W187:X187" si="1061">+W275</f>
        <v>53.746000000000002</v>
      </c>
      <c r="X187" s="228">
        <f t="shared" si="1061"/>
        <v>57.128</v>
      </c>
      <c r="Y187" s="228">
        <f t="shared" ref="Y187:Z187" si="1062">+Y275</f>
        <v>62.61</v>
      </c>
      <c r="Z187" s="228">
        <f t="shared" si="1062"/>
        <v>65.793000000000006</v>
      </c>
      <c r="AA187" s="228">
        <f t="shared" ref="AA187:AB187" si="1063">+AA275</f>
        <v>68.784999999999997</v>
      </c>
      <c r="AB187" s="228">
        <f t="shared" si="1063"/>
        <v>70.87</v>
      </c>
      <c r="AC187" s="228">
        <f t="shared" ref="AC187:AD187" si="1064">+AC275</f>
        <v>74.692999999999998</v>
      </c>
      <c r="AD187" s="228">
        <f t="shared" si="1064"/>
        <v>78.718000000000004</v>
      </c>
      <c r="AE187" s="228">
        <f t="shared" ref="AE187:AF187" si="1065">+AE275</f>
        <v>83.394000000000005</v>
      </c>
      <c r="AF187" s="228">
        <f t="shared" si="1065"/>
        <v>85.811999999999998</v>
      </c>
      <c r="AG187" s="228">
        <f t="shared" ref="AG187" si="1066">+AG275</f>
        <v>90.950999999999993</v>
      </c>
      <c r="AH187" s="228">
        <f t="shared" ref="AH187:AI187" si="1067">+AH185*AH186</f>
        <v>97.343561643835628</v>
      </c>
      <c r="AI187" s="228">
        <f t="shared" si="1067"/>
        <v>101.25041095890411</v>
      </c>
      <c r="AJ187" s="228">
        <f t="shared" ref="AJ187:AM187" si="1068">+AJ185*AJ186</f>
        <v>102.9945205479452</v>
      </c>
      <c r="AK187" s="228">
        <f t="shared" si="1068"/>
        <v>108.50191780821918</v>
      </c>
      <c r="AL187" s="228">
        <f t="shared" si="1068"/>
        <v>113.72712328767123</v>
      </c>
      <c r="AM187" s="228">
        <f t="shared" si="1068"/>
        <v>117.50794520547946</v>
      </c>
      <c r="AN187" s="229"/>
      <c r="AO187" s="229"/>
      <c r="AP187" s="229"/>
      <c r="AQ187" s="228">
        <f>+AQ275</f>
        <v>38.406999999999996</v>
      </c>
      <c r="AR187" s="228">
        <f>+AR275</f>
        <v>63.521000000000001</v>
      </c>
      <c r="AS187" s="228">
        <f>+AS275</f>
        <v>92.108999999999995</v>
      </c>
      <c r="AT187" s="228">
        <f>+AT275</f>
        <v>124.875</v>
      </c>
      <c r="AU187" s="229">
        <f>+SUM(T187:W187)</f>
        <v>188.001</v>
      </c>
      <c r="AV187" s="229">
        <f>+SUM(X187:AA187)</f>
        <v>254.316</v>
      </c>
      <c r="AW187" s="229">
        <f>+SUM(AB187:AE187)</f>
        <v>307.67500000000001</v>
      </c>
      <c r="AX187" s="229">
        <f>+SUM(AF187:AI187)</f>
        <v>375.35697260273975</v>
      </c>
      <c r="AY187" s="229">
        <f>+SUM(AJ187:AM187)</f>
        <v>442.73150684931511</v>
      </c>
      <c r="AZ187" s="284"/>
    </row>
    <row r="188" spans="1:52" x14ac:dyDescent="0.2">
      <c r="B188" s="20" t="s">
        <v>18</v>
      </c>
      <c r="H188" s="120" t="str">
        <f t="shared" ref="H188" si="1069">IFERROR(H187/D187-1,"n/a")</f>
        <v>n/a</v>
      </c>
      <c r="I188" s="120" t="str">
        <f t="shared" ref="I188" si="1070">IFERROR(I187/E187-1,"n/a")</f>
        <v>n/a</v>
      </c>
      <c r="J188" s="120" t="str">
        <f t="shared" ref="J188" si="1071">IFERROR(J187/F187-1,"n/a")</f>
        <v>n/a</v>
      </c>
      <c r="K188" s="120" t="str">
        <f t="shared" ref="K188" si="1072">IFERROR(K187/G187-1,"n/a")</f>
        <v>n/a</v>
      </c>
      <c r="L188" s="15">
        <f>IFERROR(L187/H187-1,"n/a")</f>
        <v>0.55503816793893135</v>
      </c>
      <c r="M188" s="15">
        <f t="shared" ref="M188" si="1073">IFERROR(M187/I187-1,"n/a")</f>
        <v>0.46516556291390732</v>
      </c>
      <c r="N188" s="15">
        <f t="shared" ref="N188" si="1074">IFERROR(N187/J187-1,"n/a")</f>
        <v>0.41851190476190459</v>
      </c>
      <c r="O188" s="15">
        <f t="shared" ref="O188" si="1075">IFERROR(O187/K187-1,"n/a")</f>
        <v>0.392095459208466</v>
      </c>
      <c r="P188" s="15">
        <f t="shared" ref="P188" si="1076">IFERROR(P187/L187-1,"n/a")</f>
        <v>0.364046929458544</v>
      </c>
      <c r="Q188" s="15">
        <f t="shared" ref="Q188" si="1077">IFERROR(Q187/M187-1,"n/a")</f>
        <v>0.28602422708371011</v>
      </c>
      <c r="R188" s="15">
        <f t="shared" ref="R188" si="1078">IFERROR(R187/N187-1,"n/a")</f>
        <v>0.35101338592589482</v>
      </c>
      <c r="S188" s="15">
        <f t="shared" ref="S188:AG188" si="1079">IFERROR(S187/O187-1,"n/a")</f>
        <v>0.41333436760656239</v>
      </c>
      <c r="T188" s="15">
        <f t="shared" si="1079"/>
        <v>0.43945010256594808</v>
      </c>
      <c r="U188" s="15">
        <f t="shared" si="1079"/>
        <v>0.58178686911289179</v>
      </c>
      <c r="V188" s="15">
        <f t="shared" si="1079"/>
        <v>0.52975524909926719</v>
      </c>
      <c r="W188" s="15">
        <f t="shared" si="1079"/>
        <v>0.47491767288693754</v>
      </c>
      <c r="X188" s="15">
        <f t="shared" si="1079"/>
        <v>0.42827141357067866</v>
      </c>
      <c r="Y188" s="15">
        <f t="shared" si="1079"/>
        <v>0.39117875791578705</v>
      </c>
      <c r="Z188" s="15">
        <f t="shared" si="1079"/>
        <v>0.33584422967595229</v>
      </c>
      <c r="AA188" s="15">
        <f t="shared" si="1079"/>
        <v>0.27981617236631551</v>
      </c>
      <c r="AB188" s="15">
        <f t="shared" si="1079"/>
        <v>0.24054754236101394</v>
      </c>
      <c r="AC188" s="15">
        <f t="shared" si="1079"/>
        <v>0.19298834052068359</v>
      </c>
      <c r="AD188" s="15">
        <f t="shared" si="1079"/>
        <v>0.19644947030839144</v>
      </c>
      <c r="AE188" s="15">
        <f t="shared" si="1079"/>
        <v>0.212386421458167</v>
      </c>
      <c r="AF188" s="15">
        <f t="shared" si="1079"/>
        <v>0.21083674333286284</v>
      </c>
      <c r="AG188" s="15">
        <f t="shared" si="1079"/>
        <v>0.21766430589211838</v>
      </c>
      <c r="AH188" s="15">
        <f t="shared" ref="AH188" si="1080">IFERROR(AH187/AD187-1,"n/a")</f>
        <v>0.23661121527269025</v>
      </c>
      <c r="AI188" s="15">
        <f t="shared" ref="AI188" si="1081">IFERROR(AI187/AE187-1,"n/a")</f>
        <v>0.21412105138144355</v>
      </c>
      <c r="AJ188" s="15">
        <f t="shared" ref="AJ188" si="1082">IFERROR(AJ187/AF187-1,"n/a")</f>
        <v>0.20023447242746006</v>
      </c>
      <c r="AK188" s="15">
        <f t="shared" ref="AK188" si="1083">IFERROR(AK187/AG187-1,"n/a")</f>
        <v>0.19297113619662443</v>
      </c>
      <c r="AL188" s="15">
        <f t="shared" ref="AL188" si="1084">IFERROR(AL187/AH187-1,"n/a")</f>
        <v>0.16830657690315887</v>
      </c>
      <c r="AM188" s="15">
        <f t="shared" ref="AM188" si="1085">IFERROR(AM187/AI187-1,"n/a")</f>
        <v>0.16056758775205382</v>
      </c>
      <c r="AR188" s="15">
        <f>IFERROR(AR187/AQ187-1,"n/a")</f>
        <v>0.65389121774676506</v>
      </c>
      <c r="AS188" s="15">
        <f t="shared" ref="AS188:AY188" si="1086">IFERROR(AS187/AR187-1,"n/a")</f>
        <v>0.45005588702948618</v>
      </c>
      <c r="AT188" s="15">
        <f t="shared" si="1086"/>
        <v>0.35573071035403725</v>
      </c>
      <c r="AU188" s="15">
        <f t="shared" si="1086"/>
        <v>0.50551351351351359</v>
      </c>
      <c r="AV188" s="15">
        <f t="shared" si="1086"/>
        <v>0.35273748543890715</v>
      </c>
      <c r="AW188" s="15">
        <f t="shared" si="1086"/>
        <v>0.20981377498859688</v>
      </c>
      <c r="AX188" s="15">
        <f t="shared" si="1086"/>
        <v>0.21997878476554722</v>
      </c>
      <c r="AY188" s="15">
        <f t="shared" si="1086"/>
        <v>0.1794945589511705</v>
      </c>
      <c r="AZ188" s="15"/>
    </row>
    <row r="189" spans="1:52" x14ac:dyDescent="0.2">
      <c r="B189" s="20" t="s">
        <v>383</v>
      </c>
      <c r="H189" s="120"/>
      <c r="I189" s="120"/>
      <c r="J189" s="120"/>
      <c r="K189" s="120"/>
      <c r="L189" s="15">
        <f>+L188</f>
        <v>0.55503816793893135</v>
      </c>
      <c r="M189" s="15">
        <f t="shared" ref="M189:AF189" si="1087">+M188</f>
        <v>0.46516556291390732</v>
      </c>
      <c r="N189" s="15">
        <f t="shared" si="1087"/>
        <v>0.41851190476190459</v>
      </c>
      <c r="O189" s="15">
        <f t="shared" si="1087"/>
        <v>0.392095459208466</v>
      </c>
      <c r="P189" s="15">
        <f t="shared" si="1087"/>
        <v>0.364046929458544</v>
      </c>
      <c r="Q189" s="15">
        <f t="shared" si="1087"/>
        <v>0.28602422708371011</v>
      </c>
      <c r="R189" s="15">
        <f t="shared" si="1087"/>
        <v>0.35101338592589482</v>
      </c>
      <c r="S189" s="15">
        <f t="shared" si="1087"/>
        <v>0.41333436760656239</v>
      </c>
      <c r="T189" s="15">
        <f t="shared" si="1087"/>
        <v>0.43945010256594808</v>
      </c>
      <c r="U189" s="15">
        <f t="shared" si="1087"/>
        <v>0.58178686911289179</v>
      </c>
      <c r="V189" s="15">
        <f t="shared" si="1087"/>
        <v>0.52975524909926719</v>
      </c>
      <c r="W189" s="15">
        <f t="shared" si="1087"/>
        <v>0.47491767288693754</v>
      </c>
      <c r="X189" s="15">
        <f t="shared" si="1087"/>
        <v>0.42827141357067866</v>
      </c>
      <c r="Y189" s="15">
        <f t="shared" si="1087"/>
        <v>0.39117875791578705</v>
      </c>
      <c r="Z189" s="15">
        <f t="shared" si="1087"/>
        <v>0.33584422967595229</v>
      </c>
      <c r="AA189" s="15">
        <f t="shared" si="1087"/>
        <v>0.27981617236631551</v>
      </c>
      <c r="AB189" s="15">
        <f t="shared" si="1087"/>
        <v>0.24054754236101394</v>
      </c>
      <c r="AC189" s="15">
        <f t="shared" si="1087"/>
        <v>0.19298834052068359</v>
      </c>
      <c r="AD189" s="15">
        <f t="shared" si="1087"/>
        <v>0.19644947030839144</v>
      </c>
      <c r="AE189" s="15">
        <f t="shared" si="1087"/>
        <v>0.212386421458167</v>
      </c>
      <c r="AF189" s="15">
        <f t="shared" si="1087"/>
        <v>0.21083674333286284</v>
      </c>
      <c r="AG189" s="288">
        <f>+AG188-SUM(AG198:AG199)/AC187</f>
        <v>0.20080864338023641</v>
      </c>
      <c r="AH189" s="288">
        <f t="shared" ref="AH189:AI189" si="1088">+AH188-SUM(AH198:AH199)/AD187</f>
        <v>0.20616767573339118</v>
      </c>
      <c r="AI189" s="288">
        <f t="shared" si="1088"/>
        <v>0.18416631297645694</v>
      </c>
      <c r="AJ189" s="288">
        <f t="shared" ref="AJ189" si="1089">+AJ188-SUM(AJ198:AJ199)/AF187</f>
        <v>0.17112379496340546</v>
      </c>
      <c r="AK189" s="288">
        <f t="shared" ref="AK189" si="1090">+AK188-SUM(AK198:AK199)/AG187</f>
        <v>0.17934791650090418</v>
      </c>
      <c r="AL189" s="288">
        <f t="shared" ref="AL189" si="1091">+AL188-SUM(AL198:AL199)/AH187</f>
        <v>0.16830657690315887</v>
      </c>
      <c r="AM189" s="288">
        <f t="shared" ref="AM189" si="1092">+AM188-SUM(AM198:AM199)/AI187</f>
        <v>0.16056758775205382</v>
      </c>
      <c r="AR189" s="15">
        <f t="shared" ref="AR189" si="1093">+AR188</f>
        <v>0.65389121774676506</v>
      </c>
      <c r="AS189" s="15">
        <f t="shared" ref="AS189" si="1094">+AS188</f>
        <v>0.45005588702948618</v>
      </c>
      <c r="AT189" s="15">
        <f t="shared" ref="AT189" si="1095">+AT188</f>
        <v>0.35573071035403725</v>
      </c>
      <c r="AU189" s="15">
        <f t="shared" ref="AU189" si="1096">+AU188</f>
        <v>0.50551351351351359</v>
      </c>
      <c r="AV189" s="15">
        <f t="shared" ref="AV189" si="1097">+AV188</f>
        <v>0.35273748543890715</v>
      </c>
      <c r="AW189" s="15">
        <f t="shared" ref="AW189" si="1098">+AW188</f>
        <v>0.20981377498859688</v>
      </c>
      <c r="AX189" s="288">
        <f>+AX188-SUM(AX198:AX199)/AW187</f>
        <v>0.19997878476554723</v>
      </c>
      <c r="AY189" s="288">
        <f>+AY188-SUM(AY198:AY199)/AX187</f>
        <v>0.16953846067177056</v>
      </c>
      <c r="AZ189" s="15"/>
    </row>
    <row r="190" spans="1:52" x14ac:dyDescent="0.2">
      <c r="B190" s="20" t="s">
        <v>214</v>
      </c>
      <c r="E190" s="120" t="str">
        <f t="shared" ref="E190:AG190" si="1099">+IFERROR(E187/D187-1,"n/a")</f>
        <v>n/a</v>
      </c>
      <c r="F190" s="120" t="str">
        <f t="shared" si="1099"/>
        <v>n/a</v>
      </c>
      <c r="G190" s="120" t="str">
        <f t="shared" si="1099"/>
        <v>n/a</v>
      </c>
      <c r="H190" s="120" t="str">
        <f t="shared" si="1099"/>
        <v>n/a</v>
      </c>
      <c r="I190" s="15">
        <f t="shared" si="1099"/>
        <v>0.15267175572519087</v>
      </c>
      <c r="J190" s="15">
        <f t="shared" si="1099"/>
        <v>0.11258278145695377</v>
      </c>
      <c r="K190" s="15">
        <f t="shared" si="1099"/>
        <v>0.10244047619047625</v>
      </c>
      <c r="L190" s="15">
        <f t="shared" si="1099"/>
        <v>9.988661519356401E-2</v>
      </c>
      <c r="M190" s="15">
        <f t="shared" si="1099"/>
        <v>8.6053703794610081E-2</v>
      </c>
      <c r="N190" s="15">
        <f t="shared" si="1099"/>
        <v>7.7156029651057612E-2</v>
      </c>
      <c r="O190" s="15">
        <f t="shared" si="1099"/>
        <v>8.1910117074398991E-2</v>
      </c>
      <c r="P190" s="15">
        <f t="shared" si="1099"/>
        <v>7.7725633169142272E-2</v>
      </c>
      <c r="Q190" s="15">
        <f t="shared" si="1099"/>
        <v>2.3932054557886939E-2</v>
      </c>
      <c r="R190" s="15">
        <f t="shared" si="1099"/>
        <v>0.13159004639392657</v>
      </c>
      <c r="S190" s="15">
        <f t="shared" si="1099"/>
        <v>0.13181761709529138</v>
      </c>
      <c r="T190" s="15">
        <f t="shared" si="1099"/>
        <v>9.7639956092206326E-2</v>
      </c>
      <c r="U190" s="15">
        <f t="shared" si="1099"/>
        <v>0.1251812590629533</v>
      </c>
      <c r="V190" s="15">
        <f t="shared" si="1099"/>
        <v>9.4367292523052981E-2</v>
      </c>
      <c r="W190" s="15">
        <f t="shared" si="1099"/>
        <v>9.1245025582717521E-2</v>
      </c>
      <c r="X190" s="15">
        <f t="shared" si="1099"/>
        <v>6.292561306887956E-2</v>
      </c>
      <c r="Y190" s="15">
        <f t="shared" si="1099"/>
        <v>9.5959949586892579E-2</v>
      </c>
      <c r="Z190" s="15">
        <f t="shared" si="1099"/>
        <v>5.0838524197412749E-2</v>
      </c>
      <c r="AA190" s="15">
        <f t="shared" si="1099"/>
        <v>4.547596248841046E-2</v>
      </c>
      <c r="AB190" s="15">
        <f t="shared" si="1099"/>
        <v>3.0311841244457405E-2</v>
      </c>
      <c r="AC190" s="15">
        <f t="shared" si="1099"/>
        <v>5.3943840835332102E-2</v>
      </c>
      <c r="AD190" s="15">
        <f t="shared" si="1099"/>
        <v>5.3887245123371841E-2</v>
      </c>
      <c r="AE190" s="15">
        <f t="shared" si="1099"/>
        <v>5.9401915699077712E-2</v>
      </c>
      <c r="AF190" s="15">
        <f t="shared" si="1099"/>
        <v>2.8994891718828519E-2</v>
      </c>
      <c r="AG190" s="15">
        <f t="shared" si="1099"/>
        <v>5.9886729128793226E-2</v>
      </c>
      <c r="AH190" s="15">
        <f t="shared" ref="AH190" si="1100">+IFERROR(AH187/AG187-1,"n/a")</f>
        <v>7.0285776339299666E-2</v>
      </c>
      <c r="AI190" s="15">
        <f t="shared" ref="AI190" si="1101">+IFERROR(AI187/AH187-1,"n/a")</f>
        <v>4.0134645261522328E-2</v>
      </c>
      <c r="AJ190" s="15">
        <f t="shared" ref="AJ190" si="1102">+IFERROR(AJ187/AI187-1,"n/a")</f>
        <v>1.7225703802318248E-2</v>
      </c>
      <c r="AK190" s="15">
        <f t="shared" ref="AK190" si="1103">+IFERROR(AK187/AJ187-1,"n/a")</f>
        <v>5.3472720985289879E-2</v>
      </c>
      <c r="AL190" s="15">
        <f t="shared" ref="AL190" si="1104">+IFERROR(AL187/AK187-1,"n/a")</f>
        <v>4.8157724628312915E-2</v>
      </c>
      <c r="AM190" s="15">
        <f t="shared" ref="AM190" si="1105">+IFERROR(AM187/AL187-1,"n/a")</f>
        <v>3.3244680851063801E-2</v>
      </c>
      <c r="AR190" s="15">
        <f t="shared" ref="AR190:AY190" si="1106">+IFERROR(AR187/AQ187-1,"n/a")</f>
        <v>0.65389121774676506</v>
      </c>
      <c r="AS190" s="15">
        <f t="shared" si="1106"/>
        <v>0.45005588702948618</v>
      </c>
      <c r="AT190" s="15">
        <f t="shared" si="1106"/>
        <v>0.35573071035403725</v>
      </c>
      <c r="AU190" s="15">
        <f t="shared" si="1106"/>
        <v>0.50551351351351359</v>
      </c>
      <c r="AV190" s="15">
        <f t="shared" si="1106"/>
        <v>0.35273748543890715</v>
      </c>
      <c r="AW190" s="15">
        <f t="shared" si="1106"/>
        <v>0.20981377498859688</v>
      </c>
      <c r="AX190" s="15">
        <f t="shared" si="1106"/>
        <v>0.21997878476554722</v>
      </c>
      <c r="AY190" s="15">
        <f t="shared" si="1106"/>
        <v>0.1794945589511705</v>
      </c>
      <c r="AZ190" s="15"/>
    </row>
    <row r="191" spans="1:52" x14ac:dyDescent="0.2">
      <c r="B191" s="20" t="s">
        <v>384</v>
      </c>
      <c r="E191" s="120"/>
      <c r="F191" s="120"/>
      <c r="G191" s="120"/>
      <c r="H191" s="120"/>
      <c r="I191" s="15"/>
      <c r="J191" s="15"/>
      <c r="K191" s="15"/>
      <c r="L191" s="15">
        <f>+L190</f>
        <v>9.988661519356401E-2</v>
      </c>
      <c r="M191" s="15">
        <f t="shared" ref="M191:AF191" si="1107">+M190</f>
        <v>8.6053703794610081E-2</v>
      </c>
      <c r="N191" s="15">
        <f t="shared" si="1107"/>
        <v>7.7156029651057612E-2</v>
      </c>
      <c r="O191" s="15">
        <f t="shared" si="1107"/>
        <v>8.1910117074398991E-2</v>
      </c>
      <c r="P191" s="15">
        <f t="shared" si="1107"/>
        <v>7.7725633169142272E-2</v>
      </c>
      <c r="Q191" s="15">
        <f t="shared" si="1107"/>
        <v>2.3932054557886939E-2</v>
      </c>
      <c r="R191" s="15">
        <f t="shared" si="1107"/>
        <v>0.13159004639392657</v>
      </c>
      <c r="S191" s="15">
        <f t="shared" si="1107"/>
        <v>0.13181761709529138</v>
      </c>
      <c r="T191" s="15">
        <f t="shared" si="1107"/>
        <v>9.7639956092206326E-2</v>
      </c>
      <c r="U191" s="15">
        <f t="shared" si="1107"/>
        <v>0.1251812590629533</v>
      </c>
      <c r="V191" s="15">
        <f t="shared" si="1107"/>
        <v>9.4367292523052981E-2</v>
      </c>
      <c r="W191" s="15">
        <f t="shared" si="1107"/>
        <v>9.1245025582717521E-2</v>
      </c>
      <c r="X191" s="15">
        <f t="shared" si="1107"/>
        <v>6.292561306887956E-2</v>
      </c>
      <c r="Y191" s="15">
        <f t="shared" si="1107"/>
        <v>9.5959949586892579E-2</v>
      </c>
      <c r="Z191" s="15">
        <f t="shared" si="1107"/>
        <v>5.0838524197412749E-2</v>
      </c>
      <c r="AA191" s="15">
        <f t="shared" si="1107"/>
        <v>4.547596248841046E-2</v>
      </c>
      <c r="AB191" s="15">
        <f t="shared" si="1107"/>
        <v>3.0311841244457405E-2</v>
      </c>
      <c r="AC191" s="15">
        <f t="shared" si="1107"/>
        <v>5.3943840835332102E-2</v>
      </c>
      <c r="AD191" s="15">
        <f t="shared" si="1107"/>
        <v>5.3887245123371841E-2</v>
      </c>
      <c r="AE191" s="15">
        <f t="shared" si="1107"/>
        <v>5.9401915699077712E-2</v>
      </c>
      <c r="AF191" s="15">
        <f t="shared" si="1107"/>
        <v>2.8994891718828519E-2</v>
      </c>
      <c r="AG191" s="288">
        <f>+AG190-AG198/AF187</f>
        <v>4.5215121428238518E-2</v>
      </c>
      <c r="AH191" s="288">
        <f>+AH190-(AH198-AG198+AH199)/AG187</f>
        <v>5.7779541713462189E-2</v>
      </c>
      <c r="AI191" s="15">
        <f>+AI190</f>
        <v>4.0134645261522328E-2</v>
      </c>
      <c r="AJ191" s="15">
        <f t="shared" ref="AJ191:AM191" si="1108">+AJ190</f>
        <v>1.7225703802318248E-2</v>
      </c>
      <c r="AK191" s="15">
        <f t="shared" si="1108"/>
        <v>5.3472720985289879E-2</v>
      </c>
      <c r="AL191" s="15">
        <f t="shared" si="1108"/>
        <v>4.8157724628312915E-2</v>
      </c>
      <c r="AM191" s="15">
        <f t="shared" si="1108"/>
        <v>3.3244680851063801E-2</v>
      </c>
      <c r="AR191" s="15">
        <f t="shared" ref="AR191" si="1109">+AR190</f>
        <v>0.65389121774676506</v>
      </c>
      <c r="AS191" s="15">
        <f t="shared" ref="AS191" si="1110">+AS190</f>
        <v>0.45005588702948618</v>
      </c>
      <c r="AT191" s="15">
        <f t="shared" ref="AT191" si="1111">+AT190</f>
        <v>0.35573071035403725</v>
      </c>
      <c r="AU191" s="15">
        <f t="shared" ref="AU191" si="1112">+AU190</f>
        <v>0.50551351351351359</v>
      </c>
      <c r="AV191" s="15">
        <f t="shared" ref="AV191" si="1113">+AV190</f>
        <v>0.35273748543890715</v>
      </c>
      <c r="AW191" s="15">
        <f t="shared" ref="AW191" si="1114">+AW190</f>
        <v>0.20981377498859688</v>
      </c>
      <c r="AX191" s="293">
        <f>+AX189</f>
        <v>0.19997878476554723</v>
      </c>
      <c r="AY191" s="293">
        <f>+AY189</f>
        <v>0.16953846067177056</v>
      </c>
      <c r="AZ191" s="15"/>
    </row>
    <row r="192" spans="1:52" x14ac:dyDescent="0.2">
      <c r="B192" s="20" t="s">
        <v>117</v>
      </c>
      <c r="E192" s="126" t="str">
        <f t="shared" ref="E192:AG192" si="1115">+IFERROR(E187-D187,"n/a")</f>
        <v>n/a</v>
      </c>
      <c r="F192" s="126" t="str">
        <f t="shared" si="1115"/>
        <v>n/a</v>
      </c>
      <c r="G192" s="126" t="str">
        <f t="shared" si="1115"/>
        <v>n/a</v>
      </c>
      <c r="H192" s="126" t="str">
        <f t="shared" si="1115"/>
        <v>n/a</v>
      </c>
      <c r="I192" s="126">
        <f t="shared" si="1115"/>
        <v>2</v>
      </c>
      <c r="J192" s="126">
        <f t="shared" si="1115"/>
        <v>1.7000000000000011</v>
      </c>
      <c r="K192" s="126">
        <f t="shared" si="1115"/>
        <v>1.7210000000000001</v>
      </c>
      <c r="L192" s="126">
        <f t="shared" si="1115"/>
        <v>1.8499999999999979</v>
      </c>
      <c r="M192" s="126">
        <f t="shared" si="1115"/>
        <v>1.7530000000000001</v>
      </c>
      <c r="N192" s="126">
        <f t="shared" si="1115"/>
        <v>1.7070000000000007</v>
      </c>
      <c r="O192" s="126">
        <f t="shared" si="1115"/>
        <v>1.9520000000000017</v>
      </c>
      <c r="P192" s="126">
        <f t="shared" si="1115"/>
        <v>2.0039999999999978</v>
      </c>
      <c r="Q192" s="126">
        <f t="shared" si="1115"/>
        <v>0.6650000000000027</v>
      </c>
      <c r="R192" s="126">
        <f t="shared" si="1115"/>
        <v>3.7439999999999962</v>
      </c>
      <c r="S192" s="126">
        <f t="shared" si="1115"/>
        <v>4.2439999999999998</v>
      </c>
      <c r="T192" s="126">
        <f t="shared" si="1115"/>
        <v>3.5579999999999998</v>
      </c>
      <c r="U192" s="126">
        <f t="shared" si="1115"/>
        <v>5.007000000000005</v>
      </c>
      <c r="V192" s="126">
        <f t="shared" si="1115"/>
        <v>4.2469999999999999</v>
      </c>
      <c r="W192" s="126">
        <f t="shared" si="1115"/>
        <v>4.4939999999999998</v>
      </c>
      <c r="X192" s="126">
        <f t="shared" si="1115"/>
        <v>3.3819999999999979</v>
      </c>
      <c r="Y192" s="126">
        <f t="shared" si="1115"/>
        <v>5.4819999999999993</v>
      </c>
      <c r="Z192" s="126">
        <f t="shared" si="1115"/>
        <v>3.1830000000000069</v>
      </c>
      <c r="AA192" s="126">
        <f t="shared" si="1115"/>
        <v>2.9919999999999902</v>
      </c>
      <c r="AB192" s="126">
        <f t="shared" si="1115"/>
        <v>2.085000000000008</v>
      </c>
      <c r="AC192" s="126">
        <f t="shared" si="1115"/>
        <v>3.8229999999999933</v>
      </c>
      <c r="AD192" s="126">
        <f t="shared" si="1115"/>
        <v>4.0250000000000057</v>
      </c>
      <c r="AE192" s="126">
        <f t="shared" si="1115"/>
        <v>4.6760000000000019</v>
      </c>
      <c r="AF192" s="126">
        <f t="shared" si="1115"/>
        <v>2.4179999999999922</v>
      </c>
      <c r="AG192" s="126">
        <f t="shared" si="1115"/>
        <v>5.1389999999999958</v>
      </c>
      <c r="AH192" s="126">
        <f t="shared" ref="AH192" si="1116">+IFERROR(AH187-AG187,"n/a")</f>
        <v>6.3925616438356343</v>
      </c>
      <c r="AI192" s="126">
        <f t="shared" ref="AI192" si="1117">+IFERROR(AI187-AH187,"n/a")</f>
        <v>3.9068493150684844</v>
      </c>
      <c r="AJ192" s="126">
        <f t="shared" ref="AJ192" si="1118">+IFERROR(AJ187-AI187,"n/a")</f>
        <v>1.7441095890410878</v>
      </c>
      <c r="AK192" s="126">
        <f t="shared" ref="AK192" si="1119">+IFERROR(AK187-AJ187,"n/a")</f>
        <v>5.5073972602739758</v>
      </c>
      <c r="AL192" s="126">
        <f t="shared" ref="AL192" si="1120">+IFERROR(AL187-AK187,"n/a")</f>
        <v>5.2252054794520575</v>
      </c>
      <c r="AM192" s="126">
        <f t="shared" ref="AM192" si="1121">+IFERROR(AM187-AL187,"n/a")</f>
        <v>3.7808219178082254</v>
      </c>
      <c r="AR192" s="126">
        <f t="shared" ref="AR192:AY192" si="1122">+IFERROR(AR187-AQ187,"n/a")</f>
        <v>25.114000000000004</v>
      </c>
      <c r="AS192" s="126">
        <f t="shared" si="1122"/>
        <v>28.587999999999994</v>
      </c>
      <c r="AT192" s="126">
        <f t="shared" si="1122"/>
        <v>32.766000000000005</v>
      </c>
      <c r="AU192" s="126">
        <f t="shared" si="1122"/>
        <v>63.126000000000005</v>
      </c>
      <c r="AV192" s="126">
        <f t="shared" si="1122"/>
        <v>66.314999999999998</v>
      </c>
      <c r="AW192" s="126">
        <f t="shared" si="1122"/>
        <v>53.359000000000009</v>
      </c>
      <c r="AX192" s="126">
        <f t="shared" si="1122"/>
        <v>67.681972602739734</v>
      </c>
      <c r="AY192" s="126">
        <f t="shared" si="1122"/>
        <v>67.374534246575365</v>
      </c>
      <c r="AZ192" s="126"/>
    </row>
    <row r="193" spans="1:52" x14ac:dyDescent="0.2">
      <c r="B193" s="26" t="s">
        <v>18</v>
      </c>
      <c r="H193" s="120" t="str">
        <f t="shared" ref="H193" si="1123">IFERROR(H192/D192-1,"n/a")</f>
        <v>n/a</v>
      </c>
      <c r="I193" s="120" t="str">
        <f t="shared" ref="I193" si="1124">IFERROR(I192/E192-1,"n/a")</f>
        <v>n/a</v>
      </c>
      <c r="J193" s="120" t="str">
        <f t="shared" ref="J193" si="1125">IFERROR(J192/F192-1,"n/a")</f>
        <v>n/a</v>
      </c>
      <c r="K193" s="120" t="str">
        <f t="shared" ref="K193" si="1126">IFERROR(K192/G192-1,"n/a")</f>
        <v>n/a</v>
      </c>
      <c r="L193" s="120" t="str">
        <f>IFERROR(L192/H192-1,"n/a")</f>
        <v>n/a</v>
      </c>
      <c r="M193" s="120">
        <f t="shared" ref="M193" si="1127">IFERROR(M192/I192-1,"n/a")</f>
        <v>-0.12349999999999994</v>
      </c>
      <c r="N193" s="120">
        <f t="shared" ref="N193" si="1128">IFERROR(N192/J192-1,"n/a")</f>
        <v>4.1176470588233371E-3</v>
      </c>
      <c r="O193" s="120">
        <f t="shared" ref="O193" si="1129">IFERROR(O192/K192-1,"n/a")</f>
        <v>0.13422428820453325</v>
      </c>
      <c r="P193" s="120">
        <f t="shared" ref="P193" si="1130">IFERROR(P192/L192-1,"n/a")</f>
        <v>8.3243243243243281E-2</v>
      </c>
      <c r="Q193" s="120">
        <f t="shared" ref="Q193" si="1131">IFERROR(Q192/M192-1,"n/a")</f>
        <v>-0.62065031374785928</v>
      </c>
      <c r="R193" s="120">
        <f t="shared" ref="R193" si="1132">IFERROR(R192/N192-1,"n/a")</f>
        <v>1.1933216168717018</v>
      </c>
      <c r="S193" s="120">
        <f t="shared" ref="S193" si="1133">IFERROR(S192/O192-1,"n/a")</f>
        <v>1.1741803278688505</v>
      </c>
      <c r="T193" s="120">
        <f t="shared" ref="T193" si="1134">IFERROR(T192/P192-1,"n/a")</f>
        <v>0.77544910179640913</v>
      </c>
      <c r="U193" s="120">
        <f t="shared" ref="U193" si="1135">IFERROR(U192/Q192-1,"n/a")</f>
        <v>6.5293233082706532</v>
      </c>
      <c r="V193" s="120">
        <f t="shared" ref="V193" si="1136">IFERROR(V192/R192-1,"n/a")</f>
        <v>0.13434829059829179</v>
      </c>
      <c r="W193" s="120">
        <f t="shared" ref="W193" si="1137">IFERROR(W192/S192-1,"n/a")</f>
        <v>5.8906691800188593E-2</v>
      </c>
      <c r="X193" s="120">
        <f t="shared" ref="X193" si="1138">IFERROR(X192/T192-1,"n/a")</f>
        <v>-4.9465992130410918E-2</v>
      </c>
      <c r="Y193" s="120">
        <f t="shared" ref="Y193" si="1139">IFERROR(Y192/U192-1,"n/a")</f>
        <v>9.4867185939683241E-2</v>
      </c>
      <c r="Z193" s="120">
        <f t="shared" ref="Z193:AG193" si="1140">IFERROR(Z192/V192-1,"n/a")</f>
        <v>-0.25052978573110263</v>
      </c>
      <c r="AA193" s="120">
        <f t="shared" si="1140"/>
        <v>-0.33422340898976632</v>
      </c>
      <c r="AB193" s="120">
        <f t="shared" si="1140"/>
        <v>-0.3835008870490807</v>
      </c>
      <c r="AC193" s="120">
        <f t="shared" si="1140"/>
        <v>-0.30262677854797637</v>
      </c>
      <c r="AD193" s="120">
        <f t="shared" si="1140"/>
        <v>0.2645303173107123</v>
      </c>
      <c r="AE193" s="120">
        <f t="shared" si="1140"/>
        <v>0.56283422459893617</v>
      </c>
      <c r="AF193" s="120">
        <f t="shared" si="1140"/>
        <v>0.15971223021581915</v>
      </c>
      <c r="AG193" s="120">
        <f t="shared" si="1140"/>
        <v>0.34423227831546033</v>
      </c>
      <c r="AH193" s="120">
        <f t="shared" ref="AH193" si="1141">IFERROR(AH192/AD192-1,"n/a")</f>
        <v>0.58821407300263973</v>
      </c>
      <c r="AI193" s="120">
        <f t="shared" ref="AI193" si="1142">IFERROR(AI192/AE192-1,"n/a")</f>
        <v>-0.16448902586217218</v>
      </c>
      <c r="AJ193" s="120">
        <f t="shared" ref="AJ193" si="1143">IFERROR(AJ192/AF192-1,"n/a")</f>
        <v>-0.27869744042965527</v>
      </c>
      <c r="AK193" s="120">
        <f t="shared" ref="AK193" si="1144">IFERROR(AK192/AG192-1,"n/a")</f>
        <v>7.1686565532979252E-2</v>
      </c>
      <c r="AL193" s="120">
        <f t="shared" ref="AL193" si="1145">IFERROR(AL192/AH192-1,"n/a")</f>
        <v>-0.1826116398125408</v>
      </c>
      <c r="AM193" s="120">
        <f t="shared" ref="AM193" si="1146">IFERROR(AM192/AI192-1,"n/a")</f>
        <v>-3.2258064516125229E-2</v>
      </c>
      <c r="AR193" s="120"/>
      <c r="AS193" s="120">
        <f t="shared" ref="AS193" si="1147">IFERROR(AS192/AR192-1,"n/a")</f>
        <v>0.13832921876244275</v>
      </c>
      <c r="AT193" s="120">
        <f t="shared" ref="AT193" si="1148">IFERROR(AT192/AS192-1,"n/a")</f>
        <v>0.14614523576325777</v>
      </c>
      <c r="AU193" s="120">
        <f t="shared" ref="AU193" si="1149">IFERROR(AU192/AT192-1,"n/a")</f>
        <v>0.92657022523347354</v>
      </c>
      <c r="AV193" s="120">
        <f t="shared" ref="AV193" si="1150">IFERROR(AV192/AU192-1,"n/a")</f>
        <v>5.0518011595855894E-2</v>
      </c>
      <c r="AW193" s="120">
        <f t="shared" ref="AW193:AY193" si="1151">IFERROR(AW192/AV192-1,"n/a")</f>
        <v>-0.1953705798084896</v>
      </c>
      <c r="AX193" s="120">
        <f t="shared" si="1151"/>
        <v>0.26842655602128462</v>
      </c>
      <c r="AY193" s="120">
        <f t="shared" si="1151"/>
        <v>-4.5423965103511543E-3</v>
      </c>
      <c r="AZ193" s="120"/>
    </row>
    <row r="194" spans="1:52" x14ac:dyDescent="0.2">
      <c r="B194" s="20" t="s">
        <v>385</v>
      </c>
      <c r="H194" s="120"/>
      <c r="I194" s="120"/>
      <c r="J194" s="120"/>
      <c r="K194" s="120"/>
      <c r="L194" s="126">
        <f>+L192</f>
        <v>1.8499999999999979</v>
      </c>
      <c r="M194" s="126">
        <f t="shared" ref="M194:AI194" si="1152">+M192</f>
        <v>1.7530000000000001</v>
      </c>
      <c r="N194" s="126">
        <f t="shared" si="1152"/>
        <v>1.7070000000000007</v>
      </c>
      <c r="O194" s="126">
        <f t="shared" si="1152"/>
        <v>1.9520000000000017</v>
      </c>
      <c r="P194" s="126">
        <f t="shared" si="1152"/>
        <v>2.0039999999999978</v>
      </c>
      <c r="Q194" s="126">
        <f t="shared" si="1152"/>
        <v>0.6650000000000027</v>
      </c>
      <c r="R194" s="126">
        <f t="shared" si="1152"/>
        <v>3.7439999999999962</v>
      </c>
      <c r="S194" s="126">
        <f t="shared" si="1152"/>
        <v>4.2439999999999998</v>
      </c>
      <c r="T194" s="126">
        <f t="shared" si="1152"/>
        <v>3.5579999999999998</v>
      </c>
      <c r="U194" s="126">
        <f t="shared" si="1152"/>
        <v>5.007000000000005</v>
      </c>
      <c r="V194" s="126">
        <f t="shared" si="1152"/>
        <v>4.2469999999999999</v>
      </c>
      <c r="W194" s="126">
        <f t="shared" si="1152"/>
        <v>4.4939999999999998</v>
      </c>
      <c r="X194" s="126">
        <f t="shared" si="1152"/>
        <v>3.3819999999999979</v>
      </c>
      <c r="Y194" s="126">
        <f t="shared" si="1152"/>
        <v>5.4819999999999993</v>
      </c>
      <c r="Z194" s="126">
        <f t="shared" si="1152"/>
        <v>3.1830000000000069</v>
      </c>
      <c r="AA194" s="126">
        <f t="shared" si="1152"/>
        <v>2.9919999999999902</v>
      </c>
      <c r="AB194" s="126">
        <f t="shared" si="1152"/>
        <v>2.085000000000008</v>
      </c>
      <c r="AC194" s="126">
        <f t="shared" si="1152"/>
        <v>3.8229999999999933</v>
      </c>
      <c r="AD194" s="126">
        <f t="shared" si="1152"/>
        <v>4.0250000000000057</v>
      </c>
      <c r="AE194" s="126">
        <f t="shared" si="1152"/>
        <v>4.6760000000000019</v>
      </c>
      <c r="AF194" s="126">
        <f t="shared" si="1152"/>
        <v>2.4179999999999922</v>
      </c>
      <c r="AG194" s="289">
        <f>+AG192-AG198</f>
        <v>3.8799999999999955</v>
      </c>
      <c r="AH194" s="289">
        <f>+AH192-(AH198+AH199-AG198)</f>
        <v>5.2551070983810897</v>
      </c>
      <c r="AI194" s="126">
        <f t="shared" si="1152"/>
        <v>3.9068493150684844</v>
      </c>
      <c r="AJ194" s="126">
        <f t="shared" ref="AJ194:AM194" si="1153">+AJ192</f>
        <v>1.7441095890410878</v>
      </c>
      <c r="AK194" s="126">
        <f t="shared" si="1153"/>
        <v>5.5073972602739758</v>
      </c>
      <c r="AL194" s="126">
        <f t="shared" si="1153"/>
        <v>5.2252054794520575</v>
      </c>
      <c r="AM194" s="126">
        <f t="shared" si="1153"/>
        <v>3.7808219178082254</v>
      </c>
      <c r="AR194" s="126">
        <f t="shared" ref="AR194:AW194" si="1154">+AR192</f>
        <v>25.114000000000004</v>
      </c>
      <c r="AS194" s="126">
        <f t="shared" si="1154"/>
        <v>28.587999999999994</v>
      </c>
      <c r="AT194" s="126">
        <f t="shared" si="1154"/>
        <v>32.766000000000005</v>
      </c>
      <c r="AU194" s="126">
        <f t="shared" si="1154"/>
        <v>63.126000000000005</v>
      </c>
      <c r="AV194" s="126">
        <f t="shared" si="1154"/>
        <v>66.314999999999998</v>
      </c>
      <c r="AW194" s="126">
        <f t="shared" si="1154"/>
        <v>53.359000000000009</v>
      </c>
      <c r="AX194" s="289">
        <f>+AX192-AX198-AX199</f>
        <v>61.528472602739733</v>
      </c>
      <c r="AY194" s="289">
        <f>+AY192-AY198-AY199</f>
        <v>63.637443337484456</v>
      </c>
      <c r="AZ194" s="120"/>
    </row>
    <row r="195" spans="1:52" x14ac:dyDescent="0.2">
      <c r="B195" s="26" t="s">
        <v>18</v>
      </c>
      <c r="H195" s="120"/>
      <c r="I195" s="120"/>
      <c r="J195" s="120"/>
      <c r="K195" s="120"/>
      <c r="L195" s="120" t="str">
        <f>IFERROR(L194/H194-1,"n/a")</f>
        <v>n/a</v>
      </c>
      <c r="M195" s="120" t="str">
        <f t="shared" ref="M195" si="1155">IFERROR(M194/I194-1,"n/a")</f>
        <v>n/a</v>
      </c>
      <c r="N195" s="120" t="str">
        <f t="shared" ref="N195" si="1156">IFERROR(N194/J194-1,"n/a")</f>
        <v>n/a</v>
      </c>
      <c r="O195" s="120" t="str">
        <f t="shared" ref="O195" si="1157">IFERROR(O194/K194-1,"n/a")</f>
        <v>n/a</v>
      </c>
      <c r="P195" s="120">
        <f t="shared" ref="P195" si="1158">IFERROR(P194/L194-1,"n/a")</f>
        <v>8.3243243243243281E-2</v>
      </c>
      <c r="Q195" s="120">
        <f t="shared" ref="Q195" si="1159">IFERROR(Q194/M194-1,"n/a")</f>
        <v>-0.62065031374785928</v>
      </c>
      <c r="R195" s="120">
        <f t="shared" ref="R195" si="1160">IFERROR(R194/N194-1,"n/a")</f>
        <v>1.1933216168717018</v>
      </c>
      <c r="S195" s="120">
        <f t="shared" ref="S195" si="1161">IFERROR(S194/O194-1,"n/a")</f>
        <v>1.1741803278688505</v>
      </c>
      <c r="T195" s="120">
        <f t="shared" ref="T195" si="1162">IFERROR(T194/P194-1,"n/a")</f>
        <v>0.77544910179640913</v>
      </c>
      <c r="U195" s="120">
        <f t="shared" ref="U195" si="1163">IFERROR(U194/Q194-1,"n/a")</f>
        <v>6.5293233082706532</v>
      </c>
      <c r="V195" s="120">
        <f t="shared" ref="V195" si="1164">IFERROR(V194/R194-1,"n/a")</f>
        <v>0.13434829059829179</v>
      </c>
      <c r="W195" s="120">
        <f t="shared" ref="W195" si="1165">IFERROR(W194/S194-1,"n/a")</f>
        <v>5.8906691800188593E-2</v>
      </c>
      <c r="X195" s="120">
        <f t="shared" ref="X195" si="1166">IFERROR(X194/T194-1,"n/a")</f>
        <v>-4.9465992130410918E-2</v>
      </c>
      <c r="Y195" s="120">
        <f t="shared" ref="Y195" si="1167">IFERROR(Y194/U194-1,"n/a")</f>
        <v>9.4867185939683241E-2</v>
      </c>
      <c r="Z195" s="120">
        <f t="shared" ref="Z195" si="1168">IFERROR(Z194/V194-1,"n/a")</f>
        <v>-0.25052978573110263</v>
      </c>
      <c r="AA195" s="120">
        <f t="shared" ref="AA195" si="1169">IFERROR(AA194/W194-1,"n/a")</f>
        <v>-0.33422340898976632</v>
      </c>
      <c r="AB195" s="120">
        <f t="shared" ref="AB195" si="1170">IFERROR(AB194/X194-1,"n/a")</f>
        <v>-0.3835008870490807</v>
      </c>
      <c r="AC195" s="120">
        <f t="shared" ref="AC195" si="1171">IFERROR(AC194/Y194-1,"n/a")</f>
        <v>-0.30262677854797637</v>
      </c>
      <c r="AD195" s="120">
        <f t="shared" ref="AD195" si="1172">IFERROR(AD194/Z194-1,"n/a")</f>
        <v>0.2645303173107123</v>
      </c>
      <c r="AE195" s="120">
        <f t="shared" ref="AE195" si="1173">IFERROR(AE194/AA194-1,"n/a")</f>
        <v>0.56283422459893617</v>
      </c>
      <c r="AF195" s="120">
        <f t="shared" ref="AF195" si="1174">IFERROR(AF194/AB194-1,"n/a")</f>
        <v>0.15971223021581915</v>
      </c>
      <c r="AG195" s="120">
        <f t="shared" ref="AG195" si="1175">IFERROR(AG194/AC194-1,"n/a")</f>
        <v>1.4909756735548507E-2</v>
      </c>
      <c r="AH195" s="120">
        <f t="shared" ref="AH195" si="1176">IFERROR(AH194/AD194-1,"n/a")</f>
        <v>0.30561667040523788</v>
      </c>
      <c r="AI195" s="120">
        <f t="shared" ref="AI195" si="1177">IFERROR(AI194/AE194-1,"n/a")</f>
        <v>-0.16448902586217218</v>
      </c>
      <c r="AJ195" s="120">
        <f t="shared" ref="AJ195" si="1178">IFERROR(AJ194/AF194-1,"n/a")</f>
        <v>-0.27869744042965527</v>
      </c>
      <c r="AK195" s="120">
        <f t="shared" ref="AK195" si="1179">IFERROR(AK194/AG194-1,"n/a")</f>
        <v>0.41943228357576867</v>
      </c>
      <c r="AL195" s="120">
        <f t="shared" ref="AL195" si="1180">IFERROR(AL194/AH194-1,"n/a")</f>
        <v>-5.6900113297869703E-3</v>
      </c>
      <c r="AM195" s="120">
        <f t="shared" ref="AM195" si="1181">IFERROR(AM194/AI194-1,"n/a")</f>
        <v>-3.2258064516125229E-2</v>
      </c>
      <c r="AR195" s="120"/>
      <c r="AS195" s="120">
        <f t="shared" ref="AS195" si="1182">IFERROR(AS194/AR194-1,"n/a")</f>
        <v>0.13832921876244275</v>
      </c>
      <c r="AT195" s="120">
        <f t="shared" ref="AT195" si="1183">IFERROR(AT194/AS194-1,"n/a")</f>
        <v>0.14614523576325777</v>
      </c>
      <c r="AU195" s="120">
        <f t="shared" ref="AU195" si="1184">IFERROR(AU194/AT194-1,"n/a")</f>
        <v>0.92657022523347354</v>
      </c>
      <c r="AV195" s="120">
        <f t="shared" ref="AV195" si="1185">IFERROR(AV194/AU194-1,"n/a")</f>
        <v>5.0518011595855894E-2</v>
      </c>
      <c r="AW195" s="120">
        <f t="shared" ref="AW195" si="1186">IFERROR(AW194/AV194-1,"n/a")</f>
        <v>-0.1953705798084896</v>
      </c>
      <c r="AX195" s="120">
        <f t="shared" ref="AX195:AY195" si="1187">IFERROR(AX194/AW194-1,"n/a")</f>
        <v>0.15310393003504053</v>
      </c>
      <c r="AY195" s="120">
        <f t="shared" si="1187"/>
        <v>3.427633818185849E-2</v>
      </c>
      <c r="AZ195" s="120"/>
    </row>
    <row r="196" spans="1:52" x14ac:dyDescent="0.2">
      <c r="B196" s="26"/>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c r="AM196" s="120"/>
      <c r="AR196" s="120"/>
      <c r="AS196" s="120"/>
      <c r="AT196" s="120"/>
      <c r="AU196" s="120"/>
      <c r="AV196" s="120"/>
      <c r="AW196" s="120"/>
      <c r="AX196" s="120"/>
      <c r="AY196" s="120"/>
      <c r="AZ196" s="120"/>
    </row>
    <row r="197" spans="1:52" x14ac:dyDescent="0.2">
      <c r="B197" s="19" t="s">
        <v>35</v>
      </c>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R197" s="120"/>
      <c r="AS197" s="120"/>
      <c r="AT197" s="120"/>
      <c r="AU197" s="120"/>
      <c r="AV197" s="120"/>
      <c r="AW197" s="120"/>
      <c r="AX197" s="120"/>
      <c r="AY197" s="120"/>
      <c r="AZ197" s="120"/>
    </row>
    <row r="198" spans="1:52" x14ac:dyDescent="0.2">
      <c r="B198" s="13" t="s">
        <v>387</v>
      </c>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287">
        <f>+AG178/4*0.666666666666667</f>
        <v>1.2590000000000006</v>
      </c>
      <c r="AH198" s="287">
        <f>+AVERAGE(AG178:AH178)/4</f>
        <v>1.8885000000000001</v>
      </c>
      <c r="AI198" s="287">
        <f>+AVERAGE(AH178:AI178)/4</f>
        <v>1.8885000000000001</v>
      </c>
      <c r="AJ198" s="287">
        <f t="shared" ref="AJ198" si="1188">+AVERAGE(AI178:AJ178)/4</f>
        <v>1.8885000000000001</v>
      </c>
      <c r="AK198" s="287">
        <f>+AJ198-AG198</f>
        <v>0.6294999999999995</v>
      </c>
      <c r="AL198" s="287">
        <v>0</v>
      </c>
      <c r="AM198" s="287">
        <v>0</v>
      </c>
      <c r="AR198" s="120"/>
      <c r="AS198" s="120"/>
      <c r="AT198" s="120"/>
      <c r="AU198" s="120"/>
      <c r="AV198" s="120"/>
      <c r="AW198" s="120"/>
      <c r="AX198" s="104">
        <f>+SUM(AF198:AI198)</f>
        <v>5.0360000000000014</v>
      </c>
      <c r="AY198" s="104">
        <f>+SUM(AJ198:AM198)</f>
        <v>2.5179999999999998</v>
      </c>
      <c r="AZ198" s="120"/>
    </row>
    <row r="199" spans="1:52" x14ac:dyDescent="0.2">
      <c r="B199" s="13" t="s">
        <v>388</v>
      </c>
      <c r="H199" s="120"/>
      <c r="I199" s="120"/>
      <c r="J199" s="120"/>
      <c r="K199" s="120"/>
      <c r="L199" s="120"/>
      <c r="M199" s="120"/>
      <c r="N199" s="120"/>
      <c r="O199" s="120"/>
      <c r="P199" s="120"/>
      <c r="Q199" s="120"/>
      <c r="R199" s="120"/>
      <c r="S199" s="120"/>
      <c r="T199" s="120"/>
      <c r="U199" s="120"/>
      <c r="V199" s="120"/>
      <c r="W199" s="120"/>
      <c r="X199" s="120"/>
      <c r="Y199" s="120"/>
      <c r="Z199" s="120"/>
      <c r="AA199" s="120"/>
      <c r="AB199" s="120"/>
      <c r="AC199" s="120"/>
      <c r="AD199" s="120"/>
      <c r="AE199" s="120"/>
      <c r="AF199" s="120"/>
      <c r="AG199" s="287">
        <v>0</v>
      </c>
      <c r="AH199" s="287">
        <f>+AX199/5.5*2.5</f>
        <v>0.50795454545454488</v>
      </c>
      <c r="AI199" s="287">
        <f>+AX199-AH199-AG199</f>
        <v>0.60954545454545395</v>
      </c>
      <c r="AJ199" s="287">
        <f>+AI199</f>
        <v>0.60954545454545395</v>
      </c>
      <c r="AK199" s="287">
        <f>+AJ199</f>
        <v>0.60954545454545395</v>
      </c>
      <c r="AL199" s="287">
        <v>0</v>
      </c>
      <c r="AM199" s="287">
        <v>0</v>
      </c>
      <c r="AR199" s="120"/>
      <c r="AS199" s="120"/>
      <c r="AT199" s="120"/>
      <c r="AU199" s="120"/>
      <c r="AV199" s="120"/>
      <c r="AW199" s="120"/>
      <c r="AX199" s="287">
        <f>0.02*AW187-AX198</f>
        <v>1.1174999999999988</v>
      </c>
      <c r="AY199" s="104">
        <f>+SUM(AJ199:AM199)</f>
        <v>1.2190909090909079</v>
      </c>
      <c r="AZ199" s="120"/>
    </row>
    <row r="200" spans="1:52" x14ac:dyDescent="0.2">
      <c r="B200" s="13"/>
      <c r="D200" s="117"/>
      <c r="E200" s="117"/>
      <c r="F200" s="117"/>
      <c r="G200" s="117"/>
      <c r="H200" s="117"/>
      <c r="I200" s="117"/>
      <c r="J200" s="117"/>
      <c r="K200" s="117"/>
      <c r="L200" s="117"/>
      <c r="M200" s="117"/>
      <c r="N200" s="117"/>
      <c r="O200" s="117"/>
      <c r="P200" s="117"/>
      <c r="Q200" s="117"/>
      <c r="R200" s="117"/>
      <c r="S200" s="117"/>
      <c r="T200" s="117"/>
      <c r="U200" s="117"/>
      <c r="V200" s="117"/>
      <c r="AQ200" s="118"/>
      <c r="AR200" s="118"/>
      <c r="AS200" s="118"/>
      <c r="AT200" s="118"/>
    </row>
    <row r="201" spans="1:52" s="149" customFormat="1" x14ac:dyDescent="0.2">
      <c r="A201" s="161"/>
      <c r="B201" s="162" t="s">
        <v>177</v>
      </c>
      <c r="D201" s="163"/>
      <c r="E201" s="163"/>
      <c r="F201" s="163"/>
      <c r="G201" s="163"/>
      <c r="H201" s="163"/>
      <c r="I201" s="163"/>
      <c r="J201" s="163"/>
      <c r="K201" s="163"/>
      <c r="L201" s="163"/>
      <c r="M201" s="163"/>
      <c r="N201" s="163"/>
      <c r="O201" s="163"/>
      <c r="P201" s="163"/>
      <c r="Q201" s="163"/>
      <c r="R201" s="163"/>
      <c r="S201" s="163"/>
      <c r="T201" s="163"/>
      <c r="U201" s="163"/>
      <c r="V201" s="163"/>
      <c r="AQ201" s="164"/>
      <c r="AR201" s="164"/>
      <c r="AS201" s="164"/>
      <c r="AT201" s="164"/>
    </row>
    <row r="202" spans="1:52" x14ac:dyDescent="0.2">
      <c r="B202" s="122" t="s">
        <v>213</v>
      </c>
      <c r="AQ202" s="120"/>
      <c r="AR202" s="120"/>
      <c r="AS202" s="120"/>
      <c r="AT202" s="120"/>
    </row>
    <row r="203" spans="1:52" x14ac:dyDescent="0.2">
      <c r="B203" s="13"/>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20"/>
      <c r="AE203" s="120"/>
      <c r="AF203" s="120"/>
      <c r="AG203" s="287"/>
      <c r="AH203" s="287"/>
      <c r="AI203" s="287"/>
      <c r="AJ203" s="287"/>
      <c r="AK203" s="287"/>
      <c r="AL203" s="287"/>
      <c r="AM203" s="287"/>
      <c r="AR203" s="120"/>
      <c r="AS203" s="120"/>
      <c r="AT203" s="120"/>
      <c r="AU203" s="120"/>
      <c r="AV203" s="120"/>
      <c r="AW203" s="120"/>
      <c r="AX203" s="104"/>
      <c r="AY203" s="104"/>
      <c r="AZ203" s="120"/>
    </row>
    <row r="204" spans="1:52" x14ac:dyDescent="0.2">
      <c r="B204" s="9" t="s">
        <v>393</v>
      </c>
      <c r="C204" s="8"/>
      <c r="H204" s="120"/>
      <c r="I204" s="120"/>
      <c r="J204" s="120"/>
      <c r="K204" s="120"/>
      <c r="L204" s="120"/>
      <c r="M204" s="120"/>
      <c r="N204" s="120"/>
      <c r="O204" s="120"/>
      <c r="P204" s="120"/>
      <c r="Q204" s="120"/>
      <c r="R204" s="120"/>
      <c r="S204" s="120"/>
      <c r="T204" s="120"/>
      <c r="U204" s="120"/>
      <c r="V204" s="120"/>
      <c r="W204" s="120"/>
      <c r="X204" s="120"/>
      <c r="Y204" s="120"/>
      <c r="Z204" s="120"/>
      <c r="AA204" s="120"/>
      <c r="AB204" s="120"/>
      <c r="AC204" s="120"/>
      <c r="AD204" s="120"/>
      <c r="AE204" s="120"/>
      <c r="AF204" s="120"/>
      <c r="AG204" s="287"/>
      <c r="AH204" s="287"/>
      <c r="AI204" s="287"/>
      <c r="AJ204" s="287"/>
      <c r="AK204" s="287"/>
      <c r="AL204" s="287"/>
      <c r="AM204" s="287"/>
      <c r="AR204" s="120"/>
      <c r="AS204" s="120"/>
      <c r="AT204" s="120"/>
      <c r="AU204" s="120"/>
      <c r="AV204" s="120"/>
      <c r="AW204" s="120"/>
      <c r="AX204" s="104"/>
      <c r="AY204" s="104"/>
      <c r="AZ204" s="120"/>
    </row>
    <row r="205" spans="1:52" x14ac:dyDescent="0.2">
      <c r="B205" s="12"/>
      <c r="L205" s="118"/>
      <c r="M205" s="118"/>
      <c r="N205" s="118"/>
      <c r="O205" s="118"/>
      <c r="P205" s="118"/>
      <c r="Q205" s="118"/>
      <c r="R205" s="118"/>
      <c r="S205" s="118"/>
      <c r="T205" s="118"/>
      <c r="U205" s="118"/>
      <c r="V205" s="118"/>
      <c r="W205" s="118"/>
      <c r="X205" s="118"/>
      <c r="Y205" s="118"/>
      <c r="Z205" s="118"/>
      <c r="AA205" s="118"/>
      <c r="AB205" s="118"/>
      <c r="AC205" s="118"/>
      <c r="AD205" s="118"/>
      <c r="AE205" s="118"/>
      <c r="AF205" s="118"/>
      <c r="AG205" s="118"/>
      <c r="AH205" s="118"/>
      <c r="AI205" s="118"/>
      <c r="AJ205" s="118"/>
      <c r="AK205" s="118"/>
      <c r="AL205" s="118"/>
      <c r="AM205" s="118"/>
    </row>
    <row r="206" spans="1:52" x14ac:dyDescent="0.2">
      <c r="B206" s="25" t="s">
        <v>208</v>
      </c>
      <c r="H206" s="120"/>
      <c r="I206" s="120"/>
      <c r="J206" s="120"/>
      <c r="K206" s="120"/>
      <c r="L206" s="120"/>
      <c r="M206" s="120"/>
      <c r="N206" s="120"/>
      <c r="O206" s="120"/>
      <c r="P206" s="120"/>
      <c r="Q206" s="120"/>
      <c r="R206" s="120"/>
      <c r="S206" s="120"/>
      <c r="AC206" s="16"/>
      <c r="AR206" s="120"/>
      <c r="AS206" s="120"/>
      <c r="AT206" s="120"/>
    </row>
    <row r="207" spans="1:52" x14ac:dyDescent="0.2">
      <c r="B207" t="s">
        <v>168</v>
      </c>
      <c r="D207" s="112" t="s">
        <v>91</v>
      </c>
      <c r="E207" s="112" t="s">
        <v>91</v>
      </c>
      <c r="F207" s="112" t="s">
        <v>91</v>
      </c>
      <c r="G207" s="112" t="s">
        <v>91</v>
      </c>
      <c r="H207" s="199" t="s">
        <v>91</v>
      </c>
      <c r="I207" s="199" t="s">
        <v>91</v>
      </c>
      <c r="J207" s="199" t="s">
        <v>91</v>
      </c>
      <c r="K207" s="199" t="s">
        <v>91</v>
      </c>
      <c r="L207" s="199" t="s">
        <v>91</v>
      </c>
      <c r="M207" s="199" t="s">
        <v>91</v>
      </c>
      <c r="N207" s="199" t="s">
        <v>91</v>
      </c>
      <c r="O207" s="199" t="s">
        <v>91</v>
      </c>
      <c r="P207" s="198">
        <f>26.133-Q207</f>
        <v>12.927</v>
      </c>
      <c r="Q207" s="198">
        <v>13.206</v>
      </c>
      <c r="R207" s="198">
        <v>14.964</v>
      </c>
      <c r="S207" s="171">
        <f>+AT207-SUM(P207:R207)</f>
        <v>16.134</v>
      </c>
      <c r="T207" s="198">
        <v>18.132000000000001</v>
      </c>
      <c r="U207" s="198">
        <v>20.571999999999999</v>
      </c>
      <c r="V207" s="198">
        <v>22.317</v>
      </c>
      <c r="W207" s="171">
        <f>+AU207-SUM(T207:V207)</f>
        <v>24.620999999999995</v>
      </c>
      <c r="X207" s="198">
        <v>25.821999999999999</v>
      </c>
      <c r="Y207" s="198">
        <v>28.83</v>
      </c>
      <c r="Z207" s="198">
        <v>31.309000000000001</v>
      </c>
      <c r="AA207" s="171">
        <f>+AV207-SUM(X207:Z207)</f>
        <v>33.814000000000007</v>
      </c>
      <c r="AB207" s="198">
        <v>34.747</v>
      </c>
      <c r="AC207" s="198">
        <v>34.796999999999997</v>
      </c>
      <c r="AD207" s="198">
        <v>37.557000000000002</v>
      </c>
      <c r="AE207" s="171">
        <f>+AW207-SUM(AB207:AD207)</f>
        <v>39.306999999999988</v>
      </c>
      <c r="AF207" s="198">
        <v>40.646000000000001</v>
      </c>
      <c r="AG207" s="198">
        <v>42.695999999999998</v>
      </c>
      <c r="AH207" s="171"/>
      <c r="AI207" s="171"/>
      <c r="AJ207" s="171"/>
      <c r="AK207" s="171"/>
      <c r="AL207" s="171"/>
      <c r="AM207" s="171"/>
      <c r="AN207" s="171"/>
      <c r="AO207" s="171"/>
      <c r="AP207" s="171"/>
      <c r="AQ207" s="198">
        <v>17.853000000000002</v>
      </c>
      <c r="AR207" s="198">
        <v>28.968</v>
      </c>
      <c r="AS207" s="198">
        <v>42.158999999999999</v>
      </c>
      <c r="AT207" s="198">
        <v>57.231000000000002</v>
      </c>
      <c r="AU207" s="198">
        <v>85.641999999999996</v>
      </c>
      <c r="AV207" s="198">
        <v>119.77500000000001</v>
      </c>
      <c r="AW207" s="198">
        <v>146.40799999999999</v>
      </c>
    </row>
    <row r="208" spans="1:52" ht="13.5" x14ac:dyDescent="0.35">
      <c r="B208" t="s">
        <v>169</v>
      </c>
      <c r="D208" s="114" t="str">
        <f>+IFERROR(D209-D207,"n/a")</f>
        <v>n/a</v>
      </c>
      <c r="E208" s="114" t="str">
        <f t="shared" ref="E208:G208" si="1189">+IFERROR(E209-E207,"n/a")</f>
        <v>n/a</v>
      </c>
      <c r="F208" s="114" t="str">
        <f t="shared" si="1189"/>
        <v>n/a</v>
      </c>
      <c r="G208" s="114" t="str">
        <f t="shared" si="1189"/>
        <v>n/a</v>
      </c>
      <c r="H208" s="226" t="str">
        <f>+IFERROR(H209-H207,"n/a")</f>
        <v>n/a</v>
      </c>
      <c r="I208" s="226" t="str">
        <f t="shared" ref="I208:K208" si="1190">+IFERROR(I209-I207,"n/a")</f>
        <v>n/a</v>
      </c>
      <c r="J208" s="226" t="str">
        <f t="shared" si="1190"/>
        <v>n/a</v>
      </c>
      <c r="K208" s="226" t="str">
        <f t="shared" si="1190"/>
        <v>n/a</v>
      </c>
      <c r="L208" s="226" t="str">
        <f>+IFERROR(L209-L207,"n/a")</f>
        <v>n/a</v>
      </c>
      <c r="M208" s="226" t="str">
        <f t="shared" ref="M208:O208" si="1191">+IFERROR(M209-M207,"n/a")</f>
        <v>n/a</v>
      </c>
      <c r="N208" s="226" t="str">
        <f t="shared" si="1191"/>
        <v>n/a</v>
      </c>
      <c r="O208" s="226" t="str">
        <f t="shared" si="1191"/>
        <v>n/a</v>
      </c>
      <c r="P208" s="227">
        <f t="shared" ref="P208:Q208" si="1192">+P209-P207</f>
        <v>14.86</v>
      </c>
      <c r="Q208" s="227">
        <f t="shared" si="1192"/>
        <v>15.246000000000002</v>
      </c>
      <c r="R208" s="227">
        <f t="shared" ref="R208:T208" si="1193">+R209-R207</f>
        <v>17.231999999999999</v>
      </c>
      <c r="S208" s="227">
        <f t="shared" ref="S208:S209" si="1194">+AT208-SUM(P208:R208)</f>
        <v>20.306000000000004</v>
      </c>
      <c r="T208" s="227">
        <f t="shared" si="1193"/>
        <v>21.865999999999996</v>
      </c>
      <c r="U208" s="227">
        <f t="shared" ref="U208" si="1195">+U209-U207</f>
        <v>24.433000000000003</v>
      </c>
      <c r="V208" s="227">
        <f t="shared" ref="V208" si="1196">+V209-V207</f>
        <v>26.935000000000002</v>
      </c>
      <c r="W208" s="227">
        <f t="shared" ref="W208:W209" si="1197">+AU208-SUM(T208:V208)</f>
        <v>29.125</v>
      </c>
      <c r="X208" s="227">
        <f t="shared" ref="X208" si="1198">+X209-X207</f>
        <v>31.306000000000001</v>
      </c>
      <c r="Y208" s="227">
        <f t="shared" ref="Y208:Z208" si="1199">+Y209-Y207</f>
        <v>33.78</v>
      </c>
      <c r="Z208" s="227">
        <f t="shared" si="1199"/>
        <v>34.484000000000009</v>
      </c>
      <c r="AA208" s="227">
        <f t="shared" ref="AA208:AA209" si="1200">+AV208-SUM(X208:Z208)</f>
        <v>34.970999999999989</v>
      </c>
      <c r="AB208" s="227">
        <f t="shared" ref="AB208:AC208" si="1201">+AB209-AB207</f>
        <v>36.123000000000005</v>
      </c>
      <c r="AC208" s="227">
        <f t="shared" si="1201"/>
        <v>39.896000000000001</v>
      </c>
      <c r="AD208" s="227">
        <f t="shared" ref="AD208" si="1202">+AD209-AD207</f>
        <v>41.161000000000001</v>
      </c>
      <c r="AE208" s="227">
        <f t="shared" ref="AE208:AE209" si="1203">+AW208-SUM(AB208:AD208)</f>
        <v>44.087000000000018</v>
      </c>
      <c r="AF208" s="227">
        <f t="shared" ref="AF208:AG208" si="1204">+AF209-AF207</f>
        <v>45.165999999999997</v>
      </c>
      <c r="AG208" s="227">
        <f t="shared" si="1204"/>
        <v>48.254999999999995</v>
      </c>
      <c r="AH208" s="171"/>
      <c r="AI208" s="171"/>
      <c r="AJ208" s="171"/>
      <c r="AK208" s="171"/>
      <c r="AL208" s="171"/>
      <c r="AM208" s="171"/>
      <c r="AN208" s="171"/>
      <c r="AO208" s="171"/>
      <c r="AP208" s="171"/>
      <c r="AQ208" s="227">
        <f>+AQ209-AQ207</f>
        <v>20.553999999999995</v>
      </c>
      <c r="AR208" s="227">
        <f t="shared" ref="AR208:AT208" si="1205">+AR209-AR207</f>
        <v>34.552999999999997</v>
      </c>
      <c r="AS208" s="227">
        <f t="shared" si="1205"/>
        <v>49.949999999999996</v>
      </c>
      <c r="AT208" s="227">
        <f t="shared" si="1205"/>
        <v>67.644000000000005</v>
      </c>
      <c r="AU208" s="227">
        <f t="shared" ref="AU208:AV208" si="1206">+AU209-AU207</f>
        <v>102.35900000000001</v>
      </c>
      <c r="AV208" s="227">
        <f t="shared" si="1206"/>
        <v>134.541</v>
      </c>
      <c r="AW208" s="227">
        <f t="shared" ref="AW208" si="1207">+AW209-AW207</f>
        <v>161.26700000000002</v>
      </c>
    </row>
    <row r="209" spans="1:49" s="3" customFormat="1" x14ac:dyDescent="0.2">
      <c r="A209" s="2"/>
      <c r="B209" s="24" t="s">
        <v>170</v>
      </c>
      <c r="D209" s="125" t="str">
        <f t="shared" ref="D209:G209" si="1208">+D275</f>
        <v>n/a</v>
      </c>
      <c r="E209" s="125" t="str">
        <f t="shared" si="1208"/>
        <v>n/a</v>
      </c>
      <c r="F209" s="125" t="str">
        <f t="shared" si="1208"/>
        <v>n/a</v>
      </c>
      <c r="G209" s="125" t="str">
        <f t="shared" si="1208"/>
        <v>n/a</v>
      </c>
      <c r="H209" s="224">
        <f t="shared" ref="H209:K209" si="1209">+H275</f>
        <v>13.1</v>
      </c>
      <c r="I209" s="224">
        <f t="shared" si="1209"/>
        <v>15.1</v>
      </c>
      <c r="J209" s="224">
        <f t="shared" si="1209"/>
        <v>16.8</v>
      </c>
      <c r="K209" s="224">
        <f t="shared" si="1209"/>
        <v>18.521000000000001</v>
      </c>
      <c r="L209" s="224">
        <f t="shared" ref="L209:O209" si="1210">+L275</f>
        <v>20.370999999999999</v>
      </c>
      <c r="M209" s="224">
        <f t="shared" si="1210"/>
        <v>22.123999999999999</v>
      </c>
      <c r="N209" s="224">
        <f t="shared" si="1210"/>
        <v>23.831</v>
      </c>
      <c r="O209" s="224">
        <f t="shared" si="1210"/>
        <v>25.783000000000001</v>
      </c>
      <c r="P209" s="222">
        <f t="shared" ref="P209:Q209" si="1211">+P275</f>
        <v>27.786999999999999</v>
      </c>
      <c r="Q209" s="222">
        <f t="shared" si="1211"/>
        <v>28.452000000000002</v>
      </c>
      <c r="R209" s="222">
        <f t="shared" ref="R209:T209" si="1212">+R275</f>
        <v>32.195999999999998</v>
      </c>
      <c r="S209" s="222">
        <f t="shared" si="1194"/>
        <v>36.44</v>
      </c>
      <c r="T209" s="222">
        <f t="shared" si="1212"/>
        <v>39.997999999999998</v>
      </c>
      <c r="U209" s="222">
        <f t="shared" ref="U209" si="1213">+U275</f>
        <v>45.005000000000003</v>
      </c>
      <c r="V209" s="222">
        <f t="shared" ref="V209" si="1214">+V275</f>
        <v>49.252000000000002</v>
      </c>
      <c r="W209" s="222">
        <f t="shared" si="1197"/>
        <v>53.746000000000009</v>
      </c>
      <c r="X209" s="222">
        <f t="shared" ref="X209" si="1215">+X275</f>
        <v>57.128</v>
      </c>
      <c r="Y209" s="222">
        <f t="shared" ref="Y209:Z209" si="1216">+Y275</f>
        <v>62.61</v>
      </c>
      <c r="Z209" s="222">
        <f t="shared" si="1216"/>
        <v>65.793000000000006</v>
      </c>
      <c r="AA209" s="222">
        <f t="shared" si="1200"/>
        <v>68.784999999999997</v>
      </c>
      <c r="AB209" s="222">
        <f t="shared" ref="AB209:AC209" si="1217">+AB275</f>
        <v>70.87</v>
      </c>
      <c r="AC209" s="222">
        <f t="shared" si="1217"/>
        <v>74.692999999999998</v>
      </c>
      <c r="AD209" s="222">
        <f t="shared" ref="AD209" si="1218">+AD275</f>
        <v>78.718000000000004</v>
      </c>
      <c r="AE209" s="222">
        <f t="shared" si="1203"/>
        <v>83.394000000000005</v>
      </c>
      <c r="AF209" s="222">
        <f t="shared" ref="AF209:AG209" si="1219">+AF275</f>
        <v>85.811999999999998</v>
      </c>
      <c r="AG209" s="222">
        <f t="shared" si="1219"/>
        <v>90.950999999999993</v>
      </c>
      <c r="AH209" s="222"/>
      <c r="AI209" s="222"/>
      <c r="AJ209" s="222"/>
      <c r="AK209" s="222"/>
      <c r="AL209" s="222"/>
      <c r="AM209" s="222"/>
      <c r="AN209" s="222"/>
      <c r="AO209" s="222"/>
      <c r="AP209" s="222"/>
      <c r="AQ209" s="222">
        <f>+AQ275</f>
        <v>38.406999999999996</v>
      </c>
      <c r="AR209" s="222">
        <f t="shared" ref="AR209:AT209" si="1220">+AR275</f>
        <v>63.521000000000001</v>
      </c>
      <c r="AS209" s="222">
        <f t="shared" si="1220"/>
        <v>92.108999999999995</v>
      </c>
      <c r="AT209" s="222">
        <f t="shared" si="1220"/>
        <v>124.875</v>
      </c>
      <c r="AU209" s="222">
        <f t="shared" ref="AU209:AW209" si="1221">+AU275</f>
        <v>188.001</v>
      </c>
      <c r="AV209" s="222">
        <f t="shared" si="1221"/>
        <v>254.316</v>
      </c>
      <c r="AW209" s="222">
        <f t="shared" si="1221"/>
        <v>307.67500000000001</v>
      </c>
    </row>
    <row r="210" spans="1:49" x14ac:dyDescent="0.2">
      <c r="B210" s="20"/>
      <c r="H210" s="120"/>
      <c r="I210" s="120"/>
      <c r="J210" s="120"/>
      <c r="K210" s="120"/>
      <c r="L210" s="120"/>
      <c r="M210" s="120"/>
      <c r="N210" s="120"/>
      <c r="O210" s="120"/>
      <c r="P210" s="120"/>
      <c r="Q210" s="120"/>
      <c r="R210" s="120"/>
      <c r="S210" s="120"/>
      <c r="Z210" s="16"/>
      <c r="AB210" s="215"/>
      <c r="AC210" s="215"/>
      <c r="AF210" s="215"/>
      <c r="AR210" s="120"/>
      <c r="AS210" s="120"/>
      <c r="AT210" s="120"/>
    </row>
    <row r="211" spans="1:49" x14ac:dyDescent="0.2">
      <c r="B211" s="19" t="s">
        <v>18</v>
      </c>
      <c r="H211" s="120"/>
      <c r="I211" s="120"/>
      <c r="J211" s="120"/>
      <c r="K211" s="120"/>
      <c r="L211" s="120"/>
      <c r="M211" s="120"/>
      <c r="N211" s="120"/>
      <c r="O211" s="120"/>
      <c r="P211" s="120"/>
      <c r="Q211" s="120"/>
      <c r="R211" s="120"/>
      <c r="S211" s="120"/>
      <c r="AB211" s="215"/>
      <c r="AC211" s="215"/>
      <c r="AF211" s="215"/>
    </row>
    <row r="212" spans="1:49" x14ac:dyDescent="0.2">
      <c r="B212" s="13" t="s">
        <v>168</v>
      </c>
      <c r="H212" s="120" t="str">
        <f>+IFERROR(H207/D207-1,"n/a")</f>
        <v>n/a</v>
      </c>
      <c r="I212" s="120" t="str">
        <f t="shared" ref="I212:K214" si="1222">+IFERROR(I207/E207-1,"n/a")</f>
        <v>n/a</v>
      </c>
      <c r="J212" s="120" t="str">
        <f t="shared" si="1222"/>
        <v>n/a</v>
      </c>
      <c r="K212" s="120" t="str">
        <f t="shared" si="1222"/>
        <v>n/a</v>
      </c>
      <c r="L212" s="120" t="str">
        <f>+IFERROR(L207/H207-1,"n/a")</f>
        <v>n/a</v>
      </c>
      <c r="M212" s="120" t="str">
        <f t="shared" ref="M212:S214" si="1223">+IFERROR(M207/I207-1,"n/a")</f>
        <v>n/a</v>
      </c>
      <c r="N212" s="120" t="str">
        <f t="shared" si="1223"/>
        <v>n/a</v>
      </c>
      <c r="O212" s="120" t="str">
        <f t="shared" si="1223"/>
        <v>n/a</v>
      </c>
      <c r="P212" s="120" t="str">
        <f t="shared" si="1223"/>
        <v>n/a</v>
      </c>
      <c r="Q212" s="120" t="str">
        <f t="shared" si="1223"/>
        <v>n/a</v>
      </c>
      <c r="R212" s="120" t="str">
        <f t="shared" si="1223"/>
        <v>n/a</v>
      </c>
      <c r="S212" s="120" t="str">
        <f t="shared" si="1223"/>
        <v>n/a</v>
      </c>
      <c r="T212" s="120">
        <f>+IFERROR(T207/P207-1,"n/a")</f>
        <v>0.40264562543513582</v>
      </c>
      <c r="U212" s="120">
        <f t="shared" ref="U212:W214" si="1224">+IFERROR(U207/Q207-1,"n/a")</f>
        <v>0.55777676813569599</v>
      </c>
      <c r="V212" s="120">
        <f t="shared" si="1224"/>
        <v>0.49137931034482762</v>
      </c>
      <c r="W212" s="120">
        <f t="shared" si="1224"/>
        <v>0.52603198214949765</v>
      </c>
      <c r="X212" s="120">
        <f>+IFERROR(X207/T207-1,"n/a")</f>
        <v>0.42411206706375459</v>
      </c>
      <c r="Y212" s="120">
        <f>+IFERROR(Y207/U207-1,"n/a")</f>
        <v>0.4014194050165274</v>
      </c>
      <c r="Z212" s="120">
        <f>+IFERROR(Z207/V207-1,"n/a")</f>
        <v>0.40292153963346333</v>
      </c>
      <c r="AA212" s="120">
        <f t="shared" ref="AA212:AG214" si="1225">+IFERROR(AA207/W207-1,"n/a")</f>
        <v>0.37338044758539524</v>
      </c>
      <c r="AB212" s="120">
        <f t="shared" si="1225"/>
        <v>0.34563550460847337</v>
      </c>
      <c r="AC212" s="120">
        <f t="shared" si="1225"/>
        <v>0.20697190426638912</v>
      </c>
      <c r="AD212" s="120">
        <f t="shared" si="1225"/>
        <v>0.19955923216966376</v>
      </c>
      <c r="AE212" s="120">
        <f t="shared" si="1225"/>
        <v>0.16244750694978349</v>
      </c>
      <c r="AF212" s="120">
        <f t="shared" si="1225"/>
        <v>0.16977005209082807</v>
      </c>
      <c r="AG212" s="120">
        <f t="shared" si="1225"/>
        <v>0.22700232778687823</v>
      </c>
      <c r="AR212" s="120">
        <f t="shared" ref="AR212:AW214" si="1226">+IFERROR(AR207/AQ207-1,"n/a")</f>
        <v>0.62258443958998466</v>
      </c>
      <c r="AS212" s="120">
        <f t="shared" si="1226"/>
        <v>0.45536454018227013</v>
      </c>
      <c r="AT212" s="120">
        <f t="shared" si="1226"/>
        <v>0.35750373585711248</v>
      </c>
      <c r="AU212" s="120">
        <f t="shared" si="1226"/>
        <v>0.49642676172004663</v>
      </c>
      <c r="AV212" s="120">
        <f t="shared" si="1226"/>
        <v>0.39855444758412939</v>
      </c>
      <c r="AW212" s="120">
        <f t="shared" si="1226"/>
        <v>0.22235858902108108</v>
      </c>
    </row>
    <row r="213" spans="1:49" ht="13.5" x14ac:dyDescent="0.35">
      <c r="B213" s="13" t="s">
        <v>169</v>
      </c>
      <c r="H213" s="132" t="str">
        <f t="shared" ref="H213:H214" si="1227">+IFERROR(H208/D208-1,"n/a")</f>
        <v>n/a</v>
      </c>
      <c r="I213" s="132" t="str">
        <f t="shared" si="1222"/>
        <v>n/a</v>
      </c>
      <c r="J213" s="132" t="str">
        <f t="shared" si="1222"/>
        <v>n/a</v>
      </c>
      <c r="K213" s="132" t="str">
        <f t="shared" si="1222"/>
        <v>n/a</v>
      </c>
      <c r="L213" s="132" t="str">
        <f t="shared" ref="L213:L214" si="1228">+IFERROR(L208/H208-1,"n/a")</f>
        <v>n/a</v>
      </c>
      <c r="M213" s="132" t="str">
        <f t="shared" si="1223"/>
        <v>n/a</v>
      </c>
      <c r="N213" s="132" t="str">
        <f t="shared" si="1223"/>
        <v>n/a</v>
      </c>
      <c r="O213" s="132" t="str">
        <f t="shared" si="1223"/>
        <v>n/a</v>
      </c>
      <c r="P213" s="132" t="str">
        <f t="shared" si="1223"/>
        <v>n/a</v>
      </c>
      <c r="Q213" s="132" t="str">
        <f t="shared" si="1223"/>
        <v>n/a</v>
      </c>
      <c r="R213" s="132" t="str">
        <f t="shared" si="1223"/>
        <v>n/a</v>
      </c>
      <c r="S213" s="132" t="str">
        <f t="shared" si="1223"/>
        <v>n/a</v>
      </c>
      <c r="T213" s="132">
        <f t="shared" ref="T213:T214" si="1229">+IFERROR(T208/P208-1,"n/a")</f>
        <v>0.47146702557200526</v>
      </c>
      <c r="U213" s="132">
        <f t="shared" si="1224"/>
        <v>0.60258428440246625</v>
      </c>
      <c r="V213" s="132">
        <f t="shared" si="1224"/>
        <v>0.56308031569173655</v>
      </c>
      <c r="W213" s="132">
        <f t="shared" si="1224"/>
        <v>0.4343051314882298</v>
      </c>
      <c r="X213" s="132">
        <f t="shared" ref="X213:Z214" si="1230">+IFERROR(X208/T208-1,"n/a")</f>
        <v>0.43172047928290525</v>
      </c>
      <c r="Y213" s="132">
        <f t="shared" si="1230"/>
        <v>0.38255637866819447</v>
      </c>
      <c r="Z213" s="132">
        <f t="shared" si="1230"/>
        <v>0.28026731019120121</v>
      </c>
      <c r="AA213" s="132">
        <f t="shared" si="1225"/>
        <v>0.20072103004291808</v>
      </c>
      <c r="AB213" s="132">
        <f t="shared" si="1225"/>
        <v>0.15386826806363008</v>
      </c>
      <c r="AC213" s="132">
        <f t="shared" si="1225"/>
        <v>0.18105387803433981</v>
      </c>
      <c r="AD213" s="132">
        <f t="shared" si="1225"/>
        <v>0.19362602946293905</v>
      </c>
      <c r="AE213" s="132">
        <f t="shared" si="1225"/>
        <v>0.26067312916416552</v>
      </c>
      <c r="AF213" s="132">
        <f t="shared" si="1225"/>
        <v>0.25033911912078155</v>
      </c>
      <c r="AG213" s="132">
        <f t="shared" si="1225"/>
        <v>0.20951975135351897</v>
      </c>
      <c r="AR213" s="132">
        <f t="shared" si="1226"/>
        <v>0.68108397392235109</v>
      </c>
      <c r="AS213" s="132">
        <f t="shared" si="1226"/>
        <v>0.44560530199982629</v>
      </c>
      <c r="AT213" s="132">
        <f t="shared" si="1226"/>
        <v>0.35423423423423439</v>
      </c>
      <c r="AU213" s="132">
        <f t="shared" si="1226"/>
        <v>0.51320146650109399</v>
      </c>
      <c r="AV213" s="132">
        <f t="shared" si="1226"/>
        <v>0.31440322785490271</v>
      </c>
      <c r="AW213" s="132">
        <f t="shared" si="1226"/>
        <v>0.19864576597468453</v>
      </c>
    </row>
    <row r="214" spans="1:49" x14ac:dyDescent="0.2">
      <c r="B214" s="20" t="s">
        <v>170</v>
      </c>
      <c r="H214" s="120" t="str">
        <f t="shared" si="1227"/>
        <v>n/a</v>
      </c>
      <c r="I214" s="120" t="str">
        <f t="shared" si="1222"/>
        <v>n/a</v>
      </c>
      <c r="J214" s="120" t="str">
        <f t="shared" si="1222"/>
        <v>n/a</v>
      </c>
      <c r="K214" s="120" t="str">
        <f t="shared" si="1222"/>
        <v>n/a</v>
      </c>
      <c r="L214" s="120">
        <f t="shared" si="1228"/>
        <v>0.55503816793893135</v>
      </c>
      <c r="M214" s="120">
        <f t="shared" si="1223"/>
        <v>0.46516556291390732</v>
      </c>
      <c r="N214" s="120">
        <f t="shared" si="1223"/>
        <v>0.41851190476190459</v>
      </c>
      <c r="O214" s="120">
        <f t="shared" si="1223"/>
        <v>0.392095459208466</v>
      </c>
      <c r="P214" s="120">
        <f t="shared" si="1223"/>
        <v>0.364046929458544</v>
      </c>
      <c r="Q214" s="120">
        <f t="shared" si="1223"/>
        <v>0.28602422708371011</v>
      </c>
      <c r="R214" s="120">
        <f t="shared" si="1223"/>
        <v>0.35101338592589482</v>
      </c>
      <c r="S214" s="120">
        <f t="shared" si="1223"/>
        <v>0.41333436760656239</v>
      </c>
      <c r="T214" s="120">
        <f t="shared" si="1229"/>
        <v>0.43945010256594808</v>
      </c>
      <c r="U214" s="120">
        <f t="shared" si="1224"/>
        <v>0.58178686911289179</v>
      </c>
      <c r="V214" s="120">
        <f t="shared" si="1224"/>
        <v>0.52975524909926719</v>
      </c>
      <c r="W214" s="120">
        <f t="shared" si="1224"/>
        <v>0.47491767288693776</v>
      </c>
      <c r="X214" s="120">
        <f t="shared" si="1230"/>
        <v>0.42827141357067866</v>
      </c>
      <c r="Y214" s="120">
        <f t="shared" si="1230"/>
        <v>0.39117875791578705</v>
      </c>
      <c r="Z214" s="120">
        <f t="shared" si="1230"/>
        <v>0.33584422967595229</v>
      </c>
      <c r="AA214" s="120">
        <f t="shared" si="1225"/>
        <v>0.27981617236631529</v>
      </c>
      <c r="AB214" s="120">
        <f t="shared" si="1225"/>
        <v>0.24054754236101394</v>
      </c>
      <c r="AC214" s="120">
        <f t="shared" si="1225"/>
        <v>0.19298834052068359</v>
      </c>
      <c r="AD214" s="120">
        <f t="shared" si="1225"/>
        <v>0.19644947030839144</v>
      </c>
      <c r="AE214" s="120">
        <f t="shared" si="1225"/>
        <v>0.212386421458167</v>
      </c>
      <c r="AF214" s="120">
        <f t="shared" si="1225"/>
        <v>0.21083674333286284</v>
      </c>
      <c r="AG214" s="120">
        <f t="shared" si="1225"/>
        <v>0.21766430589211838</v>
      </c>
      <c r="AR214" s="120">
        <f t="shared" si="1226"/>
        <v>0.65389121774676506</v>
      </c>
      <c r="AS214" s="120">
        <f t="shared" si="1226"/>
        <v>0.45005588702948618</v>
      </c>
      <c r="AT214" s="120">
        <f t="shared" si="1226"/>
        <v>0.35573071035403725</v>
      </c>
      <c r="AU214" s="120">
        <f t="shared" si="1226"/>
        <v>0.50551351351351359</v>
      </c>
      <c r="AV214" s="120">
        <f t="shared" si="1226"/>
        <v>0.35273748543890715</v>
      </c>
      <c r="AW214" s="120">
        <f t="shared" si="1226"/>
        <v>0.20981377498859688</v>
      </c>
    </row>
    <row r="215" spans="1:49" x14ac:dyDescent="0.2">
      <c r="B215" s="20"/>
      <c r="H215" s="120"/>
      <c r="I215" s="120"/>
      <c r="J215" s="120"/>
      <c r="K215" s="120"/>
      <c r="L215" s="120"/>
      <c r="M215" s="120"/>
      <c r="N215" s="120"/>
      <c r="O215" s="120"/>
      <c r="P215" s="120"/>
      <c r="Q215" s="120"/>
      <c r="R215" s="120"/>
      <c r="S215" s="120"/>
      <c r="AR215" s="120"/>
      <c r="AS215" s="120"/>
      <c r="AT215" s="120"/>
      <c r="AU215" s="120"/>
    </row>
    <row r="216" spans="1:49" x14ac:dyDescent="0.2">
      <c r="B216" s="19" t="s">
        <v>171</v>
      </c>
      <c r="H216" s="120"/>
      <c r="I216" s="120"/>
      <c r="J216" s="120"/>
      <c r="K216" s="120"/>
      <c r="L216" s="120"/>
      <c r="M216" s="120"/>
      <c r="N216" s="120"/>
      <c r="O216" s="120"/>
      <c r="P216" s="120"/>
      <c r="Q216" s="120"/>
      <c r="R216" s="120"/>
      <c r="S216" s="120"/>
      <c r="AR216" s="120"/>
      <c r="AS216" s="120"/>
      <c r="AT216" s="120"/>
      <c r="AU216" s="120"/>
    </row>
    <row r="217" spans="1:49" x14ac:dyDescent="0.2">
      <c r="B217" s="13" t="s">
        <v>168</v>
      </c>
      <c r="D217" s="120" t="str">
        <f>+IFERROR(D207/D$209,"n/a")</f>
        <v>n/a</v>
      </c>
      <c r="E217" s="120" t="str">
        <f t="shared" ref="E217:G217" si="1231">+IFERROR(E207/E$209,"n/a")</f>
        <v>n/a</v>
      </c>
      <c r="F217" s="120" t="str">
        <f t="shared" si="1231"/>
        <v>n/a</v>
      </c>
      <c r="G217" s="120" t="str">
        <f t="shared" si="1231"/>
        <v>n/a</v>
      </c>
      <c r="H217" s="120" t="str">
        <f>+IFERROR(H207/H$209,"n/a")</f>
        <v>n/a</v>
      </c>
      <c r="I217" s="120" t="str">
        <f t="shared" ref="I217:Z219" si="1232">+IFERROR(I207/I$209,"n/a")</f>
        <v>n/a</v>
      </c>
      <c r="J217" s="120" t="str">
        <f t="shared" si="1232"/>
        <v>n/a</v>
      </c>
      <c r="K217" s="120" t="str">
        <f t="shared" si="1232"/>
        <v>n/a</v>
      </c>
      <c r="L217" s="120" t="str">
        <f t="shared" si="1232"/>
        <v>n/a</v>
      </c>
      <c r="M217" s="120" t="str">
        <f t="shared" si="1232"/>
        <v>n/a</v>
      </c>
      <c r="N217" s="120" t="str">
        <f t="shared" si="1232"/>
        <v>n/a</v>
      </c>
      <c r="O217" s="120" t="str">
        <f t="shared" si="1232"/>
        <v>n/a</v>
      </c>
      <c r="P217" s="120">
        <f t="shared" si="1232"/>
        <v>0.46521754777413898</v>
      </c>
      <c r="Q217" s="120">
        <f t="shared" si="1232"/>
        <v>0.46415014761703915</v>
      </c>
      <c r="R217" s="120">
        <f t="shared" si="1232"/>
        <v>0.46477823332090945</v>
      </c>
      <c r="S217" s="120">
        <f t="shared" si="1232"/>
        <v>0.44275521405049401</v>
      </c>
      <c r="T217" s="120">
        <f t="shared" si="1232"/>
        <v>0.45332266613330674</v>
      </c>
      <c r="U217" s="120">
        <f t="shared" si="1232"/>
        <v>0.45710476613709583</v>
      </c>
      <c r="V217" s="120">
        <f t="shared" si="1232"/>
        <v>0.45311865507999671</v>
      </c>
      <c r="W217" s="120">
        <f t="shared" si="1232"/>
        <v>0.45809920738287485</v>
      </c>
      <c r="X217" s="120">
        <f t="shared" si="1232"/>
        <v>0.45200252065537039</v>
      </c>
      <c r="Y217" s="120">
        <f t="shared" si="1232"/>
        <v>0.46046957355055101</v>
      </c>
      <c r="Z217" s="120">
        <f t="shared" si="1232"/>
        <v>0.47587129329867917</v>
      </c>
      <c r="AA217" s="120">
        <f t="shared" ref="AA217:AB217" si="1233">+IFERROR(AA207/AA$209,"n/a")</f>
        <v>0.49158973613433177</v>
      </c>
      <c r="AB217" s="120">
        <f t="shared" si="1233"/>
        <v>0.49029208409764352</v>
      </c>
      <c r="AC217" s="120">
        <f t="shared" ref="AC217:AD217" si="1234">+IFERROR(AC207/AC$209,"n/a")</f>
        <v>0.46586694871005313</v>
      </c>
      <c r="AD217" s="120">
        <f t="shared" si="1234"/>
        <v>0.47710815823572755</v>
      </c>
      <c r="AE217" s="120">
        <f t="shared" ref="AE217:AF217" si="1235">+IFERROR(AE207/AE$209,"n/a")</f>
        <v>0.47134086385111623</v>
      </c>
      <c r="AF217" s="120">
        <f t="shared" si="1235"/>
        <v>0.47366335710623225</v>
      </c>
      <c r="AG217" s="120">
        <f t="shared" ref="AG217" si="1236">+IFERROR(AG207/AG$209,"n/a")</f>
        <v>0.46943958834977079</v>
      </c>
      <c r="AQ217" s="120">
        <f t="shared" ref="AQ217:AU217" si="1237">+IFERROR(AQ207/AQ$209,"n/a")</f>
        <v>0.46483713906319168</v>
      </c>
      <c r="AR217" s="120">
        <f t="shared" si="1237"/>
        <v>0.45603816060830277</v>
      </c>
      <c r="AS217" s="120">
        <f t="shared" si="1237"/>
        <v>0.45770771585838521</v>
      </c>
      <c r="AT217" s="120">
        <f t="shared" si="1237"/>
        <v>0.45830630630630631</v>
      </c>
      <c r="AU217" s="120">
        <f t="shared" si="1237"/>
        <v>0.45554013010569089</v>
      </c>
      <c r="AV217" s="120">
        <f t="shared" ref="AV217:AW217" si="1238">+IFERROR(AV207/AV$209,"n/a")</f>
        <v>0.470969187939414</v>
      </c>
      <c r="AW217" s="120">
        <f t="shared" si="1238"/>
        <v>0.47585276671812782</v>
      </c>
    </row>
    <row r="218" spans="1:49" ht="13.5" x14ac:dyDescent="0.35">
      <c r="B218" s="13" t="s">
        <v>169</v>
      </c>
      <c r="D218" s="132" t="str">
        <f t="shared" ref="D218:G218" si="1239">+IFERROR(D208/D$209,"n/a")</f>
        <v>n/a</v>
      </c>
      <c r="E218" s="132" t="str">
        <f t="shared" si="1239"/>
        <v>n/a</v>
      </c>
      <c r="F218" s="132" t="str">
        <f t="shared" si="1239"/>
        <v>n/a</v>
      </c>
      <c r="G218" s="132" t="str">
        <f t="shared" si="1239"/>
        <v>n/a</v>
      </c>
      <c r="H218" s="132" t="str">
        <f t="shared" ref="H218:W219" si="1240">+IFERROR(H208/H$209,"n/a")</f>
        <v>n/a</v>
      </c>
      <c r="I218" s="132" t="str">
        <f t="shared" si="1240"/>
        <v>n/a</v>
      </c>
      <c r="J218" s="132" t="str">
        <f t="shared" si="1240"/>
        <v>n/a</v>
      </c>
      <c r="K218" s="132" t="str">
        <f t="shared" si="1240"/>
        <v>n/a</v>
      </c>
      <c r="L218" s="132" t="str">
        <f t="shared" si="1240"/>
        <v>n/a</v>
      </c>
      <c r="M218" s="132" t="str">
        <f t="shared" si="1240"/>
        <v>n/a</v>
      </c>
      <c r="N218" s="132" t="str">
        <f t="shared" si="1240"/>
        <v>n/a</v>
      </c>
      <c r="O218" s="132" t="str">
        <f t="shared" si="1240"/>
        <v>n/a</v>
      </c>
      <c r="P218" s="132">
        <f t="shared" si="1240"/>
        <v>0.53478245222586096</v>
      </c>
      <c r="Q218" s="132">
        <f t="shared" si="1240"/>
        <v>0.53584985238296079</v>
      </c>
      <c r="R218" s="132">
        <f t="shared" si="1240"/>
        <v>0.5352217666790906</v>
      </c>
      <c r="S218" s="132">
        <f t="shared" si="1240"/>
        <v>0.55724478594950622</v>
      </c>
      <c r="T218" s="132">
        <f t="shared" si="1240"/>
        <v>0.54667733386669326</v>
      </c>
      <c r="U218" s="132">
        <f t="shared" si="1240"/>
        <v>0.54289523386290417</v>
      </c>
      <c r="V218" s="132">
        <f t="shared" si="1240"/>
        <v>0.54688134492000329</v>
      </c>
      <c r="W218" s="132">
        <f t="shared" si="1240"/>
        <v>0.54190079261712487</v>
      </c>
      <c r="X218" s="132">
        <f t="shared" si="1232"/>
        <v>0.54799747934462961</v>
      </c>
      <c r="Y218" s="132">
        <f t="shared" si="1232"/>
        <v>0.53953042644944904</v>
      </c>
      <c r="Z218" s="132">
        <f t="shared" si="1232"/>
        <v>0.52412870670132095</v>
      </c>
      <c r="AA218" s="132">
        <f t="shared" ref="AA218:AB218" si="1241">+IFERROR(AA208/AA$209,"n/a")</f>
        <v>0.50841026386566823</v>
      </c>
      <c r="AB218" s="132">
        <f t="shared" si="1241"/>
        <v>0.50970791590235642</v>
      </c>
      <c r="AC218" s="132">
        <f t="shared" ref="AC218:AD218" si="1242">+IFERROR(AC208/AC$209,"n/a")</f>
        <v>0.53413305128994693</v>
      </c>
      <c r="AD218" s="132">
        <f t="shared" si="1242"/>
        <v>0.5228918417642725</v>
      </c>
      <c r="AE218" s="132">
        <f t="shared" ref="AE218:AF218" si="1243">+IFERROR(AE208/AE$209,"n/a")</f>
        <v>0.52865913614888382</v>
      </c>
      <c r="AF218" s="132">
        <f t="shared" si="1243"/>
        <v>0.5263366428937678</v>
      </c>
      <c r="AG218" s="132">
        <f t="shared" ref="AG218" si="1244">+IFERROR(AG208/AG$209,"n/a")</f>
        <v>0.53056041165022927</v>
      </c>
      <c r="AQ218" s="132">
        <f t="shared" ref="AQ218:AU218" si="1245">+IFERROR(AQ208/AQ$209,"n/a")</f>
        <v>0.53516286093680832</v>
      </c>
      <c r="AR218" s="132">
        <f t="shared" si="1245"/>
        <v>0.54396183939169718</v>
      </c>
      <c r="AS218" s="132">
        <f t="shared" si="1245"/>
        <v>0.54229228414161479</v>
      </c>
      <c r="AT218" s="132">
        <f t="shared" si="1245"/>
        <v>0.54169369369369369</v>
      </c>
      <c r="AU218" s="132">
        <f t="shared" si="1245"/>
        <v>0.54445986989430906</v>
      </c>
      <c r="AV218" s="132">
        <f t="shared" ref="AV218:AW218" si="1246">+IFERROR(AV208/AV$209,"n/a")</f>
        <v>0.529030812060586</v>
      </c>
      <c r="AW218" s="132">
        <f t="shared" si="1246"/>
        <v>0.52414723328187218</v>
      </c>
    </row>
    <row r="219" spans="1:49" x14ac:dyDescent="0.2">
      <c r="B219" s="20" t="s">
        <v>170</v>
      </c>
      <c r="D219" s="120" t="str">
        <f t="shared" ref="D219:G219" si="1247">+IFERROR(D209/D$209,"n/a")</f>
        <v>n/a</v>
      </c>
      <c r="E219" s="120" t="str">
        <f t="shared" si="1247"/>
        <v>n/a</v>
      </c>
      <c r="F219" s="120" t="str">
        <f t="shared" si="1247"/>
        <v>n/a</v>
      </c>
      <c r="G219" s="120" t="str">
        <f t="shared" si="1247"/>
        <v>n/a</v>
      </c>
      <c r="H219" s="120">
        <f t="shared" si="1240"/>
        <v>1</v>
      </c>
      <c r="I219" s="120">
        <f t="shared" si="1232"/>
        <v>1</v>
      </c>
      <c r="J219" s="120">
        <f t="shared" si="1232"/>
        <v>1</v>
      </c>
      <c r="K219" s="120">
        <f t="shared" si="1232"/>
        <v>1</v>
      </c>
      <c r="L219" s="120">
        <f t="shared" si="1232"/>
        <v>1</v>
      </c>
      <c r="M219" s="120">
        <f t="shared" si="1232"/>
        <v>1</v>
      </c>
      <c r="N219" s="120">
        <f t="shared" si="1232"/>
        <v>1</v>
      </c>
      <c r="O219" s="120">
        <f t="shared" si="1232"/>
        <v>1</v>
      </c>
      <c r="P219" s="120">
        <f t="shared" si="1232"/>
        <v>1</v>
      </c>
      <c r="Q219" s="120">
        <f t="shared" si="1232"/>
        <v>1</v>
      </c>
      <c r="R219" s="120">
        <f t="shared" si="1232"/>
        <v>1</v>
      </c>
      <c r="S219" s="120">
        <f t="shared" si="1232"/>
        <v>1</v>
      </c>
      <c r="T219" s="120">
        <f t="shared" si="1232"/>
        <v>1</v>
      </c>
      <c r="U219" s="120">
        <f t="shared" si="1232"/>
        <v>1</v>
      </c>
      <c r="V219" s="120">
        <f t="shared" si="1232"/>
        <v>1</v>
      </c>
      <c r="W219" s="120">
        <f t="shared" si="1232"/>
        <v>1</v>
      </c>
      <c r="X219" s="120">
        <f t="shared" si="1232"/>
        <v>1</v>
      </c>
      <c r="Y219" s="120">
        <f t="shared" si="1232"/>
        <v>1</v>
      </c>
      <c r="Z219" s="120">
        <f t="shared" si="1232"/>
        <v>1</v>
      </c>
      <c r="AA219" s="120">
        <f t="shared" ref="AA219:AB219" si="1248">+IFERROR(AA209/AA$209,"n/a")</f>
        <v>1</v>
      </c>
      <c r="AB219" s="120">
        <f t="shared" si="1248"/>
        <v>1</v>
      </c>
      <c r="AC219" s="120">
        <f t="shared" ref="AC219:AD219" si="1249">+IFERROR(AC209/AC$209,"n/a")</f>
        <v>1</v>
      </c>
      <c r="AD219" s="120">
        <f t="shared" si="1249"/>
        <v>1</v>
      </c>
      <c r="AE219" s="120">
        <f t="shared" ref="AE219:AF219" si="1250">+IFERROR(AE209/AE$209,"n/a")</f>
        <v>1</v>
      </c>
      <c r="AF219" s="120">
        <f t="shared" si="1250"/>
        <v>1</v>
      </c>
      <c r="AG219" s="120">
        <f t="shared" ref="AG219" si="1251">+IFERROR(AG209/AG$209,"n/a")</f>
        <v>1</v>
      </c>
      <c r="AQ219" s="120">
        <f t="shared" ref="AQ219:AU219" si="1252">+IFERROR(AQ209/AQ$209,"n/a")</f>
        <v>1</v>
      </c>
      <c r="AR219" s="120">
        <f t="shared" si="1252"/>
        <v>1</v>
      </c>
      <c r="AS219" s="120">
        <f t="shared" si="1252"/>
        <v>1</v>
      </c>
      <c r="AT219" s="120">
        <f t="shared" si="1252"/>
        <v>1</v>
      </c>
      <c r="AU219" s="120">
        <f t="shared" si="1252"/>
        <v>1</v>
      </c>
      <c r="AV219" s="120">
        <f t="shared" ref="AV219:AW219" si="1253">+IFERROR(AV209/AV$209,"n/a")</f>
        <v>1</v>
      </c>
      <c r="AW219" s="120">
        <f t="shared" si="1253"/>
        <v>1</v>
      </c>
    </row>
    <row r="220" spans="1:49" x14ac:dyDescent="0.2">
      <c r="B220" s="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Q220" s="120"/>
      <c r="AR220" s="120"/>
      <c r="AS220" s="120"/>
      <c r="AT220" s="120"/>
      <c r="AU220" s="120"/>
    </row>
    <row r="221" spans="1:49" x14ac:dyDescent="0.2">
      <c r="B221" s="25" t="s">
        <v>293</v>
      </c>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Q221" s="120"/>
      <c r="AR221" s="120"/>
      <c r="AS221" s="120"/>
      <c r="AT221" s="120"/>
      <c r="AU221" s="120"/>
    </row>
    <row r="222" spans="1:49" x14ac:dyDescent="0.2">
      <c r="B222" t="s">
        <v>17</v>
      </c>
      <c r="D222" s="225" t="str">
        <f>+D187</f>
        <v>n/a</v>
      </c>
      <c r="E222" s="225" t="str">
        <f t="shared" ref="E222:G222" si="1254">+E187</f>
        <v>n/a</v>
      </c>
      <c r="F222" s="225" t="str">
        <f t="shared" si="1254"/>
        <v>n/a</v>
      </c>
      <c r="G222" s="225" t="str">
        <f t="shared" si="1254"/>
        <v>n/a</v>
      </c>
      <c r="H222" s="225">
        <f>+H187</f>
        <v>13.1</v>
      </c>
      <c r="I222" s="225">
        <f t="shared" ref="I222:Z222" si="1255">+I187</f>
        <v>15.1</v>
      </c>
      <c r="J222" s="225">
        <f t="shared" si="1255"/>
        <v>16.8</v>
      </c>
      <c r="K222" s="225">
        <f t="shared" si="1255"/>
        <v>18.521000000000001</v>
      </c>
      <c r="L222" s="225">
        <f t="shared" si="1255"/>
        <v>20.370999999999999</v>
      </c>
      <c r="M222" s="225">
        <f t="shared" si="1255"/>
        <v>22.123999999999999</v>
      </c>
      <c r="N222" s="225">
        <f t="shared" si="1255"/>
        <v>23.831</v>
      </c>
      <c r="O222" s="225">
        <f t="shared" si="1255"/>
        <v>25.783000000000001</v>
      </c>
      <c r="P222" s="225">
        <f t="shared" si="1255"/>
        <v>27.786999999999999</v>
      </c>
      <c r="Q222" s="225">
        <f t="shared" si="1255"/>
        <v>28.452000000000002</v>
      </c>
      <c r="R222" s="225">
        <f t="shared" si="1255"/>
        <v>32.195999999999998</v>
      </c>
      <c r="S222" s="225">
        <f t="shared" si="1255"/>
        <v>36.44</v>
      </c>
      <c r="T222" s="225">
        <f t="shared" si="1255"/>
        <v>39.997999999999998</v>
      </c>
      <c r="U222" s="225">
        <f t="shared" si="1255"/>
        <v>45.005000000000003</v>
      </c>
      <c r="V222" s="225">
        <f t="shared" si="1255"/>
        <v>49.252000000000002</v>
      </c>
      <c r="W222" s="225">
        <f t="shared" si="1255"/>
        <v>53.746000000000002</v>
      </c>
      <c r="X222" s="225">
        <f t="shared" si="1255"/>
        <v>57.128</v>
      </c>
      <c r="Y222" s="225">
        <f t="shared" si="1255"/>
        <v>62.61</v>
      </c>
      <c r="Z222" s="225">
        <f t="shared" si="1255"/>
        <v>65.793000000000006</v>
      </c>
      <c r="AA222" s="225">
        <f t="shared" ref="AA222:AB222" si="1256">+AA187</f>
        <v>68.784999999999997</v>
      </c>
      <c r="AB222" s="225">
        <f t="shared" si="1256"/>
        <v>70.87</v>
      </c>
      <c r="AC222" s="225">
        <f t="shared" ref="AC222:AD222" si="1257">+AC187</f>
        <v>74.692999999999998</v>
      </c>
      <c r="AD222" s="225">
        <f t="shared" si="1257"/>
        <v>78.718000000000004</v>
      </c>
      <c r="AE222" s="225">
        <f t="shared" ref="AE222:AF222" si="1258">+AE187</f>
        <v>83.394000000000005</v>
      </c>
      <c r="AF222" s="225">
        <f t="shared" si="1258"/>
        <v>85.811999999999998</v>
      </c>
      <c r="AG222" s="225">
        <f t="shared" ref="AG222" si="1259">+AG187</f>
        <v>90.950999999999993</v>
      </c>
      <c r="AO222" s="225"/>
      <c r="AP222" s="225"/>
      <c r="AQ222" s="225">
        <f t="shared" ref="AQ222:AW222" si="1260">+AQ187</f>
        <v>38.406999999999996</v>
      </c>
      <c r="AR222" s="225">
        <f t="shared" si="1260"/>
        <v>63.521000000000001</v>
      </c>
      <c r="AS222" s="225">
        <f t="shared" si="1260"/>
        <v>92.108999999999995</v>
      </c>
      <c r="AT222" s="225">
        <f t="shared" si="1260"/>
        <v>124.875</v>
      </c>
      <c r="AU222" s="225">
        <f t="shared" si="1260"/>
        <v>188.001</v>
      </c>
      <c r="AV222" s="225">
        <f t="shared" si="1260"/>
        <v>254.316</v>
      </c>
      <c r="AW222" s="225">
        <f t="shared" si="1260"/>
        <v>307.67500000000001</v>
      </c>
    </row>
    <row r="223" spans="1:49" ht="13.5" x14ac:dyDescent="0.35">
      <c r="B223" t="s">
        <v>294</v>
      </c>
      <c r="D223" s="110" t="s">
        <v>91</v>
      </c>
      <c r="E223" s="110" t="s">
        <v>91</v>
      </c>
      <c r="F223" s="110" t="s">
        <v>91</v>
      </c>
      <c r="G223" s="110" t="s">
        <v>91</v>
      </c>
      <c r="H223" s="110" t="s">
        <v>91</v>
      </c>
      <c r="I223" s="110" t="s">
        <v>91</v>
      </c>
      <c r="J223" s="110" t="s">
        <v>91</v>
      </c>
      <c r="K223" s="110" t="s">
        <v>91</v>
      </c>
      <c r="L223" s="110" t="s">
        <v>91</v>
      </c>
      <c r="M223" s="110" t="s">
        <v>91</v>
      </c>
      <c r="N223" s="110" t="s">
        <v>91</v>
      </c>
      <c r="O223" s="110" t="s">
        <v>91</v>
      </c>
      <c r="P223" s="242">
        <f>+P369</f>
        <v>1.6539999999999999</v>
      </c>
      <c r="Q223" s="242">
        <f t="shared" ref="Q223:S223" si="1261">+Q369</f>
        <v>0.57900000000000018</v>
      </c>
      <c r="R223" s="242">
        <f t="shared" si="1261"/>
        <v>1.5920000000000001</v>
      </c>
      <c r="S223" s="242">
        <f t="shared" si="1261"/>
        <v>3.0889999999999995</v>
      </c>
      <c r="T223" s="114">
        <f>+IFERROR((T422+T427)-(AT422-AT427),"n/a")</f>
        <v>5.8420000000000023</v>
      </c>
      <c r="U223" s="114">
        <f t="shared" ref="U223:AG223" si="1262">+IFERROR((U422+U427)-(T422-T427),"n/a")</f>
        <v>2.995000000000001</v>
      </c>
      <c r="V223" s="114">
        <f t="shared" si="1262"/>
        <v>1.8790000000000049</v>
      </c>
      <c r="W223" s="114">
        <f t="shared" si="1262"/>
        <v>4.6610000000000014</v>
      </c>
      <c r="X223" s="114">
        <f t="shared" si="1262"/>
        <v>7.8730000000000047</v>
      </c>
      <c r="Y223" s="114">
        <f t="shared" si="1262"/>
        <v>1.259999999999998</v>
      </c>
      <c r="Z223" s="114">
        <f t="shared" si="1262"/>
        <v>-0.61499999999999488</v>
      </c>
      <c r="AA223" s="114">
        <f t="shared" si="1262"/>
        <v>2.7369999999999948</v>
      </c>
      <c r="AB223" s="114">
        <f t="shared" si="1262"/>
        <v>7.2610000000000028</v>
      </c>
      <c r="AC223" s="114">
        <f t="shared" si="1262"/>
        <v>0.18299999999999272</v>
      </c>
      <c r="AD223" s="114">
        <f t="shared" si="1262"/>
        <v>-2.8999999999996362E-2</v>
      </c>
      <c r="AE223" s="114">
        <f t="shared" si="1262"/>
        <v>3.8060000000000045</v>
      </c>
      <c r="AF223" s="114">
        <f t="shared" si="1262"/>
        <v>6.3119999999999976</v>
      </c>
      <c r="AG223" s="114">
        <f t="shared" si="1262"/>
        <v>3.1439999999999912</v>
      </c>
      <c r="AQ223" s="242">
        <f>+AQ369</f>
        <v>3.669</v>
      </c>
      <c r="AR223" s="114">
        <f t="shared" ref="AR223:AW223" si="1263">+IFERROR((AR422+AR427)-(AQ422-AQ427),"n/a")</f>
        <v>5.0659999999999998</v>
      </c>
      <c r="AS223" s="114">
        <f t="shared" si="1263"/>
        <v>8.6359999999999992</v>
      </c>
      <c r="AT223" s="114">
        <f t="shared" si="1263"/>
        <v>7.8900000000000006</v>
      </c>
      <c r="AU223" s="114">
        <f t="shared" si="1263"/>
        <v>14.055000000000003</v>
      </c>
      <c r="AV223" s="114">
        <f t="shared" si="1263"/>
        <v>9.4810000000000016</v>
      </c>
      <c r="AW223" s="114">
        <f t="shared" si="1263"/>
        <v>9.409000000000006</v>
      </c>
    </row>
    <row r="224" spans="1:49" s="3" customFormat="1" x14ac:dyDescent="0.2">
      <c r="A224" s="2"/>
      <c r="B224" s="24" t="s">
        <v>293</v>
      </c>
      <c r="D224" s="224" t="str">
        <f>+IFERROR(D222+D223,"n/a")</f>
        <v>n/a</v>
      </c>
      <c r="E224" s="224" t="str">
        <f t="shared" ref="E224:G224" si="1264">+IFERROR(E222+E223,"n/a")</f>
        <v>n/a</v>
      </c>
      <c r="F224" s="224" t="str">
        <f t="shared" si="1264"/>
        <v>n/a</v>
      </c>
      <c r="G224" s="224" t="str">
        <f t="shared" si="1264"/>
        <v>n/a</v>
      </c>
      <c r="H224" s="224" t="str">
        <f>+IFERROR(H222+H223,"n/a")</f>
        <v>n/a</v>
      </c>
      <c r="I224" s="224" t="str">
        <f t="shared" ref="I224:Z224" si="1265">+IFERROR(I222+I223,"n/a")</f>
        <v>n/a</v>
      </c>
      <c r="J224" s="224" t="str">
        <f t="shared" si="1265"/>
        <v>n/a</v>
      </c>
      <c r="K224" s="224" t="str">
        <f t="shared" si="1265"/>
        <v>n/a</v>
      </c>
      <c r="L224" s="224" t="str">
        <f t="shared" si="1265"/>
        <v>n/a</v>
      </c>
      <c r="M224" s="224" t="str">
        <f t="shared" si="1265"/>
        <v>n/a</v>
      </c>
      <c r="N224" s="224" t="str">
        <f t="shared" si="1265"/>
        <v>n/a</v>
      </c>
      <c r="O224" s="224" t="str">
        <f t="shared" si="1265"/>
        <v>n/a</v>
      </c>
      <c r="P224" s="243">
        <f t="shared" si="1265"/>
        <v>29.440999999999999</v>
      </c>
      <c r="Q224" s="243">
        <f t="shared" si="1265"/>
        <v>29.031000000000002</v>
      </c>
      <c r="R224" s="243">
        <f t="shared" si="1265"/>
        <v>33.787999999999997</v>
      </c>
      <c r="S224" s="243">
        <f t="shared" si="1265"/>
        <v>39.528999999999996</v>
      </c>
      <c r="T224" s="224">
        <f t="shared" si="1265"/>
        <v>45.84</v>
      </c>
      <c r="U224" s="224">
        <f t="shared" si="1265"/>
        <v>48</v>
      </c>
      <c r="V224" s="224">
        <f t="shared" si="1265"/>
        <v>51.131000000000007</v>
      </c>
      <c r="W224" s="224">
        <f t="shared" si="1265"/>
        <v>58.407000000000004</v>
      </c>
      <c r="X224" s="224">
        <f t="shared" si="1265"/>
        <v>65.001000000000005</v>
      </c>
      <c r="Y224" s="224">
        <f t="shared" si="1265"/>
        <v>63.87</v>
      </c>
      <c r="Z224" s="224">
        <f t="shared" si="1265"/>
        <v>65.178000000000011</v>
      </c>
      <c r="AA224" s="224">
        <f t="shared" ref="AA224:AB224" si="1266">+IFERROR(AA222+AA223,"n/a")</f>
        <v>71.521999999999991</v>
      </c>
      <c r="AB224" s="224">
        <f t="shared" si="1266"/>
        <v>78.131</v>
      </c>
      <c r="AC224" s="224">
        <f t="shared" ref="AC224:AD224" si="1267">+IFERROR(AC222+AC223,"n/a")</f>
        <v>74.875999999999991</v>
      </c>
      <c r="AD224" s="224">
        <f t="shared" si="1267"/>
        <v>78.689000000000007</v>
      </c>
      <c r="AE224" s="224">
        <f t="shared" ref="AE224:AF224" si="1268">+IFERROR(AE222+AE223,"n/a")</f>
        <v>87.200000000000017</v>
      </c>
      <c r="AF224" s="224">
        <f t="shared" si="1268"/>
        <v>92.123999999999995</v>
      </c>
      <c r="AG224" s="224">
        <f t="shared" ref="AG224" si="1269">+IFERROR(AG222+AG223,"n/a")</f>
        <v>94.094999999999985</v>
      </c>
      <c r="AQ224" s="243">
        <f t="shared" ref="AQ224:AS224" si="1270">+IFERROR(AQ222+AQ223,"n/a")</f>
        <v>42.075999999999993</v>
      </c>
      <c r="AR224" s="224">
        <f t="shared" si="1270"/>
        <v>68.587000000000003</v>
      </c>
      <c r="AS224" s="224">
        <f t="shared" si="1270"/>
        <v>100.74499999999999</v>
      </c>
      <c r="AT224" s="224">
        <f t="shared" ref="AT224" si="1271">+IFERROR(AT222+AT223,"n/a")</f>
        <v>132.76499999999999</v>
      </c>
      <c r="AU224" s="224">
        <f t="shared" ref="AU224:AW224" si="1272">+IFERROR(AU222+AU223,"n/a")</f>
        <v>202.05600000000001</v>
      </c>
      <c r="AV224" s="224">
        <f t="shared" si="1272"/>
        <v>263.79700000000003</v>
      </c>
      <c r="AW224" s="224">
        <f t="shared" si="1272"/>
        <v>317.084</v>
      </c>
    </row>
    <row r="225" spans="2:49" x14ac:dyDescent="0.2">
      <c r="B225" s="20" t="s">
        <v>18</v>
      </c>
      <c r="D225" s="120"/>
      <c r="E225" s="120"/>
      <c r="F225" s="120"/>
      <c r="G225" s="120"/>
      <c r="H225" s="120"/>
      <c r="I225" s="120"/>
      <c r="J225" s="120"/>
      <c r="K225" s="120"/>
      <c r="L225" s="120" t="str">
        <f>+IFERROR(L224/H224-1,"n/a")</f>
        <v>n/a</v>
      </c>
      <c r="M225" s="120" t="str">
        <f t="shared" ref="M225:AG225" si="1273">+IFERROR(M224/I224-1,"n/a")</f>
        <v>n/a</v>
      </c>
      <c r="N225" s="120" t="str">
        <f t="shared" si="1273"/>
        <v>n/a</v>
      </c>
      <c r="O225" s="120" t="str">
        <f t="shared" si="1273"/>
        <v>n/a</v>
      </c>
      <c r="P225" s="120" t="str">
        <f t="shared" si="1273"/>
        <v>n/a</v>
      </c>
      <c r="Q225" s="120" t="str">
        <f t="shared" si="1273"/>
        <v>n/a</v>
      </c>
      <c r="R225" s="120" t="str">
        <f t="shared" si="1273"/>
        <v>n/a</v>
      </c>
      <c r="S225" s="120" t="str">
        <f t="shared" si="1273"/>
        <v>n/a</v>
      </c>
      <c r="T225" s="120">
        <f t="shared" si="1273"/>
        <v>0.55701232974423442</v>
      </c>
      <c r="U225" s="120">
        <f t="shared" si="1273"/>
        <v>0.65340498088250487</v>
      </c>
      <c r="V225" s="120">
        <f t="shared" si="1273"/>
        <v>0.51328874156505311</v>
      </c>
      <c r="W225" s="120">
        <f t="shared" si="1273"/>
        <v>0.47757342710415163</v>
      </c>
      <c r="X225" s="120">
        <f t="shared" si="1273"/>
        <v>0.41799738219895288</v>
      </c>
      <c r="Y225" s="120">
        <f t="shared" si="1273"/>
        <v>0.33062499999999995</v>
      </c>
      <c r="Z225" s="120">
        <f t="shared" si="1273"/>
        <v>0.27472570456278977</v>
      </c>
      <c r="AA225" s="120">
        <f t="shared" si="1273"/>
        <v>0.22454500316742831</v>
      </c>
      <c r="AB225" s="120">
        <f t="shared" si="1273"/>
        <v>0.20199689235550222</v>
      </c>
      <c r="AC225" s="120">
        <f t="shared" si="1273"/>
        <v>0.17231877250665395</v>
      </c>
      <c r="AD225" s="120">
        <f t="shared" si="1273"/>
        <v>0.20729387216545447</v>
      </c>
      <c r="AE225" s="120">
        <f t="shared" si="1273"/>
        <v>0.2192052794944217</v>
      </c>
      <c r="AF225" s="120">
        <f t="shared" si="1273"/>
        <v>0.17909664537763503</v>
      </c>
      <c r="AG225" s="120">
        <f t="shared" si="1273"/>
        <v>0.25667770714247551</v>
      </c>
      <c r="AQ225" s="120"/>
      <c r="AR225" s="120">
        <f>+IFERROR(AR224/AQ224-1,"n/a")</f>
        <v>0.63007415153531743</v>
      </c>
      <c r="AS225" s="120">
        <f t="shared" ref="AS225:AW225" si="1274">+IFERROR(AS224/AR224-1,"n/a")</f>
        <v>0.46886436205111726</v>
      </c>
      <c r="AT225" s="120">
        <f t="shared" si="1274"/>
        <v>0.31783215047893187</v>
      </c>
      <c r="AU225" s="120">
        <f t="shared" si="1274"/>
        <v>0.52190712913795068</v>
      </c>
      <c r="AV225" s="120">
        <f t="shared" si="1274"/>
        <v>0.30556380409391459</v>
      </c>
      <c r="AW225" s="120">
        <f t="shared" si="1274"/>
        <v>0.20200002274476203</v>
      </c>
    </row>
    <row r="226" spans="2:49" x14ac:dyDescent="0.2">
      <c r="B226" s="20" t="s">
        <v>214</v>
      </c>
      <c r="D226" s="120"/>
      <c r="E226" s="120"/>
      <c r="F226" s="120"/>
      <c r="G226" s="120"/>
      <c r="H226" s="120"/>
      <c r="I226" s="120" t="str">
        <f>+IFERROR(I224/H224-1,"n/a")</f>
        <v>n/a</v>
      </c>
      <c r="J226" s="120" t="str">
        <f t="shared" ref="J226:AG226" si="1275">+IFERROR(J224/I224-1,"n/a")</f>
        <v>n/a</v>
      </c>
      <c r="K226" s="120" t="str">
        <f t="shared" si="1275"/>
        <v>n/a</v>
      </c>
      <c r="L226" s="120" t="str">
        <f t="shared" si="1275"/>
        <v>n/a</v>
      </c>
      <c r="M226" s="120" t="str">
        <f t="shared" si="1275"/>
        <v>n/a</v>
      </c>
      <c r="N226" s="120" t="str">
        <f t="shared" si="1275"/>
        <v>n/a</v>
      </c>
      <c r="O226" s="120" t="str">
        <f t="shared" si="1275"/>
        <v>n/a</v>
      </c>
      <c r="P226" s="120" t="str">
        <f t="shared" si="1275"/>
        <v>n/a</v>
      </c>
      <c r="Q226" s="120">
        <f t="shared" si="1275"/>
        <v>-1.3926157399544725E-2</v>
      </c>
      <c r="R226" s="120">
        <f t="shared" si="1275"/>
        <v>0.16385932279287641</v>
      </c>
      <c r="S226" s="120">
        <f t="shared" si="1275"/>
        <v>0.16991239493311228</v>
      </c>
      <c r="T226" s="120">
        <f t="shared" si="1275"/>
        <v>0.15965493688178323</v>
      </c>
      <c r="U226" s="120">
        <f t="shared" si="1275"/>
        <v>4.7120418848167533E-2</v>
      </c>
      <c r="V226" s="120">
        <f t="shared" si="1275"/>
        <v>6.5229166666666893E-2</v>
      </c>
      <c r="W226" s="120">
        <f t="shared" si="1275"/>
        <v>0.14230114803152683</v>
      </c>
      <c r="X226" s="120">
        <f t="shared" si="1275"/>
        <v>0.11289742667830915</v>
      </c>
      <c r="Y226" s="120">
        <f t="shared" si="1275"/>
        <v>-1.7399732311810689E-2</v>
      </c>
      <c r="Z226" s="120">
        <f t="shared" si="1275"/>
        <v>2.0479098168154186E-2</v>
      </c>
      <c r="AA226" s="120">
        <f t="shared" si="1275"/>
        <v>9.7333456074135016E-2</v>
      </c>
      <c r="AB226" s="120">
        <f t="shared" si="1275"/>
        <v>9.240513408461748E-2</v>
      </c>
      <c r="AC226" s="120">
        <f t="shared" si="1275"/>
        <v>-4.1660800450525559E-2</v>
      </c>
      <c r="AD226" s="120">
        <f t="shared" si="1275"/>
        <v>5.092419466851883E-2</v>
      </c>
      <c r="AE226" s="120">
        <f t="shared" si="1275"/>
        <v>0.10815997153350554</v>
      </c>
      <c r="AF226" s="120">
        <f t="shared" si="1275"/>
        <v>5.6467889908256685E-2</v>
      </c>
      <c r="AG226" s="120">
        <f t="shared" si="1275"/>
        <v>2.139507620164105E-2</v>
      </c>
      <c r="AQ226" s="120"/>
      <c r="AR226" s="120">
        <f t="shared" ref="AR226:AW226" si="1276">+IFERROR(AR224/AQ224-1,"n/a")</f>
        <v>0.63007415153531743</v>
      </c>
      <c r="AS226" s="120">
        <f t="shared" si="1276"/>
        <v>0.46886436205111726</v>
      </c>
      <c r="AT226" s="120">
        <f t="shared" si="1276"/>
        <v>0.31783215047893187</v>
      </c>
      <c r="AU226" s="120">
        <f t="shared" si="1276"/>
        <v>0.52190712913795068</v>
      </c>
      <c r="AV226" s="120">
        <f t="shared" si="1276"/>
        <v>0.30556380409391459</v>
      </c>
      <c r="AW226" s="120">
        <f t="shared" si="1276"/>
        <v>0.20200002274476203</v>
      </c>
    </row>
    <row r="227" spans="2:49" x14ac:dyDescent="0.2">
      <c r="B227" s="20"/>
      <c r="AQ227" s="120"/>
      <c r="AR227" s="120"/>
      <c r="AS227" s="120"/>
      <c r="AT227" s="120"/>
    </row>
    <row r="228" spans="2:49" x14ac:dyDescent="0.2">
      <c r="B228" s="25" t="s">
        <v>283</v>
      </c>
    </row>
    <row r="229" spans="2:49" ht="10.15" hidden="1" outlineLevel="1" x14ac:dyDescent="0.2">
      <c r="B229" s="123" t="s">
        <v>282</v>
      </c>
      <c r="D229" s="109">
        <f t="shared" ref="D229:N229" si="1277">+D118</f>
        <v>24600</v>
      </c>
      <c r="E229" s="109">
        <f t="shared" si="1277"/>
        <v>26300</v>
      </c>
      <c r="F229" s="109">
        <f t="shared" si="1277"/>
        <v>28300</v>
      </c>
      <c r="G229" s="109">
        <f t="shared" si="1277"/>
        <v>30400</v>
      </c>
      <c r="H229" s="109">
        <f t="shared" si="1277"/>
        <v>33700</v>
      </c>
      <c r="I229" s="109">
        <f t="shared" si="1277"/>
        <v>36400</v>
      </c>
      <c r="J229" s="109">
        <f t="shared" si="1277"/>
        <v>39600</v>
      </c>
      <c r="K229" s="109">
        <f t="shared" si="1277"/>
        <v>42200</v>
      </c>
      <c r="L229" s="109">
        <f t="shared" si="1277"/>
        <v>46600</v>
      </c>
      <c r="M229" s="109">
        <f t="shared" si="1277"/>
        <v>49700</v>
      </c>
      <c r="N229" s="109">
        <f t="shared" si="1277"/>
        <v>52200</v>
      </c>
      <c r="O229" s="109">
        <f t="shared" ref="O229:W229" si="1278">+O232/O231*1000000</f>
        <v>54228.329809725154</v>
      </c>
      <c r="P229" s="109">
        <f t="shared" si="1278"/>
        <v>56385.169927909374</v>
      </c>
      <c r="Q229" s="109">
        <f t="shared" si="1278"/>
        <v>59262.948207171321</v>
      </c>
      <c r="R229" s="109">
        <f t="shared" si="1278"/>
        <v>64221.057646498339</v>
      </c>
      <c r="S229" s="109">
        <f t="shared" si="1278"/>
        <v>67922.750824305229</v>
      </c>
      <c r="T229" s="109">
        <f t="shared" si="1278"/>
        <v>73702.726473175018</v>
      </c>
      <c r="U229" s="109">
        <f t="shared" si="1278"/>
        <v>79965.971926839644</v>
      </c>
      <c r="V229" s="109">
        <f t="shared" si="1278"/>
        <v>80120.96774193547</v>
      </c>
      <c r="W229" s="109">
        <f t="shared" si="1278"/>
        <v>82430.340557275529</v>
      </c>
      <c r="X229" s="109">
        <f t="shared" ref="X229:Y229" si="1279">+X232/X231*1000000</f>
        <v>87830.294008187571</v>
      </c>
      <c r="Y229" s="109">
        <f t="shared" si="1279"/>
        <v>91224.928366762178</v>
      </c>
      <c r="Z229" s="109">
        <f t="shared" ref="Z229:AA229" si="1280">+Z232/Z231*1000000</f>
        <v>93987.341772151907</v>
      </c>
      <c r="AA229" s="109">
        <f t="shared" si="1280"/>
        <v>95920.502092050214</v>
      </c>
      <c r="AB229" s="109">
        <f t="shared" ref="AB229:AC229" si="1281">+AB232/AB231*1000000</f>
        <v>101700.79833391184</v>
      </c>
      <c r="AC229" s="109">
        <f t="shared" si="1281"/>
        <v>104132.23140495867</v>
      </c>
      <c r="AD229" s="109">
        <f t="shared" ref="AD229:AE229" si="1282">+AD232/AD231*1000000</f>
        <v>106816.67769688947</v>
      </c>
      <c r="AE229" s="109">
        <f t="shared" si="1282"/>
        <v>107872.00000000001</v>
      </c>
      <c r="AF229" s="109">
        <f t="shared" ref="AF229:AG229" si="1283">+AF232/AF231*1000000</f>
        <v>111982.29528928232</v>
      </c>
      <c r="AG229" s="109">
        <f t="shared" si="1283"/>
        <v>116108.20780817706</v>
      </c>
      <c r="AQ229" s="10">
        <f>+G229</f>
        <v>30400</v>
      </c>
      <c r="AR229" s="10">
        <f>+K229</f>
        <v>42200</v>
      </c>
      <c r="AS229" s="109">
        <f>+O229</f>
        <v>54228.329809725154</v>
      </c>
      <c r="AT229" s="109">
        <f>+S229</f>
        <v>67922.750824305229</v>
      </c>
      <c r="AU229" s="10">
        <f>+W229</f>
        <v>82430.340557275529</v>
      </c>
    </row>
    <row r="230" spans="2:49" ht="10.15" hidden="1" outlineLevel="1" x14ac:dyDescent="0.2">
      <c r="B230" s="123" t="s">
        <v>113</v>
      </c>
      <c r="D230" s="11">
        <v>102.9</v>
      </c>
      <c r="E230" s="11">
        <v>112.2</v>
      </c>
      <c r="F230" s="11">
        <v>119.2</v>
      </c>
      <c r="G230" s="11">
        <v>125.8</v>
      </c>
      <c r="H230" s="11">
        <v>131</v>
      </c>
      <c r="I230" s="11">
        <v>134.80000000000001</v>
      </c>
      <c r="J230" s="11">
        <v>138.80000000000001</v>
      </c>
      <c r="K230" s="11">
        <v>142.6</v>
      </c>
      <c r="L230" s="11">
        <v>145.4</v>
      </c>
      <c r="M230" s="11">
        <v>148.19999999999999</v>
      </c>
      <c r="N230" s="11">
        <v>152.19999999999999</v>
      </c>
      <c r="O230" s="109">
        <f t="shared" ref="O230:AG230" si="1284">+O231/12</f>
        <v>157.66666666666666</v>
      </c>
      <c r="P230" s="109">
        <f t="shared" si="1284"/>
        <v>161.83333333333334</v>
      </c>
      <c r="Q230" s="109">
        <f t="shared" si="1284"/>
        <v>167.33333333333334</v>
      </c>
      <c r="R230" s="109">
        <f t="shared" si="1284"/>
        <v>174.91666666666666</v>
      </c>
      <c r="S230" s="109">
        <f t="shared" si="1284"/>
        <v>176.91666666666666</v>
      </c>
      <c r="T230" s="109">
        <f t="shared" si="1284"/>
        <v>189.5</v>
      </c>
      <c r="U230" s="109">
        <f t="shared" si="1284"/>
        <v>195.91666666666666</v>
      </c>
      <c r="V230" s="109">
        <f t="shared" si="1284"/>
        <v>206.66666666666666</v>
      </c>
      <c r="W230" s="109">
        <f t="shared" si="1284"/>
        <v>215.33333333333334</v>
      </c>
      <c r="X230" s="109">
        <f t="shared" si="1284"/>
        <v>223.91666666666666</v>
      </c>
      <c r="Y230" s="109">
        <f t="shared" si="1284"/>
        <v>232.66666666666666</v>
      </c>
      <c r="Z230" s="109">
        <f t="shared" si="1284"/>
        <v>237</v>
      </c>
      <c r="AA230" s="109">
        <f t="shared" si="1284"/>
        <v>239</v>
      </c>
      <c r="AB230" s="109">
        <f t="shared" si="1284"/>
        <v>240.08333333333334</v>
      </c>
      <c r="AC230" s="109">
        <f t="shared" si="1284"/>
        <v>242</v>
      </c>
      <c r="AD230" s="109">
        <f t="shared" si="1284"/>
        <v>251.83333333333334</v>
      </c>
      <c r="AE230" s="109">
        <f t="shared" si="1284"/>
        <v>260.41666666666669</v>
      </c>
      <c r="AF230" s="109">
        <f t="shared" si="1284"/>
        <v>263.58333333333331</v>
      </c>
      <c r="AG230" s="109">
        <f t="shared" si="1284"/>
        <v>271.08333333333331</v>
      </c>
      <c r="AQ230" s="109">
        <f t="shared" ref="AQ230" si="1285">+AQ231/12</f>
        <v>125.8</v>
      </c>
      <c r="AR230" s="109">
        <f t="shared" ref="AR230" si="1286">+AR231/12</f>
        <v>142.6</v>
      </c>
      <c r="AS230" s="109">
        <f t="shared" ref="AS230:AU230" si="1287">+AS231/12</f>
        <v>157.66666666666666</v>
      </c>
      <c r="AT230" s="109">
        <f t="shared" si="1287"/>
        <v>176.91666666666666</v>
      </c>
      <c r="AU230" s="109">
        <f t="shared" si="1287"/>
        <v>215.33333333333334</v>
      </c>
    </row>
    <row r="231" spans="2:49" ht="10.15" hidden="1" outlineLevel="1" x14ac:dyDescent="0.2">
      <c r="B231" s="123" t="s">
        <v>47</v>
      </c>
      <c r="D231" s="109">
        <f>+D230*12</f>
        <v>1234.8000000000002</v>
      </c>
      <c r="E231" s="109">
        <f t="shared" ref="E231:N231" si="1288">+E230*12</f>
        <v>1346.4</v>
      </c>
      <c r="F231" s="109">
        <f t="shared" si="1288"/>
        <v>1430.4</v>
      </c>
      <c r="G231" s="109">
        <f t="shared" si="1288"/>
        <v>1509.6</v>
      </c>
      <c r="H231" s="109">
        <f t="shared" si="1288"/>
        <v>1572</v>
      </c>
      <c r="I231" s="109">
        <f t="shared" si="1288"/>
        <v>1617.6000000000001</v>
      </c>
      <c r="J231" s="109">
        <f t="shared" si="1288"/>
        <v>1665.6000000000001</v>
      </c>
      <c r="K231" s="109">
        <f t="shared" si="1288"/>
        <v>1711.1999999999998</v>
      </c>
      <c r="L231" s="109">
        <f t="shared" si="1288"/>
        <v>1744.8000000000002</v>
      </c>
      <c r="M231" s="109">
        <f t="shared" si="1288"/>
        <v>1778.3999999999999</v>
      </c>
      <c r="N231" s="109">
        <f t="shared" si="1288"/>
        <v>1826.3999999999999</v>
      </c>
      <c r="O231" s="109">
        <f t="shared" ref="O231:AG231" si="1289">+O142</f>
        <v>1892</v>
      </c>
      <c r="P231" s="109">
        <f t="shared" si="1289"/>
        <v>1942</v>
      </c>
      <c r="Q231" s="109">
        <f t="shared" si="1289"/>
        <v>2008</v>
      </c>
      <c r="R231" s="109">
        <f t="shared" si="1289"/>
        <v>2099</v>
      </c>
      <c r="S231" s="109">
        <f t="shared" si="1289"/>
        <v>2123</v>
      </c>
      <c r="T231" s="109">
        <f t="shared" si="1289"/>
        <v>2274</v>
      </c>
      <c r="U231" s="109">
        <f t="shared" si="1289"/>
        <v>2351</v>
      </c>
      <c r="V231" s="109">
        <f t="shared" si="1289"/>
        <v>2480</v>
      </c>
      <c r="W231" s="109">
        <f t="shared" si="1289"/>
        <v>2584</v>
      </c>
      <c r="X231" s="109">
        <f t="shared" si="1289"/>
        <v>2687</v>
      </c>
      <c r="Y231" s="109">
        <f t="shared" si="1289"/>
        <v>2792</v>
      </c>
      <c r="Z231" s="109">
        <f t="shared" si="1289"/>
        <v>2844</v>
      </c>
      <c r="AA231" s="109">
        <f t="shared" si="1289"/>
        <v>2868</v>
      </c>
      <c r="AB231" s="109">
        <f t="shared" si="1289"/>
        <v>2881</v>
      </c>
      <c r="AC231" s="109">
        <f t="shared" si="1289"/>
        <v>2904</v>
      </c>
      <c r="AD231" s="109">
        <f t="shared" si="1289"/>
        <v>3022</v>
      </c>
      <c r="AE231" s="109">
        <f t="shared" si="1289"/>
        <v>3125</v>
      </c>
      <c r="AF231" s="109">
        <f t="shared" si="1289"/>
        <v>3163</v>
      </c>
      <c r="AG231" s="109">
        <f t="shared" si="1289"/>
        <v>3253</v>
      </c>
      <c r="AQ231" s="10">
        <f>+G231</f>
        <v>1509.6</v>
      </c>
      <c r="AR231" s="10">
        <f>+K231</f>
        <v>1711.1999999999998</v>
      </c>
      <c r="AS231" s="109">
        <f>+O231</f>
        <v>1892</v>
      </c>
      <c r="AT231" s="109">
        <f>+S231</f>
        <v>2123</v>
      </c>
      <c r="AU231" s="109">
        <f>+W231</f>
        <v>2584</v>
      </c>
    </row>
    <row r="232" spans="2:49" ht="10.15" hidden="1" outlineLevel="1" x14ac:dyDescent="0.2">
      <c r="B232" s="123" t="s">
        <v>114</v>
      </c>
      <c r="D232" s="109">
        <f t="shared" ref="D232:N232" si="1290">+D231*D229/1000000</f>
        <v>30.376080000000005</v>
      </c>
      <c r="E232" s="109">
        <f t="shared" si="1290"/>
        <v>35.410319999999999</v>
      </c>
      <c r="F232" s="109">
        <f t="shared" si="1290"/>
        <v>40.480319999999999</v>
      </c>
      <c r="G232" s="109">
        <f t="shared" si="1290"/>
        <v>45.891840000000002</v>
      </c>
      <c r="H232" s="109">
        <f t="shared" si="1290"/>
        <v>52.976399999999998</v>
      </c>
      <c r="I232" s="109">
        <f t="shared" si="1290"/>
        <v>58.880640000000007</v>
      </c>
      <c r="J232" s="109">
        <f t="shared" si="1290"/>
        <v>65.957760000000007</v>
      </c>
      <c r="K232" s="109">
        <f t="shared" si="1290"/>
        <v>72.212639999999979</v>
      </c>
      <c r="L232" s="109">
        <f t="shared" si="1290"/>
        <v>81.307680000000019</v>
      </c>
      <c r="M232" s="109">
        <f t="shared" si="1290"/>
        <v>88.386480000000006</v>
      </c>
      <c r="N232" s="109">
        <f t="shared" si="1290"/>
        <v>95.338080000000005</v>
      </c>
      <c r="O232" s="109">
        <f t="shared" ref="O232:AG232" si="1291">+O156</f>
        <v>102.6</v>
      </c>
      <c r="P232" s="109">
        <f t="shared" si="1291"/>
        <v>109.5</v>
      </c>
      <c r="Q232" s="109">
        <f t="shared" si="1291"/>
        <v>119</v>
      </c>
      <c r="R232" s="109">
        <f t="shared" si="1291"/>
        <v>134.80000000000001</v>
      </c>
      <c r="S232" s="109">
        <f t="shared" si="1291"/>
        <v>144.19999999999999</v>
      </c>
      <c r="T232" s="109">
        <f t="shared" si="1291"/>
        <v>167.6</v>
      </c>
      <c r="U232" s="109">
        <f t="shared" si="1291"/>
        <v>188</v>
      </c>
      <c r="V232" s="109">
        <f t="shared" si="1291"/>
        <v>198.7</v>
      </c>
      <c r="W232" s="109">
        <f t="shared" si="1291"/>
        <v>213</v>
      </c>
      <c r="X232" s="109">
        <f t="shared" si="1291"/>
        <v>236</v>
      </c>
      <c r="Y232" s="109">
        <f t="shared" si="1291"/>
        <v>254.7</v>
      </c>
      <c r="Z232" s="109">
        <f t="shared" si="1291"/>
        <v>267.3</v>
      </c>
      <c r="AA232" s="109">
        <f t="shared" si="1291"/>
        <v>275.10000000000002</v>
      </c>
      <c r="AB232" s="109">
        <f t="shared" si="1291"/>
        <v>293</v>
      </c>
      <c r="AC232" s="109">
        <f t="shared" si="1291"/>
        <v>302.39999999999998</v>
      </c>
      <c r="AD232" s="109">
        <f t="shared" si="1291"/>
        <v>322.8</v>
      </c>
      <c r="AE232" s="109">
        <f t="shared" si="1291"/>
        <v>337.1</v>
      </c>
      <c r="AF232" s="109">
        <f t="shared" si="1291"/>
        <v>354.2</v>
      </c>
      <c r="AG232" s="109">
        <f t="shared" si="1291"/>
        <v>377.7</v>
      </c>
      <c r="AQ232" s="10">
        <f>+G232</f>
        <v>45.891840000000002</v>
      </c>
      <c r="AR232" s="10">
        <f>+K232</f>
        <v>72.212639999999979</v>
      </c>
      <c r="AS232" s="109">
        <f>+O232</f>
        <v>102.6</v>
      </c>
      <c r="AT232" s="109">
        <f>+S232</f>
        <v>144.19999999999999</v>
      </c>
      <c r="AU232" s="10">
        <f>+W232</f>
        <v>213</v>
      </c>
    </row>
    <row r="233" spans="2:49" collapsed="1" x14ac:dyDescent="0.2">
      <c r="B233" t="s">
        <v>280</v>
      </c>
      <c r="H233" s="160" t="s">
        <v>91</v>
      </c>
      <c r="I233" s="160" t="s">
        <v>91</v>
      </c>
      <c r="J233" s="160" t="s">
        <v>91</v>
      </c>
      <c r="K233" s="160" t="s">
        <v>91</v>
      </c>
      <c r="L233" s="117" t="s">
        <v>91</v>
      </c>
      <c r="M233" s="117" t="s">
        <v>91</v>
      </c>
      <c r="N233" s="117" t="s">
        <v>91</v>
      </c>
      <c r="O233" s="117" t="s">
        <v>91</v>
      </c>
      <c r="P233" s="117" t="s">
        <v>91</v>
      </c>
      <c r="Q233" s="117" t="s">
        <v>91</v>
      </c>
      <c r="R233" s="117" t="s">
        <v>91</v>
      </c>
      <c r="S233" s="117" t="s">
        <v>91</v>
      </c>
      <c r="T233" s="117" t="s">
        <v>91</v>
      </c>
      <c r="U233" s="117" t="s">
        <v>91</v>
      </c>
      <c r="V233" s="117" t="s">
        <v>270</v>
      </c>
      <c r="W233" s="117" t="s">
        <v>271</v>
      </c>
      <c r="X233" s="117" t="s">
        <v>272</v>
      </c>
      <c r="Y233" s="117" t="s">
        <v>273</v>
      </c>
      <c r="Z233" s="117" t="s">
        <v>274</v>
      </c>
      <c r="AA233" s="117" t="s">
        <v>295</v>
      </c>
      <c r="AB233" s="117" t="s">
        <v>313</v>
      </c>
      <c r="AC233" s="117" t="s">
        <v>324</v>
      </c>
      <c r="AD233" s="117" t="s">
        <v>330</v>
      </c>
      <c r="AE233" s="117" t="s">
        <v>339</v>
      </c>
      <c r="AF233" s="117" t="s">
        <v>354</v>
      </c>
      <c r="AG233" s="117" t="s">
        <v>380</v>
      </c>
      <c r="AH233" s="15"/>
      <c r="AI233" s="15"/>
      <c r="AJ233" s="15"/>
      <c r="AK233" s="15"/>
      <c r="AL233" s="15"/>
      <c r="AM233" s="15"/>
      <c r="AQ233" s="117" t="s">
        <v>91</v>
      </c>
      <c r="AR233" s="117" t="s">
        <v>91</v>
      </c>
      <c r="AS233" s="117" t="s">
        <v>91</v>
      </c>
      <c r="AT233" s="117" t="s">
        <v>91</v>
      </c>
      <c r="AU233" s="290" t="str">
        <f>+W233</f>
        <v>&gt;82k</v>
      </c>
      <c r="AV233" s="290" t="str">
        <f>+AA233</f>
        <v>&gt;95k</v>
      </c>
      <c r="AW233" s="290" t="str">
        <f>+AE233</f>
        <v>~108k</v>
      </c>
    </row>
    <row r="234" spans="2:49" x14ac:dyDescent="0.2">
      <c r="B234" s="13" t="s">
        <v>18</v>
      </c>
      <c r="H234" s="160" t="s">
        <v>91</v>
      </c>
      <c r="I234" s="160" t="s">
        <v>91</v>
      </c>
      <c r="J234" s="160" t="s">
        <v>91</v>
      </c>
      <c r="K234" s="160" t="s">
        <v>91</v>
      </c>
      <c r="L234" s="160" t="s">
        <v>91</v>
      </c>
      <c r="M234" s="160" t="s">
        <v>91</v>
      </c>
      <c r="N234" s="160" t="s">
        <v>91</v>
      </c>
      <c r="O234" s="160" t="s">
        <v>91</v>
      </c>
      <c r="P234" s="160" t="s">
        <v>91</v>
      </c>
      <c r="Q234" s="160" t="s">
        <v>91</v>
      </c>
      <c r="R234" s="160" t="s">
        <v>91</v>
      </c>
      <c r="S234" s="160" t="s">
        <v>91</v>
      </c>
      <c r="T234" s="160" t="s">
        <v>91</v>
      </c>
      <c r="U234" s="160" t="s">
        <v>91</v>
      </c>
      <c r="V234" s="160" t="s">
        <v>279</v>
      </c>
      <c r="W234" s="160" t="s">
        <v>278</v>
      </c>
      <c r="X234" s="160" t="s">
        <v>276</v>
      </c>
      <c r="Y234" s="160" t="s">
        <v>277</v>
      </c>
      <c r="Z234" s="160" t="s">
        <v>275</v>
      </c>
      <c r="AA234" s="160" t="s">
        <v>296</v>
      </c>
      <c r="AB234" s="160">
        <v>0.15</v>
      </c>
      <c r="AC234" s="160">
        <v>0.14000000000000001</v>
      </c>
      <c r="AD234" s="160">
        <v>0.14000000000000001</v>
      </c>
      <c r="AE234" s="160">
        <v>0.125</v>
      </c>
      <c r="AF234" s="160">
        <v>0.1</v>
      </c>
      <c r="AG234" s="160">
        <v>0.115</v>
      </c>
      <c r="AH234" s="15"/>
      <c r="AI234" s="15"/>
      <c r="AJ234" s="15"/>
      <c r="AK234" s="15"/>
      <c r="AL234" s="15"/>
      <c r="AM234" s="15"/>
      <c r="AQ234" s="160" t="s">
        <v>91</v>
      </c>
      <c r="AR234" s="160" t="s">
        <v>91</v>
      </c>
      <c r="AS234" s="160" t="s">
        <v>91</v>
      </c>
      <c r="AT234" s="160" t="s">
        <v>91</v>
      </c>
      <c r="AU234" s="200" t="str">
        <f t="shared" ref="AU234:AU236" si="1292">+W234</f>
        <v>~22%</v>
      </c>
      <c r="AV234" s="200" t="str">
        <f t="shared" ref="AV234:AV236" si="1293">+AA234</f>
        <v>~16%</v>
      </c>
      <c r="AW234" s="200">
        <f t="shared" ref="AW234:AW236" si="1294">+AE234</f>
        <v>0.125</v>
      </c>
    </row>
    <row r="235" spans="2:49" x14ac:dyDescent="0.2">
      <c r="B235" t="s">
        <v>281</v>
      </c>
      <c r="H235" s="160" t="s">
        <v>91</v>
      </c>
      <c r="I235" s="160" t="s">
        <v>91</v>
      </c>
      <c r="J235" s="160" t="s">
        <v>91</v>
      </c>
      <c r="K235" s="160" t="s">
        <v>91</v>
      </c>
      <c r="L235" s="117" t="s">
        <v>91</v>
      </c>
      <c r="M235" s="117" t="s">
        <v>91</v>
      </c>
      <c r="N235" s="117" t="s">
        <v>91</v>
      </c>
      <c r="O235" s="117" t="s">
        <v>91</v>
      </c>
      <c r="P235" s="117" t="s">
        <v>91</v>
      </c>
      <c r="Q235" s="117" t="s">
        <v>91</v>
      </c>
      <c r="R235" s="117" t="s">
        <v>91</v>
      </c>
      <c r="S235" s="117" t="s">
        <v>91</v>
      </c>
      <c r="T235" s="117" t="s">
        <v>215</v>
      </c>
      <c r="U235" s="117" t="s">
        <v>216</v>
      </c>
      <c r="V235" s="117" t="s">
        <v>91</v>
      </c>
      <c r="W235" s="117" t="s">
        <v>91</v>
      </c>
      <c r="X235" s="117" t="s">
        <v>91</v>
      </c>
      <c r="Y235" s="117" t="s">
        <v>91</v>
      </c>
      <c r="Z235" s="117" t="s">
        <v>91</v>
      </c>
      <c r="AA235" s="117" t="s">
        <v>91</v>
      </c>
      <c r="AB235" s="117" t="s">
        <v>91</v>
      </c>
      <c r="AC235" s="117" t="s">
        <v>91</v>
      </c>
      <c r="AD235" s="117" t="s">
        <v>91</v>
      </c>
      <c r="AE235" s="117" t="s">
        <v>91</v>
      </c>
      <c r="AF235" s="117" t="s">
        <v>91</v>
      </c>
      <c r="AG235" s="117" t="s">
        <v>91</v>
      </c>
      <c r="AH235" s="160"/>
      <c r="AI235" s="160"/>
      <c r="AJ235" s="160"/>
      <c r="AK235" s="160"/>
      <c r="AL235" s="160"/>
      <c r="AM235" s="160"/>
      <c r="AQ235" s="117" t="s">
        <v>91</v>
      </c>
      <c r="AR235" s="117" t="s">
        <v>91</v>
      </c>
      <c r="AS235" s="117" t="s">
        <v>91</v>
      </c>
      <c r="AT235" s="117" t="s">
        <v>91</v>
      </c>
      <c r="AU235" s="290" t="str">
        <f t="shared" si="1292"/>
        <v>n/a</v>
      </c>
      <c r="AV235" s="290" t="str">
        <f t="shared" si="1293"/>
        <v>n/a</v>
      </c>
      <c r="AW235" s="290" t="str">
        <f t="shared" si="1294"/>
        <v>n/a</v>
      </c>
    </row>
    <row r="236" spans="2:49" x14ac:dyDescent="0.2">
      <c r="B236" s="13" t="s">
        <v>18</v>
      </c>
      <c r="H236" s="160" t="s">
        <v>91</v>
      </c>
      <c r="I236" s="160" t="s">
        <v>91</v>
      </c>
      <c r="J236" s="160" t="s">
        <v>91</v>
      </c>
      <c r="K236" s="160" t="s">
        <v>91</v>
      </c>
      <c r="L236" s="160" t="s">
        <v>91</v>
      </c>
      <c r="M236" s="160" t="s">
        <v>91</v>
      </c>
      <c r="N236" s="160" t="s">
        <v>91</v>
      </c>
      <c r="O236" s="160" t="s">
        <v>91</v>
      </c>
      <c r="P236" s="160" t="s">
        <v>91</v>
      </c>
      <c r="Q236" s="160" t="s">
        <v>91</v>
      </c>
      <c r="R236" s="160" t="s">
        <v>91</v>
      </c>
      <c r="S236" s="160" t="s">
        <v>91</v>
      </c>
      <c r="T236" s="131">
        <v>0.28999999999999998</v>
      </c>
      <c r="U236" s="131">
        <v>0.28999999999999998</v>
      </c>
      <c r="V236" s="160" t="s">
        <v>91</v>
      </c>
      <c r="W236" s="160" t="s">
        <v>91</v>
      </c>
      <c r="X236" s="160" t="s">
        <v>91</v>
      </c>
      <c r="Y236" s="160" t="s">
        <v>91</v>
      </c>
      <c r="Z236" s="160" t="s">
        <v>91</v>
      </c>
      <c r="AA236" s="160" t="s">
        <v>91</v>
      </c>
      <c r="AB236" s="160" t="s">
        <v>91</v>
      </c>
      <c r="AC236" s="160" t="s">
        <v>91</v>
      </c>
      <c r="AD236" s="160" t="s">
        <v>91</v>
      </c>
      <c r="AE236" s="160" t="s">
        <v>91</v>
      </c>
      <c r="AF236" s="160" t="s">
        <v>91</v>
      </c>
      <c r="AG236" s="160" t="s">
        <v>91</v>
      </c>
      <c r="AH236" s="160"/>
      <c r="AI236" s="160"/>
      <c r="AJ236" s="160"/>
      <c r="AK236" s="160"/>
      <c r="AL236" s="160"/>
      <c r="AM236" s="160"/>
      <c r="AQ236" s="160" t="s">
        <v>91</v>
      </c>
      <c r="AR236" s="160" t="s">
        <v>91</v>
      </c>
      <c r="AS236" s="160" t="s">
        <v>91</v>
      </c>
      <c r="AT236" s="160" t="s">
        <v>91</v>
      </c>
      <c r="AU236" s="200" t="str">
        <f t="shared" si="1292"/>
        <v>n/a</v>
      </c>
      <c r="AV236" s="200" t="str">
        <f t="shared" si="1293"/>
        <v>n/a</v>
      </c>
      <c r="AW236" s="200" t="str">
        <f t="shared" si="1294"/>
        <v>n/a</v>
      </c>
    </row>
    <row r="237" spans="2:49" x14ac:dyDescent="0.2">
      <c r="B237" s="13"/>
      <c r="H237" s="160"/>
      <c r="I237" s="160"/>
      <c r="J237" s="160"/>
      <c r="K237" s="160"/>
      <c r="L237" s="160"/>
      <c r="M237" s="160"/>
      <c r="N237" s="160"/>
      <c r="O237" s="160"/>
      <c r="P237" s="160"/>
      <c r="Q237" s="160"/>
      <c r="R237" s="160"/>
      <c r="S237" s="160"/>
      <c r="T237" s="131"/>
      <c r="U237" s="131"/>
      <c r="V237" s="160"/>
      <c r="W237" s="160"/>
      <c r="X237" s="160"/>
      <c r="Y237" s="160"/>
      <c r="Z237" s="160"/>
      <c r="AA237" s="160"/>
      <c r="AB237" s="160"/>
      <c r="AC237" s="160"/>
      <c r="AD237" s="160"/>
      <c r="AE237" s="160"/>
      <c r="AF237" s="160"/>
      <c r="AG237" s="160"/>
      <c r="AH237" s="160"/>
      <c r="AI237" s="160"/>
      <c r="AJ237" s="160"/>
      <c r="AK237" s="160"/>
      <c r="AL237" s="160"/>
      <c r="AM237" s="160"/>
      <c r="AR237" s="15"/>
      <c r="AS237" s="15"/>
      <c r="AT237" s="15"/>
      <c r="AU237" s="15"/>
      <c r="AV237" s="15"/>
      <c r="AW237" s="15"/>
    </row>
    <row r="238" spans="2:49" x14ac:dyDescent="0.2">
      <c r="B238" t="s">
        <v>115</v>
      </c>
      <c r="D238" s="117" t="s">
        <v>91</v>
      </c>
      <c r="E238" s="117" t="s">
        <v>91</v>
      </c>
      <c r="F238" s="117" t="s">
        <v>91</v>
      </c>
      <c r="G238" s="117">
        <v>1.276</v>
      </c>
      <c r="H238" s="117" t="s">
        <v>91</v>
      </c>
      <c r="I238" s="117" t="s">
        <v>91</v>
      </c>
      <c r="J238" s="117" t="s">
        <v>91</v>
      </c>
      <c r="K238" s="117">
        <v>1.2669999999999999</v>
      </c>
      <c r="L238" s="117" t="s">
        <v>91</v>
      </c>
      <c r="M238" s="117" t="s">
        <v>91</v>
      </c>
      <c r="N238" s="117" t="s">
        <v>91</v>
      </c>
      <c r="O238" s="117">
        <v>1.202</v>
      </c>
      <c r="P238" s="117" t="s">
        <v>91</v>
      </c>
      <c r="Q238" s="117" t="s">
        <v>91</v>
      </c>
      <c r="R238" s="117" t="s">
        <v>91</v>
      </c>
      <c r="S238" s="117">
        <v>1.1419999999999999</v>
      </c>
      <c r="T238" s="117">
        <v>1.1599999999999999</v>
      </c>
      <c r="U238" s="117">
        <v>1.21</v>
      </c>
      <c r="V238" s="117">
        <v>1.24</v>
      </c>
      <c r="W238" s="117">
        <v>1.26</v>
      </c>
      <c r="X238" s="117">
        <v>1.27</v>
      </c>
      <c r="Y238" s="117">
        <v>1.25</v>
      </c>
      <c r="Z238" s="117">
        <v>1.22</v>
      </c>
      <c r="AA238" s="117">
        <v>1.18</v>
      </c>
      <c r="AB238" s="117">
        <v>1.1599999999999999</v>
      </c>
      <c r="AC238" s="117">
        <v>1.1200000000000001</v>
      </c>
      <c r="AD238" s="117">
        <v>1.0900000000000001</v>
      </c>
      <c r="AE238" s="117">
        <v>1.07</v>
      </c>
      <c r="AF238" s="117">
        <v>1.07</v>
      </c>
      <c r="AG238" s="117">
        <v>1.07</v>
      </c>
      <c r="AQ238" s="118">
        <f>+G238</f>
        <v>1.276</v>
      </c>
      <c r="AR238" s="118">
        <f>+K238</f>
        <v>1.2669999999999999</v>
      </c>
      <c r="AS238" s="118">
        <f>+O238</f>
        <v>1.202</v>
      </c>
      <c r="AT238" s="118">
        <f>+S238</f>
        <v>1.1419999999999999</v>
      </c>
      <c r="AU238" s="118">
        <f>+W238</f>
        <v>1.26</v>
      </c>
      <c r="AV238" s="118">
        <f>+AA238</f>
        <v>1.18</v>
      </c>
      <c r="AW238" s="118">
        <f>+AE238</f>
        <v>1.07</v>
      </c>
    </row>
    <row r="239" spans="2:49" x14ac:dyDescent="0.2">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Q239" s="118"/>
      <c r="AR239" s="118"/>
      <c r="AS239" s="118"/>
      <c r="AT239" s="118"/>
      <c r="AU239" s="118"/>
      <c r="AV239" s="118"/>
      <c r="AW239" s="118"/>
    </row>
    <row r="240" spans="2:49" x14ac:dyDescent="0.2">
      <c r="B240" s="123" t="s">
        <v>364</v>
      </c>
      <c r="D240" s="117" t="s">
        <v>91</v>
      </c>
      <c r="E240" s="117" t="s">
        <v>91</v>
      </c>
      <c r="F240" s="117" t="s">
        <v>91</v>
      </c>
      <c r="G240" s="117" t="s">
        <v>91</v>
      </c>
      <c r="H240" s="117" t="s">
        <v>91</v>
      </c>
      <c r="I240" s="117" t="s">
        <v>91</v>
      </c>
      <c r="J240" s="117" t="s">
        <v>91</v>
      </c>
      <c r="K240" s="117" t="s">
        <v>91</v>
      </c>
      <c r="L240" s="117" t="s">
        <v>91</v>
      </c>
      <c r="M240" s="117" t="s">
        <v>91</v>
      </c>
      <c r="N240" s="117" t="s">
        <v>91</v>
      </c>
      <c r="O240" s="117" t="s">
        <v>91</v>
      </c>
      <c r="P240" s="117" t="s">
        <v>91</v>
      </c>
      <c r="Q240" s="117" t="s">
        <v>91</v>
      </c>
      <c r="R240" s="117" t="s">
        <v>91</v>
      </c>
      <c r="S240" s="117" t="s">
        <v>91</v>
      </c>
      <c r="T240" s="117" t="s">
        <v>91</v>
      </c>
      <c r="U240" s="117" t="s">
        <v>91</v>
      </c>
      <c r="V240" s="285">
        <v>0.75</v>
      </c>
      <c r="W240" s="285">
        <v>0.75</v>
      </c>
      <c r="X240" s="117" t="s">
        <v>91</v>
      </c>
      <c r="Y240" s="285">
        <v>0.8</v>
      </c>
      <c r="Z240" s="117" t="s">
        <v>91</v>
      </c>
      <c r="AA240" s="285">
        <v>0.5</v>
      </c>
      <c r="AB240" s="285">
        <v>0.45</v>
      </c>
      <c r="AC240" s="285">
        <v>0.34</v>
      </c>
      <c r="AD240" s="285">
        <v>0.2</v>
      </c>
      <c r="AE240" s="285">
        <v>0.3</v>
      </c>
      <c r="AF240" s="117">
        <v>0.32</v>
      </c>
      <c r="AG240" s="117">
        <v>0.37</v>
      </c>
      <c r="AQ240" s="146" t="str">
        <f>+G240</f>
        <v>n/a</v>
      </c>
      <c r="AR240" s="146" t="str">
        <f>+K240</f>
        <v>n/a</v>
      </c>
      <c r="AS240" s="146" t="str">
        <f>+O240</f>
        <v>n/a</v>
      </c>
      <c r="AT240" s="146" t="str">
        <f>+S240</f>
        <v>n/a</v>
      </c>
      <c r="AU240" s="146">
        <f>+W240</f>
        <v>0.75</v>
      </c>
      <c r="AV240" s="146">
        <f>+AA240</f>
        <v>0.5</v>
      </c>
      <c r="AW240" s="146">
        <f>+AE240</f>
        <v>0.3</v>
      </c>
    </row>
    <row r="241" spans="1:52" x14ac:dyDescent="0.2">
      <c r="B241" s="123"/>
      <c r="D241" s="117"/>
      <c r="E241" s="117"/>
      <c r="F241" s="117"/>
      <c r="G241" s="117"/>
      <c r="H241" s="117"/>
      <c r="I241" s="117"/>
      <c r="J241" s="117"/>
      <c r="K241" s="117"/>
      <c r="L241" s="117"/>
      <c r="M241" s="117"/>
      <c r="N241" s="117"/>
      <c r="O241" s="117"/>
      <c r="P241" s="117"/>
      <c r="Q241" s="117"/>
      <c r="R241" s="117"/>
      <c r="S241" s="117"/>
      <c r="T241" s="117"/>
      <c r="U241" s="117"/>
      <c r="V241" s="285"/>
      <c r="W241" s="285"/>
      <c r="X241" s="117"/>
      <c r="Y241" s="285"/>
      <c r="Z241" s="117"/>
      <c r="AA241" s="285"/>
      <c r="AB241" s="285"/>
      <c r="AC241" s="285"/>
      <c r="AD241" s="285"/>
      <c r="AE241" s="285"/>
      <c r="AF241" s="117"/>
      <c r="AG241" s="117"/>
      <c r="AQ241" s="146"/>
      <c r="AR241" s="146"/>
      <c r="AS241" s="146"/>
      <c r="AT241" s="146"/>
      <c r="AU241" s="146"/>
      <c r="AV241" s="146"/>
      <c r="AW241" s="146"/>
    </row>
    <row r="242" spans="1:52" x14ac:dyDescent="0.2">
      <c r="B242" t="s">
        <v>363</v>
      </c>
      <c r="D242" s="282" t="s">
        <v>91</v>
      </c>
      <c r="E242" s="282" t="s">
        <v>91</v>
      </c>
      <c r="F242" s="282" t="s">
        <v>91</v>
      </c>
      <c r="G242" s="282" t="s">
        <v>91</v>
      </c>
      <c r="H242" s="282" t="s">
        <v>91</v>
      </c>
      <c r="I242" s="282" t="s">
        <v>91</v>
      </c>
      <c r="J242" s="282" t="s">
        <v>91</v>
      </c>
      <c r="K242" s="282" t="s">
        <v>91</v>
      </c>
      <c r="L242" s="282" t="s">
        <v>91</v>
      </c>
      <c r="M242" s="282" t="s">
        <v>91</v>
      </c>
      <c r="N242" s="282" t="s">
        <v>91</v>
      </c>
      <c r="O242" s="282" t="s">
        <v>91</v>
      </c>
      <c r="P242" s="282" t="s">
        <v>91</v>
      </c>
      <c r="Q242" s="282" t="s">
        <v>91</v>
      </c>
      <c r="R242" s="282" t="s">
        <v>91</v>
      </c>
      <c r="S242" s="282" t="s">
        <v>91</v>
      </c>
      <c r="T242" s="282" t="s">
        <v>91</v>
      </c>
      <c r="U242" s="282" t="s">
        <v>91</v>
      </c>
      <c r="V242" s="282" t="s">
        <v>91</v>
      </c>
      <c r="W242" s="281">
        <f>+AU242</f>
        <v>0.53384615384615375</v>
      </c>
      <c r="X242" s="281">
        <f>+AB242/(1+AB243)</f>
        <v>0.65073529411764708</v>
      </c>
      <c r="Y242" s="281">
        <f t="shared" ref="Y242:AA242" si="1295">+AC242/(1+AC243)</f>
        <v>0.70444444444444432</v>
      </c>
      <c r="Z242" s="281">
        <f t="shared" si="1295"/>
        <v>0.78959999999999997</v>
      </c>
      <c r="AA242" s="281">
        <f t="shared" si="1295"/>
        <v>0.80076923076923068</v>
      </c>
      <c r="AB242" s="280">
        <v>0.88500000000000001</v>
      </c>
      <c r="AC242" s="280">
        <v>0.95099999999999996</v>
      </c>
      <c r="AD242" s="280">
        <v>0.98699999999999999</v>
      </c>
      <c r="AE242" s="280">
        <v>1.0409999999999999</v>
      </c>
      <c r="AF242" s="280">
        <v>1.125</v>
      </c>
      <c r="AG242" s="280">
        <v>1.1000000000000001</v>
      </c>
      <c r="AQ242" s="283" t="str">
        <f>+G242</f>
        <v>n/a</v>
      </c>
      <c r="AR242" s="283" t="str">
        <f>+K242</f>
        <v>n/a</v>
      </c>
      <c r="AS242" s="283" t="str">
        <f>+O242</f>
        <v>n/a</v>
      </c>
      <c r="AT242" s="283" t="str">
        <f>+S242</f>
        <v>n/a</v>
      </c>
      <c r="AU242" s="281">
        <f>+AV242/(1+AV243)</f>
        <v>0.53384615384615375</v>
      </c>
      <c r="AV242" s="281">
        <f>+AA242</f>
        <v>0.80076923076923068</v>
      </c>
      <c r="AW242" s="281">
        <f>+AE242</f>
        <v>1.0409999999999999</v>
      </c>
    </row>
    <row r="243" spans="1:52" x14ac:dyDescent="0.2">
      <c r="B243" s="13" t="s">
        <v>18</v>
      </c>
      <c r="C243" s="200"/>
      <c r="D243" s="200" t="str">
        <f>+IFERROR(D242/#REF!-1,"n/a")</f>
        <v>n/a</v>
      </c>
      <c r="E243" s="200" t="str">
        <f t="shared" ref="E243:Z245" si="1296">+IFERROR(E242/A242-1,"n/a")</f>
        <v>n/a</v>
      </c>
      <c r="F243" s="200" t="str">
        <f t="shared" si="1296"/>
        <v>n/a</v>
      </c>
      <c r="G243" s="200" t="str">
        <f t="shared" si="1296"/>
        <v>n/a</v>
      </c>
      <c r="H243" s="200" t="str">
        <f t="shared" si="1296"/>
        <v>n/a</v>
      </c>
      <c r="I243" s="200" t="str">
        <f t="shared" si="1296"/>
        <v>n/a</v>
      </c>
      <c r="J243" s="200" t="str">
        <f t="shared" si="1296"/>
        <v>n/a</v>
      </c>
      <c r="K243" s="200" t="str">
        <f t="shared" si="1296"/>
        <v>n/a</v>
      </c>
      <c r="L243" s="200" t="str">
        <f t="shared" si="1296"/>
        <v>n/a</v>
      </c>
      <c r="M243" s="200" t="str">
        <f t="shared" si="1296"/>
        <v>n/a</v>
      </c>
      <c r="N243" s="200" t="str">
        <f t="shared" si="1296"/>
        <v>n/a</v>
      </c>
      <c r="O243" s="200" t="str">
        <f t="shared" si="1296"/>
        <v>n/a</v>
      </c>
      <c r="P243" s="200" t="str">
        <f t="shared" si="1296"/>
        <v>n/a</v>
      </c>
      <c r="Q243" s="200" t="str">
        <f t="shared" si="1296"/>
        <v>n/a</v>
      </c>
      <c r="R243" s="200" t="str">
        <f t="shared" si="1296"/>
        <v>n/a</v>
      </c>
      <c r="S243" s="200" t="str">
        <f t="shared" si="1296"/>
        <v>n/a</v>
      </c>
      <c r="T243" s="200" t="str">
        <f t="shared" si="1296"/>
        <v>n/a</v>
      </c>
      <c r="U243" s="200" t="str">
        <f t="shared" si="1296"/>
        <v>n/a</v>
      </c>
      <c r="V243" s="200" t="str">
        <f t="shared" si="1296"/>
        <v>n/a</v>
      </c>
      <c r="W243" s="200" t="str">
        <f t="shared" si="1296"/>
        <v>n/a</v>
      </c>
      <c r="X243" s="200" t="str">
        <f t="shared" si="1296"/>
        <v>n/a</v>
      </c>
      <c r="Y243" s="200" t="str">
        <f t="shared" si="1296"/>
        <v>n/a</v>
      </c>
      <c r="Z243" s="200" t="str">
        <f t="shared" si="1296"/>
        <v>n/a</v>
      </c>
      <c r="AA243" s="200">
        <f>+IFERROR(AA242/W242-1,"n/a")</f>
        <v>0.5</v>
      </c>
      <c r="AB243" s="160">
        <v>0.36</v>
      </c>
      <c r="AC243" s="160">
        <v>0.35</v>
      </c>
      <c r="AD243" s="160">
        <v>0.25</v>
      </c>
      <c r="AE243" s="160">
        <v>0.3</v>
      </c>
      <c r="AF243" s="160">
        <v>0.27</v>
      </c>
      <c r="AG243" s="160" t="s">
        <v>91</v>
      </c>
      <c r="AQ243" s="118"/>
      <c r="AR243" s="200" t="str">
        <f t="shared" ref="AR243:AU243" si="1297">+IFERROR(AR242/AQ242-1,"n/a")</f>
        <v>n/a</v>
      </c>
      <c r="AS243" s="200" t="str">
        <f t="shared" si="1297"/>
        <v>n/a</v>
      </c>
      <c r="AT243" s="200" t="str">
        <f t="shared" si="1297"/>
        <v>n/a</v>
      </c>
      <c r="AU243" s="200" t="str">
        <f t="shared" si="1297"/>
        <v>n/a</v>
      </c>
      <c r="AV243" s="160">
        <v>0.5</v>
      </c>
      <c r="AW243" s="200">
        <f>+IFERROR(AW242/AV242-1,"n/a")</f>
        <v>0.30000000000000004</v>
      </c>
    </row>
    <row r="244" spans="1:52" x14ac:dyDescent="0.2">
      <c r="B244" s="13" t="s">
        <v>117</v>
      </c>
      <c r="C244" s="200"/>
      <c r="D244" s="200"/>
      <c r="E244" s="200"/>
      <c r="F244" s="200"/>
      <c r="G244" s="200"/>
      <c r="H244" s="200"/>
      <c r="I244" s="200"/>
      <c r="J244" s="200"/>
      <c r="K244" s="200"/>
      <c r="L244" s="240" t="str">
        <f t="shared" ref="L244:AE244" si="1298">+IFERROR(L242-K242,"n/a")</f>
        <v>n/a</v>
      </c>
      <c r="M244" s="240" t="str">
        <f t="shared" si="1298"/>
        <v>n/a</v>
      </c>
      <c r="N244" s="240" t="str">
        <f t="shared" si="1298"/>
        <v>n/a</v>
      </c>
      <c r="O244" s="240" t="str">
        <f t="shared" si="1298"/>
        <v>n/a</v>
      </c>
      <c r="P244" s="240" t="str">
        <f t="shared" si="1298"/>
        <v>n/a</v>
      </c>
      <c r="Q244" s="240" t="str">
        <f t="shared" si="1298"/>
        <v>n/a</v>
      </c>
      <c r="R244" s="240" t="str">
        <f t="shared" si="1298"/>
        <v>n/a</v>
      </c>
      <c r="S244" s="240" t="str">
        <f t="shared" si="1298"/>
        <v>n/a</v>
      </c>
      <c r="T244" s="240" t="str">
        <f t="shared" si="1298"/>
        <v>n/a</v>
      </c>
      <c r="U244" s="240" t="str">
        <f t="shared" si="1298"/>
        <v>n/a</v>
      </c>
      <c r="V244" s="240" t="str">
        <f t="shared" si="1298"/>
        <v>n/a</v>
      </c>
      <c r="W244" s="240" t="str">
        <f t="shared" si="1298"/>
        <v>n/a</v>
      </c>
      <c r="X244" s="240">
        <f t="shared" si="1298"/>
        <v>0.11688914027149333</v>
      </c>
      <c r="Y244" s="240">
        <f t="shared" si="1298"/>
        <v>5.3709150326797239E-2</v>
      </c>
      <c r="Z244" s="240">
        <f t="shared" si="1298"/>
        <v>8.5155555555555651E-2</v>
      </c>
      <c r="AA244" s="240">
        <f t="shared" si="1298"/>
        <v>1.1169230769230709E-2</v>
      </c>
      <c r="AB244" s="240">
        <f t="shared" si="1298"/>
        <v>8.4230769230769331E-2</v>
      </c>
      <c r="AC244" s="240">
        <f t="shared" si="1298"/>
        <v>6.5999999999999948E-2</v>
      </c>
      <c r="AD244" s="240">
        <f t="shared" si="1298"/>
        <v>3.6000000000000032E-2</v>
      </c>
      <c r="AE244" s="240">
        <f t="shared" si="1298"/>
        <v>5.3999999999999937E-2</v>
      </c>
      <c r="AF244" s="240">
        <f>+IFERROR(AF242-AE242,"n/a")</f>
        <v>8.4000000000000075E-2</v>
      </c>
      <c r="AG244" s="240">
        <f>+IFERROR(AG242-AF242,"n/a")</f>
        <v>-2.4999999999999911E-2</v>
      </c>
      <c r="AQ244" s="118"/>
      <c r="AR244" s="240" t="str">
        <f t="shared" ref="AR244:AV244" si="1299">+IFERROR(AR242-AQ242,"n/a")</f>
        <v>n/a</v>
      </c>
      <c r="AS244" s="240" t="str">
        <f t="shared" si="1299"/>
        <v>n/a</v>
      </c>
      <c r="AT244" s="240" t="str">
        <f t="shared" si="1299"/>
        <v>n/a</v>
      </c>
      <c r="AU244" s="240" t="str">
        <f t="shared" si="1299"/>
        <v>n/a</v>
      </c>
      <c r="AV244" s="240">
        <f t="shared" si="1299"/>
        <v>0.26692307692307693</v>
      </c>
      <c r="AW244" s="240">
        <f>+IFERROR(AW242-AV242,"n/a")</f>
        <v>0.24023076923076925</v>
      </c>
    </row>
    <row r="245" spans="1:52" x14ac:dyDescent="0.2">
      <c r="B245" s="20" t="s">
        <v>18</v>
      </c>
      <c r="D245" s="117"/>
      <c r="E245" s="117"/>
      <c r="F245" s="117"/>
      <c r="G245" s="117"/>
      <c r="H245" s="117"/>
      <c r="I245" s="117"/>
      <c r="J245" s="117"/>
      <c r="K245" s="117"/>
      <c r="L245" s="200" t="str">
        <f t="shared" si="1296"/>
        <v>n/a</v>
      </c>
      <c r="M245" s="200" t="str">
        <f t="shared" ref="M245" si="1300">+IFERROR(M244/I244-1,"n/a")</f>
        <v>n/a</v>
      </c>
      <c r="N245" s="200" t="str">
        <f t="shared" ref="N245" si="1301">+IFERROR(N244/J244-1,"n/a")</f>
        <v>n/a</v>
      </c>
      <c r="O245" s="200" t="str">
        <f t="shared" ref="O245" si="1302">+IFERROR(O244/K244-1,"n/a")</f>
        <v>n/a</v>
      </c>
      <c r="P245" s="200" t="str">
        <f t="shared" ref="P245" si="1303">+IFERROR(P244/L244-1,"n/a")</f>
        <v>n/a</v>
      </c>
      <c r="Q245" s="200" t="str">
        <f t="shared" ref="Q245" si="1304">+IFERROR(Q244/M244-1,"n/a")</f>
        <v>n/a</v>
      </c>
      <c r="R245" s="200" t="str">
        <f t="shared" ref="R245" si="1305">+IFERROR(R244/N244-1,"n/a")</f>
        <v>n/a</v>
      </c>
      <c r="S245" s="200" t="str">
        <f t="shared" ref="S245" si="1306">+IFERROR(S244/O244-1,"n/a")</f>
        <v>n/a</v>
      </c>
      <c r="T245" s="200" t="str">
        <f t="shared" ref="T245" si="1307">+IFERROR(T244/P244-1,"n/a")</f>
        <v>n/a</v>
      </c>
      <c r="U245" s="200" t="str">
        <f t="shared" ref="U245" si="1308">+IFERROR(U244/Q244-1,"n/a")</f>
        <v>n/a</v>
      </c>
      <c r="V245" s="200" t="str">
        <f t="shared" ref="V245" si="1309">+IFERROR(V244/R244-1,"n/a")</f>
        <v>n/a</v>
      </c>
      <c r="W245" s="200" t="str">
        <f t="shared" ref="W245" si="1310">+IFERROR(W244/S244-1,"n/a")</f>
        <v>n/a</v>
      </c>
      <c r="X245" s="200" t="str">
        <f t="shared" ref="X245" si="1311">+IFERROR(X244/T244-1,"n/a")</f>
        <v>n/a</v>
      </c>
      <c r="Y245" s="200" t="str">
        <f t="shared" ref="Y245" si="1312">+IFERROR(Y244/U244-1,"n/a")</f>
        <v>n/a</v>
      </c>
      <c r="Z245" s="200" t="str">
        <f t="shared" ref="Z245" si="1313">+IFERROR(Z244/V244-1,"n/a")</f>
        <v>n/a</v>
      </c>
      <c r="AA245" s="200" t="str">
        <f t="shared" ref="AA245" si="1314">+IFERROR(AA244/W244-1,"n/a")</f>
        <v>n/a</v>
      </c>
      <c r="AB245" s="200">
        <f t="shared" ref="AB245" si="1315">+IFERROR(AB244/X244-1,"n/a")</f>
        <v>-0.27939610955192085</v>
      </c>
      <c r="AC245" s="200">
        <f t="shared" ref="AC245" si="1316">+IFERROR(AC244/Y244-1,"n/a")</f>
        <v>0.22884088834804017</v>
      </c>
      <c r="AD245" s="200">
        <f t="shared" ref="AD245" si="1317">+IFERROR(AD244/Z244-1,"n/a")</f>
        <v>-0.57724425887265141</v>
      </c>
      <c r="AE245" s="200">
        <f t="shared" ref="AE245" si="1318">+IFERROR(AE244/AA244-1,"n/a")</f>
        <v>3.834710743801673</v>
      </c>
      <c r="AF245" s="200">
        <f t="shared" ref="AF245:AG245" si="1319">+IFERROR(AF244/AB244-1,"n/a")</f>
        <v>-2.7397260273975821E-3</v>
      </c>
      <c r="AG245" s="200">
        <f t="shared" si="1319"/>
        <v>-1.3787878787878778</v>
      </c>
      <c r="AQ245" s="118"/>
      <c r="AR245" s="118"/>
      <c r="AS245" s="200" t="str">
        <f t="shared" ref="AS245:AW245" si="1320">+IFERROR(AS244/AR244-1,"n/a")</f>
        <v>n/a</v>
      </c>
      <c r="AT245" s="200" t="str">
        <f t="shared" si="1320"/>
        <v>n/a</v>
      </c>
      <c r="AU245" s="200" t="str">
        <f t="shared" si="1320"/>
        <v>n/a</v>
      </c>
      <c r="AV245" s="200" t="str">
        <f t="shared" si="1320"/>
        <v>n/a</v>
      </c>
      <c r="AW245" s="200">
        <f t="shared" si="1320"/>
        <v>-9.9999999999999978E-2</v>
      </c>
    </row>
    <row r="246" spans="1:52" x14ac:dyDescent="0.2">
      <c r="B246" s="13"/>
      <c r="D246" s="117"/>
      <c r="E246" s="117"/>
      <c r="F246" s="117"/>
      <c r="G246" s="117"/>
      <c r="H246" s="117"/>
      <c r="I246" s="117"/>
      <c r="J246" s="117"/>
      <c r="K246" s="117"/>
      <c r="L246" s="117"/>
      <c r="M246" s="117"/>
      <c r="N246" s="117"/>
      <c r="O246" s="117"/>
      <c r="P246" s="117"/>
      <c r="Q246" s="117"/>
      <c r="R246" s="117"/>
      <c r="S246" s="117"/>
      <c r="T246" s="117"/>
      <c r="U246" s="117"/>
      <c r="V246" s="117"/>
      <c r="AQ246" s="118"/>
      <c r="AR246" s="118"/>
      <c r="AS246" s="118"/>
      <c r="AT246" s="118"/>
    </row>
    <row r="247" spans="1:52" s="149" customFormat="1" x14ac:dyDescent="0.2">
      <c r="A247" s="161"/>
      <c r="B247" s="162" t="s">
        <v>177</v>
      </c>
      <c r="D247" s="163"/>
      <c r="E247" s="163"/>
      <c r="F247" s="163"/>
      <c r="G247" s="163"/>
      <c r="H247" s="163"/>
      <c r="I247" s="163"/>
      <c r="J247" s="163"/>
      <c r="K247" s="163"/>
      <c r="L247" s="163"/>
      <c r="M247" s="163"/>
      <c r="N247" s="163"/>
      <c r="O247" s="163"/>
      <c r="P247" s="163"/>
      <c r="Q247" s="163"/>
      <c r="R247" s="163"/>
      <c r="S247" s="163"/>
      <c r="T247" s="163"/>
      <c r="U247" s="163"/>
      <c r="V247" s="163"/>
      <c r="AQ247" s="164"/>
      <c r="AR247" s="164"/>
      <c r="AS247" s="164"/>
      <c r="AT247" s="164"/>
    </row>
    <row r="248" spans="1:52" x14ac:dyDescent="0.2">
      <c r="B248" s="122" t="s">
        <v>213</v>
      </c>
      <c r="AQ248" s="120"/>
      <c r="AR248" s="120"/>
      <c r="AS248" s="120"/>
      <c r="AT248" s="120"/>
    </row>
    <row r="249" spans="1:52" x14ac:dyDescent="0.2">
      <c r="B249" s="122"/>
      <c r="AQ249" s="120"/>
      <c r="AR249" s="120"/>
      <c r="AS249" s="120"/>
      <c r="AT249" s="120"/>
    </row>
    <row r="250" spans="1:52" x14ac:dyDescent="0.2">
      <c r="B250" s="216" t="s">
        <v>252</v>
      </c>
      <c r="C250" s="8"/>
      <c r="AQ250" s="120"/>
      <c r="AR250" s="120"/>
      <c r="AS250" s="120"/>
      <c r="AT250" s="120"/>
    </row>
    <row r="251" spans="1:52" x14ac:dyDescent="0.2">
      <c r="B251" s="122"/>
      <c r="AQ251" s="120"/>
      <c r="AR251" s="120"/>
      <c r="AS251" s="120"/>
      <c r="AT251" s="120"/>
    </row>
    <row r="252" spans="1:52" x14ac:dyDescent="0.2">
      <c r="B252" s="25" t="s">
        <v>253</v>
      </c>
      <c r="AQ252" s="120"/>
      <c r="AR252" s="120"/>
      <c r="AS252" s="120"/>
      <c r="AT252" s="120"/>
    </row>
    <row r="253" spans="1:52" x14ac:dyDescent="0.2">
      <c r="A253" t="s">
        <v>258</v>
      </c>
      <c r="B253" t="s">
        <v>255</v>
      </c>
      <c r="D253" s="217" cm="1">
        <f t="array" ref="D253">_xll.ciqfunctions.udf.CIQAVG("$"&amp;$A253,"IQ_LASTSALEPRICE",D$7,D$8)</f>
        <v>1.0655809999999999</v>
      </c>
      <c r="E253" s="217" cm="1">
        <f t="array" ref="E253">_xll.ciqfunctions.udf.CIQAVG("$"&amp;$A253,"IQ_LASTSALEPRICE",E$7,E$8)</f>
        <v>1.100144</v>
      </c>
      <c r="F253" s="217" cm="1">
        <f t="array" ref="F253">_xll.ciqfunctions.udf.CIQAVG("$"&amp;$A253,"IQ_LASTSALEPRICE",F$7,F$8)</f>
        <v>1.174865</v>
      </c>
      <c r="G253" s="217" cm="1">
        <f t="array" ref="G253">_xll.ciqfunctions.udf.CIQAVG("$"&amp;$A253,"IQ_LASTSALEPRICE",G$7,G$8)</f>
        <v>1.1780930000000001</v>
      </c>
      <c r="H253" s="217" cm="1">
        <f t="array" ref="H253">_xll.ciqfunctions.udf.CIQAVG("$"&amp;$A253,"IQ_LASTSALEPRICE",H$7,H$8)</f>
        <v>1.2289209999999999</v>
      </c>
      <c r="I253" s="217" cm="1">
        <f t="array" ref="I253">_xll.ciqfunctions.udf.CIQAVG("$"&amp;$A253,"IQ_LASTSALEPRICE",I$7,I$8)</f>
        <v>1.1917070000000001</v>
      </c>
      <c r="J253" s="217" cm="1">
        <f t="array" ref="J253">_xll.ciqfunctions.udf.CIQAVG("$"&amp;$A253,"IQ_LASTSALEPRICE",J$7,J$8)</f>
        <v>1.162774</v>
      </c>
      <c r="K253" s="217" cm="1">
        <f t="array" ref="K253">_xll.ciqfunctions.udf.CIQAVG("$"&amp;$A253,"IQ_LASTSALEPRICE",K$7,K$8)</f>
        <v>1.1409830000000001</v>
      </c>
      <c r="L253" s="217" cm="1">
        <f t="array" ref="L253">_xll.ciqfunctions.udf.CIQAVG("$"&amp;$A253,"IQ_LASTSALEPRICE",L$7,L$8)</f>
        <v>1.135526</v>
      </c>
      <c r="M253" s="217" cm="1">
        <f t="array" ref="M253">_xll.ciqfunctions.udf.CIQAVG("$"&amp;$A253,"IQ_LASTSALEPRICE",M$7,M$8)</f>
        <v>1.123834</v>
      </c>
      <c r="N253" s="217" cm="1">
        <f t="array" ref="N253">_xll.ciqfunctions.udf.CIQAVG("$"&amp;$A253,"IQ_LASTSALEPRICE",N$7,N$8)</f>
        <v>1.111772</v>
      </c>
      <c r="O253" s="217" cm="1">
        <f t="array" ref="O253">_xll.ciqfunctions.udf.CIQAVG("$"&amp;$A253,"IQ_LASTSALEPRICE",O$7,O$8)</f>
        <v>1.1073040000000001</v>
      </c>
      <c r="P253" s="217" cm="1">
        <f t="array" ref="P253">_xll.ciqfunctions.udf.CIQAVG("$"&amp;$A253,"IQ_LASTSALEPRICE",P$7,P$8)</f>
        <v>1.1023259999999999</v>
      </c>
      <c r="Q253" s="217" cm="1">
        <f t="array" ref="Q253">_xll.ciqfunctions.udf.CIQAVG("$"&amp;$A253,"IQ_LASTSALEPRICE",Q$7,Q$8)</f>
        <v>1.1012489999999999</v>
      </c>
      <c r="R253" s="217" cm="1">
        <f t="array" ref="R253">_xll.ciqfunctions.udf.CIQAVG("$"&amp;$A253,"IQ_LASTSALEPRICE",R$7,R$8)</f>
        <v>1.1689309999999999</v>
      </c>
      <c r="S253" s="217" cm="1">
        <f t="array" ref="S253">_xll.ciqfunctions.udf.CIQAVG("$"&amp;$A253,"IQ_LASTSALEPRICE",S$7,S$8)</f>
        <v>1.1926270000000001</v>
      </c>
      <c r="T253" s="217" cm="1">
        <f t="array" ref="T253">_xll.ciqfunctions.udf.CIQAVG("$"&amp;$A253,"IQ_LASTSALEPRICE",T$7,T$8)</f>
        <v>1.2052579999999999</v>
      </c>
      <c r="U253" s="217" cm="1">
        <f t="array" ref="U253">_xll.ciqfunctions.udf.CIQAVG("$"&amp;$A253,"IQ_LASTSALEPRICE",U$7,U$8)</f>
        <v>1.2047159999999999</v>
      </c>
      <c r="V253" s="217" cm="1">
        <f t="array" ref="V253">_xll.ciqfunctions.udf.CIQAVG("$"&amp;$A253,"IQ_LASTSALEPRICE",V$7,V$8)</f>
        <v>1.178931</v>
      </c>
      <c r="W253" s="217" cm="1">
        <f t="array" ref="W253">_xll.ciqfunctions.udf.CIQAVG("$"&amp;$A253,"IQ_LASTSALEPRICE",W$7,W$8)</f>
        <v>1.1436310000000001</v>
      </c>
      <c r="X253" s="217" cm="1">
        <f t="array" ref="X253">_xll.ciqfunctions.udf.CIQAVG("$"&amp;$A253,"IQ_LASTSALEPRICE",X$7,X$8)</f>
        <v>1.122368</v>
      </c>
      <c r="Y253" s="217" cm="1">
        <f t="array" ref="Y253">_xll.ciqfunctions.udf.CIQAVG("$"&amp;$A253,"IQ_LASTSALEPRICE",Y$7,Y$8)</f>
        <v>1.0650839999999999</v>
      </c>
      <c r="Z253" s="217" cm="1">
        <f t="array" ref="Z253">_xll.ciqfunctions.udf.CIQAVG("$"&amp;$A253,"IQ_LASTSALEPRICE",Z$7,Z$8)</f>
        <v>1.0079750000000001</v>
      </c>
      <c r="AA253" s="217" cm="1">
        <f t="array" ref="AA253">_xll.ciqfunctions.udf.CIQAVG("$"&amp;$A253,"IQ_LASTSALEPRICE",AA$7,AA$8)</f>
        <v>1.021307</v>
      </c>
      <c r="AB253" s="217" cm="1">
        <f t="array" ref="AB253">_xll.ciqfunctions.udf.CIQAVG("$"&amp;$A253,"IQ_LASTSALEPRICE",AB$7,AB$8)</f>
        <v>1.0724499999999999</v>
      </c>
      <c r="AC253" s="217" cm="1">
        <f t="array" ref="AC253">_xll.ciqfunctions.udf.CIQAVG("$"&amp;$A253,"IQ_LASTSALEPRICE",AC$7,AC$8)</f>
        <v>1.088495</v>
      </c>
      <c r="AD253" s="217" cm="1">
        <f t="array" ref="AD253">_xll.ciqfunctions.udf.CIQAVG("$"&amp;$A253,"IQ_LASTSALEPRICE",AD$7,AD$8)</f>
        <v>1.088457</v>
      </c>
      <c r="AE253" s="217" cm="1">
        <f t="array" ref="AE253">_xll.ciqfunctions.udf.CIQAVG("$"&amp;$A253,"IQ_LASTSALEPRICE",AE$7,AE$8)</f>
        <v>1.076381</v>
      </c>
      <c r="AF253" s="217" cm="1">
        <f t="array" ref="AF253">_xll.ciqfunctions.udf.CIQAVG("$"&amp;$A253,"IQ_LASTSALEPRICE",AF$7,AF$8)</f>
        <v>1.0855840000000001</v>
      </c>
      <c r="AG253" s="217" cm="1">
        <f t="array" ref="AG253">_xll.ciqfunctions.udf.CIQAVG("$"&amp;$A253,"IQ_LASTSALEPRICE",AG$7,AG$8)</f>
        <v>1.076336</v>
      </c>
      <c r="AH253" s="217" cm="1">
        <f t="array" aca="1" ref="AH253" ca="1">_xll.ciqfunctions.udf.CIQAVG("$"&amp;$A253,"IQ_LASTSALEPRICE",AH$7,AH$8)*($AY$2-AH$7)/(AH$8-AH$7)+_xll.ciqfunctions.udf.CIQ("$"&amp;$A253,"IQ_LASTSALEPRICE")*(1-($AY$2-AH$7)/(AH$8-AH$7))</f>
        <v>1.0310705384615391</v>
      </c>
      <c r="AI253" s="217" cm="1">
        <f t="array" ref="AI253">_xll.ciqfunctions.udf.CIQ("$"&amp;$A253,"IQ_LASTSALEPRICE")</f>
        <v>1.1258729999999999</v>
      </c>
      <c r="AJ253" s="217"/>
      <c r="AK253" s="217"/>
      <c r="AL253" s="217"/>
      <c r="AM253" s="217"/>
      <c r="AO253" s="217" cm="1">
        <f t="array" ref="AO253">_xll.ciqfunctions.udf.CIQAVG("$"&amp;$A253,"IQ_LASTSALEPRICE",AO$7,AO$8)</f>
        <v>1.110257</v>
      </c>
      <c r="AP253" s="217" cm="1">
        <f t="array" ref="AP253">_xll.ciqfunctions.udf.CIQAVG("$"&amp;$A253,"IQ_LASTSALEPRICE",AP$7,AP$8)</f>
        <v>1.1065990000000001</v>
      </c>
      <c r="AQ253" s="217" cm="1">
        <f t="array" ref="AQ253">_xll.ciqfunctions.udf.CIQAVG("$"&amp;$A253,"IQ_LASTSALEPRICE",AQ$7,AQ$8)</f>
        <v>1.1301030000000001</v>
      </c>
      <c r="AR253" s="217" cm="1">
        <f t="array" ref="AR253">_xll.ciqfunctions.udf.CIQAVG("$"&amp;$A253,"IQ_LASTSALEPRICE",AR$7,AR$8)</f>
        <v>1.1808050000000001</v>
      </c>
      <c r="AS253" s="217" cm="1">
        <f t="array" ref="AS253">_xll.ciqfunctions.udf.CIQAVG("$"&amp;$A253,"IQ_LASTSALEPRICE",AS$7,AS$8)</f>
        <v>1.11951</v>
      </c>
      <c r="AT253" s="217" cm="1">
        <f t="array" ref="AT253">_xll.ciqfunctions.udf.CIQAVG("$"&amp;$A253,"IQ_LASTSALEPRICE",AT$7,AT$8)</f>
        <v>1.141499</v>
      </c>
      <c r="AU253" s="217" cm="1">
        <f t="array" ref="AU253">_xll.ciqfunctions.udf.CIQAVG("$"&amp;$A253,"IQ_LASTSALEPRICE",AU$7,AU$8)</f>
        <v>1.1829540000000001</v>
      </c>
      <c r="AV253" s="217" cm="1">
        <f t="array" ref="AV253">_xll.ciqfunctions.udf.CIQAVG("$"&amp;$A253,"IQ_LASTSALEPRICE",AV$7,AV$8)</f>
        <v>1.0537799999999999</v>
      </c>
      <c r="AW253" s="217" cm="1">
        <f t="array" ref="AW253">_xll.ciqfunctions.udf.CIQAVG("$"&amp;$A253,"IQ_LASTSALEPRICE",AW$7,AW$8)</f>
        <v>1.0814760000000001</v>
      </c>
      <c r="AX253" s="16">
        <f ca="1">+AVERAGE(AF253:AI253)</f>
        <v>1.0797158846153847</v>
      </c>
      <c r="AY253" s="16"/>
      <c r="AZ253" s="16"/>
    </row>
    <row r="254" spans="1:52" x14ac:dyDescent="0.2">
      <c r="A254" t="s">
        <v>259</v>
      </c>
      <c r="B254" t="s">
        <v>256</v>
      </c>
      <c r="D254" s="217" cm="1">
        <f t="array" ref="D254">_xll.ciqfunctions.udf.CIQAVG("$"&amp;$A254,"IQ_LASTSALEPRICE",D$7,D$8)</f>
        <v>1.2386539999999999</v>
      </c>
      <c r="E254" s="217" cm="1">
        <f t="array" ref="E254">_xll.ciqfunctions.udf.CIQAVG("$"&amp;$A254,"IQ_LASTSALEPRICE",E$7,E$8)</f>
        <v>1.2790049999999999</v>
      </c>
      <c r="F254" s="217" cm="1">
        <f t="array" ref="F254">_xll.ciqfunctions.udf.CIQAVG("$"&amp;$A254,"IQ_LASTSALEPRICE",F$7,F$8)</f>
        <v>1.308667</v>
      </c>
      <c r="G254" s="217" cm="1">
        <f t="array" ref="G254">_xll.ciqfunctions.udf.CIQAVG("$"&amp;$A254,"IQ_LASTSALEPRICE",G$7,G$8)</f>
        <v>1.327394</v>
      </c>
      <c r="H254" s="217" cm="1">
        <f t="array" ref="H254">_xll.ciqfunctions.udf.CIQAVG("$"&amp;$A254,"IQ_LASTSALEPRICE",H$7,H$8)</f>
        <v>1.391348</v>
      </c>
      <c r="I254" s="217" cm="1">
        <f t="array" ref="I254">_xll.ciqfunctions.udf.CIQAVG("$"&amp;$A254,"IQ_LASTSALEPRICE",I$7,I$8)</f>
        <v>1.360757</v>
      </c>
      <c r="J254" s="217" cm="1">
        <f t="array" ref="J254">_xll.ciqfunctions.udf.CIQAVG("$"&amp;$A254,"IQ_LASTSALEPRICE",J$7,J$8)</f>
        <v>1.3029269999999999</v>
      </c>
      <c r="K254" s="217" cm="1">
        <f t="array" ref="K254">_xll.ciqfunctions.udf.CIQAVG("$"&amp;$A254,"IQ_LASTSALEPRICE",K$7,K$8)</f>
        <v>1.2863020000000001</v>
      </c>
      <c r="L254" s="217" cm="1">
        <f t="array" ref="L254">_xll.ciqfunctions.udf.CIQAVG("$"&amp;$A254,"IQ_LASTSALEPRICE",L$7,L$8)</f>
        <v>1.3020179999999999</v>
      </c>
      <c r="M254" s="217" cm="1">
        <f t="array" ref="M254">_xll.ciqfunctions.udf.CIQAVG("$"&amp;$A254,"IQ_LASTSALEPRICE",M$7,M$8)</f>
        <v>1.2852490000000001</v>
      </c>
      <c r="N254" s="217" cm="1">
        <f t="array" ref="N254">_xll.ciqfunctions.udf.CIQAVG("$"&amp;$A254,"IQ_LASTSALEPRICE",N$7,N$8)</f>
        <v>1.232893</v>
      </c>
      <c r="O254" s="217" cm="1">
        <f t="array" ref="O254">_xll.ciqfunctions.udf.CIQAVG("$"&amp;$A254,"IQ_LASTSALEPRICE",O$7,O$8)</f>
        <v>1.288054</v>
      </c>
      <c r="P254" s="217" cm="1">
        <f t="array" ref="P254">_xll.ciqfunctions.udf.CIQAVG("$"&amp;$A254,"IQ_LASTSALEPRICE",P$7,P$8)</f>
        <v>1.280627</v>
      </c>
      <c r="Q254" s="217" cm="1">
        <f t="array" ref="Q254">_xll.ciqfunctions.udf.CIQAVG("$"&amp;$A254,"IQ_LASTSALEPRICE",Q$7,Q$8)</f>
        <v>1.240966</v>
      </c>
      <c r="R254" s="217" cm="1">
        <f t="array" ref="R254">_xll.ciqfunctions.udf.CIQAVG("$"&amp;$A254,"IQ_LASTSALEPRICE",R$7,R$8)</f>
        <v>1.291714</v>
      </c>
      <c r="S254" s="217" cm="1">
        <f t="array" ref="S254">_xll.ciqfunctions.udf.CIQAVG("$"&amp;$A254,"IQ_LASTSALEPRICE",S$7,S$8)</f>
        <v>1.3210660000000001</v>
      </c>
      <c r="T254" s="217" cm="1">
        <f t="array" ref="T254">_xll.ciqfunctions.udf.CIQAVG("$"&amp;$A254,"IQ_LASTSALEPRICE",T$7,T$8)</f>
        <v>1.37856</v>
      </c>
      <c r="U254" s="217" cm="1">
        <f t="array" ref="U254">_xll.ciqfunctions.udf.CIQAVG("$"&amp;$A254,"IQ_LASTSALEPRICE",U$7,U$8)</f>
        <v>1.3975979999999999</v>
      </c>
      <c r="V254" s="217" cm="1">
        <f t="array" ref="V254">_xll.ciqfunctions.udf.CIQAVG("$"&amp;$A254,"IQ_LASTSALEPRICE",V$7,V$8)</f>
        <v>1.3783209999999999</v>
      </c>
      <c r="W254" s="217" cm="1">
        <f t="array" ref="W254">_xll.ciqfunctions.udf.CIQAVG("$"&amp;$A254,"IQ_LASTSALEPRICE",W$7,W$8)</f>
        <v>1.3480540000000001</v>
      </c>
      <c r="X254" s="217" cm="1">
        <f t="array" ref="X254">_xll.ciqfunctions.udf.CIQAVG("$"&amp;$A254,"IQ_LASTSALEPRICE",X$7,X$8)</f>
        <v>1.3418330000000001</v>
      </c>
      <c r="Y254" s="217" cm="1">
        <f t="array" ref="Y254">_xll.ciqfunctions.udf.CIQAVG("$"&amp;$A254,"IQ_LASTSALEPRICE",Y$7,Y$8)</f>
        <v>1.256637</v>
      </c>
      <c r="Z254" s="217" cm="1">
        <f t="array" ref="Z254">_xll.ciqfunctions.udf.CIQAVG("$"&amp;$A254,"IQ_LASTSALEPRICE",Z$7,Z$8)</f>
        <v>1.1776150000000001</v>
      </c>
      <c r="AA254" s="217" cm="1">
        <f t="array" ref="AA254">_xll.ciqfunctions.udf.CIQAVG("$"&amp;$A254,"IQ_LASTSALEPRICE",AA$7,AA$8)</f>
        <v>1.173848</v>
      </c>
      <c r="AB254" s="217" cm="1">
        <f t="array" ref="AB254">_xll.ciqfunctions.udf.CIQAVG("$"&amp;$A254,"IQ_LASTSALEPRICE",AB$7,AB$8)</f>
        <v>1.2143759999999999</v>
      </c>
      <c r="AC254" s="217" cm="1">
        <f t="array" ref="AC254">_xll.ciqfunctions.udf.CIQAVG("$"&amp;$A254,"IQ_LASTSALEPRICE",AC$7,AC$8)</f>
        <v>1.2517320000000001</v>
      </c>
      <c r="AD254" s="217" cm="1">
        <f t="array" ref="AD254">_xll.ciqfunctions.udf.CIQAVG("$"&amp;$A254,"IQ_LASTSALEPRICE",AD$7,AD$8)</f>
        <v>1.266176</v>
      </c>
      <c r="AE254" s="217" cm="1">
        <f t="array" ref="AE254">_xll.ciqfunctions.udf.CIQAVG("$"&amp;$A254,"IQ_LASTSALEPRICE",AE$7,AE$8)</f>
        <v>1.2419359999999999</v>
      </c>
      <c r="AF254" s="217" cm="1">
        <f t="array" ref="AF254">_xll.ciqfunctions.udf.CIQAVG("$"&amp;$A254,"IQ_LASTSALEPRICE",AF$7,AF$8)</f>
        <v>1.268049</v>
      </c>
      <c r="AG254" s="217" cm="1">
        <f t="array" ref="AG254">_xll.ciqfunctions.udf.CIQAVG("$"&amp;$A254,"IQ_LASTSALEPRICE",AG$7,AG$8)</f>
        <v>1.261501</v>
      </c>
      <c r="AH254" s="217" cm="1">
        <f t="array" aca="1" ref="AH254" ca="1">_xll.ciqfunctions.udf.CIQAVG("$"&amp;$A254,"IQ_LASTSALEPRICE",AH$7,AH$8)*($AY$2-AH$7)/(AH$8-AH$7)+_xll.ciqfunctions.udf.CIQ("$"&amp;$A254,"IQ_LASTSALEPRICE")*(1-($AY$2-AH$7)/(AH$8-AH$7))</f>
        <v>1.2105286923076926</v>
      </c>
      <c r="AI254" s="217" cm="1">
        <f t="array" ref="AI254">_xll.ciqfunctions.udf.CIQ("$"&amp;$A254,"IQ_LASTSALEPRICE")</f>
        <v>1.3365050000000001</v>
      </c>
      <c r="AJ254" s="217"/>
      <c r="AK254" s="217"/>
      <c r="AL254" s="217"/>
      <c r="AM254" s="217"/>
      <c r="AO254" s="217" cm="1">
        <f t="array" ref="AO254">_xll.ciqfunctions.udf.CIQAVG("$"&amp;$A254,"IQ_LASTSALEPRICE",AO$7,AO$8)</f>
        <v>1.5284199999999999</v>
      </c>
      <c r="AP254" s="217" cm="1">
        <f t="array" ref="AP254">_xll.ciqfunctions.udf.CIQAVG("$"&amp;$A254,"IQ_LASTSALEPRICE",AP$7,AP$8)</f>
        <v>1.3550279999999999</v>
      </c>
      <c r="AQ254" s="217" cm="1">
        <f t="array" ref="AQ254">_xll.ciqfunctions.udf.CIQAVG("$"&amp;$A254,"IQ_LASTSALEPRICE",AQ$7,AQ$8)</f>
        <v>1.288729</v>
      </c>
      <c r="AR254" s="217" cm="1">
        <f t="array" ref="AR254">_xll.ciqfunctions.udf.CIQAVG("$"&amp;$A254,"IQ_LASTSALEPRICE",AR$7,AR$8)</f>
        <v>1.3349569999999999</v>
      </c>
      <c r="AS254" s="217" cm="1">
        <f t="array" ref="AS254">_xll.ciqfunctions.udf.CIQAVG("$"&amp;$A254,"IQ_LASTSALEPRICE",AS$7,AS$8)</f>
        <v>1.276894</v>
      </c>
      <c r="AT254" s="217" cm="1">
        <f t="array" ref="AT254">_xll.ciqfunctions.udf.CIQAVG("$"&amp;$A254,"IQ_LASTSALEPRICE",AT$7,AT$8)</f>
        <v>1.2837179999999999</v>
      </c>
      <c r="AU254" s="217" cm="1">
        <f t="array" ref="AU254">_xll.ciqfunctions.udf.CIQAVG("$"&amp;$A254,"IQ_LASTSALEPRICE",AU$7,AU$8)</f>
        <v>1.3755569999999999</v>
      </c>
      <c r="AV254" s="217" cm="1">
        <f t="array" ref="AV254">_xll.ciqfunctions.udf.CIQAVG("$"&amp;$A254,"IQ_LASTSALEPRICE",AV$7,AV$8)</f>
        <v>1.2368589999999999</v>
      </c>
      <c r="AW254" s="217" cm="1">
        <f t="array" ref="AW254">_xll.ciqfunctions.udf.CIQAVG("$"&amp;$A254,"IQ_LASTSALEPRICE",AW$7,AW$8)</f>
        <v>1.243692</v>
      </c>
      <c r="AX254" s="16">
        <f t="shared" ref="AX254:AX257" ca="1" si="1321">+AVERAGE(AF254:AI254)</f>
        <v>1.2691459230769231</v>
      </c>
      <c r="AY254" s="16"/>
      <c r="AZ254" s="16"/>
    </row>
    <row r="255" spans="1:52" x14ac:dyDescent="0.2">
      <c r="A255" t="s">
        <v>262</v>
      </c>
      <c r="B255" t="s">
        <v>263</v>
      </c>
      <c r="D255" s="217" cm="1">
        <f t="array" ref="D255">_xll.ciqfunctions.udf.CIQAVG("$"&amp;$A255,"IQ_LASTSALEPRICE",D$7,D$8)</f>
        <v>8.796E-3</v>
      </c>
      <c r="E255" s="217" cm="1">
        <f t="array" ref="E255">_xll.ciqfunctions.udf.CIQAVG("$"&amp;$A255,"IQ_LASTSALEPRICE",E$7,E$8)</f>
        <v>9.0039999999999999E-3</v>
      </c>
      <c r="F255" s="217" cm="1">
        <f t="array" ref="F255">_xll.ciqfunctions.udf.CIQAVG("$"&amp;$A255,"IQ_LASTSALEPRICE",F$7,F$8)</f>
        <v>9.0170000000000007E-3</v>
      </c>
      <c r="G255" s="217" cm="1">
        <f t="array" ref="G255">_xll.ciqfunctions.udf.CIQAVG("$"&amp;$A255,"IQ_LASTSALEPRICE",G$7,G$8)</f>
        <v>8.8599999999999998E-3</v>
      </c>
      <c r="H255" s="217" cm="1">
        <f t="array" ref="H255">_xll.ciqfunctions.udf.CIQAVG("$"&amp;$A255,"IQ_LASTSALEPRICE",H$7,H$8)</f>
        <v>9.2390000000000007E-3</v>
      </c>
      <c r="I255" s="217" cm="1">
        <f t="array" ref="I255">_xll.ciqfunctions.udf.CIQAVG("$"&amp;$A255,"IQ_LASTSALEPRICE",I$7,I$8)</f>
        <v>9.1640000000000003E-3</v>
      </c>
      <c r="J255" s="217" cm="1">
        <f t="array" ref="J255">_xll.ciqfunctions.udf.CIQAVG("$"&amp;$A255,"IQ_LASTSALEPRICE",J$7,J$8)</f>
        <v>8.9709999999999998E-3</v>
      </c>
      <c r="K255" s="217" cm="1">
        <f t="array" ref="K255">_xll.ciqfunctions.udf.CIQAVG("$"&amp;$A255,"IQ_LASTSALEPRICE",K$7,K$8)</f>
        <v>8.8749999999999992E-3</v>
      </c>
      <c r="L255" s="217" cm="1">
        <f t="array" ref="L255">_xll.ciqfunctions.udf.CIQAVG("$"&amp;$A255,"IQ_LASTSALEPRICE",L$7,L$8)</f>
        <v>9.0799999999999995E-3</v>
      </c>
      <c r="M255" s="217" cm="1">
        <f t="array" ref="M255">_xll.ciqfunctions.udf.CIQAVG("$"&amp;$A255,"IQ_LASTSALEPRICE",M$7,M$8)</f>
        <v>9.1000000000000004E-3</v>
      </c>
      <c r="N255" s="217" cm="1">
        <f t="array" ref="N255">_xll.ciqfunctions.udf.CIQAVG("$"&amp;$A255,"IQ_LASTSALEPRICE",N$7,N$8)</f>
        <v>9.3200000000000002E-3</v>
      </c>
      <c r="O255" s="217" cm="1">
        <f t="array" ref="O255">_xll.ciqfunctions.udf.CIQAVG("$"&amp;$A255,"IQ_LASTSALEPRICE",O$7,O$8)</f>
        <v>9.1979999999999996E-3</v>
      </c>
      <c r="P255" s="217" cm="1">
        <f t="array" ref="P255">_xll.ciqfunctions.udf.CIQAVG("$"&amp;$A255,"IQ_LASTSALEPRICE",P$7,P$8)</f>
        <v>9.1780000000000004E-3</v>
      </c>
      <c r="Q255" s="217" cm="1">
        <f t="array" ref="Q255">_xll.ciqfunctions.udf.CIQAVG("$"&amp;$A255,"IQ_LASTSALEPRICE",Q$7,Q$8)</f>
        <v>9.2980000000000007E-3</v>
      </c>
      <c r="R255" s="217" cm="1">
        <f t="array" ref="R255">_xll.ciqfunctions.udf.CIQAVG("$"&amp;$A255,"IQ_LASTSALEPRICE",R$7,R$8)</f>
        <v>9.4240000000000001E-3</v>
      </c>
      <c r="S255" s="217" cm="1">
        <f t="array" ref="S255">_xll.ciqfunctions.udf.CIQAVG("$"&amp;$A255,"IQ_LASTSALEPRICE",S$7,S$8)</f>
        <v>9.5750000000000002E-3</v>
      </c>
      <c r="T255" s="217" cm="1">
        <f t="array" ref="T255">_xll.ciqfunctions.udf.CIQAVG("$"&amp;$A255,"IQ_LASTSALEPRICE",T$7,T$8)</f>
        <v>9.4359999999999999E-3</v>
      </c>
      <c r="U255" s="217" cm="1">
        <f t="array" ref="U255">_xll.ciqfunctions.udf.CIQAVG("$"&amp;$A255,"IQ_LASTSALEPRICE",U$7,U$8)</f>
        <v>9.1369999999999993E-3</v>
      </c>
      <c r="V255" s="217" cm="1">
        <f t="array" ref="V255">_xll.ciqfunctions.udf.CIQAVG("$"&amp;$A255,"IQ_LASTSALEPRICE",V$7,V$8)</f>
        <v>9.0830000000000008E-3</v>
      </c>
      <c r="W255" s="217" cm="1">
        <f t="array" ref="W255">_xll.ciqfunctions.udf.CIQAVG("$"&amp;$A255,"IQ_LASTSALEPRICE",W$7,W$8)</f>
        <v>8.8020000000000008E-3</v>
      </c>
      <c r="X255" s="217" cm="1">
        <f t="array" ref="X255">_xll.ciqfunctions.udf.CIQAVG("$"&amp;$A255,"IQ_LASTSALEPRICE",X$7,X$8)</f>
        <v>8.6070000000000001E-3</v>
      </c>
      <c r="Y255" s="217" cm="1">
        <f t="array" ref="Y255">_xll.ciqfunctions.udf.CIQAVG("$"&amp;$A255,"IQ_LASTSALEPRICE",Y$7,Y$8)</f>
        <v>7.7190000000000002E-3</v>
      </c>
      <c r="Z255" s="217" cm="1">
        <f t="array" ref="Z255">_xll.ciqfunctions.udf.CIQAVG("$"&amp;$A255,"IQ_LASTSALEPRICE",Z$7,Z$8)</f>
        <v>7.2420000000000002E-3</v>
      </c>
      <c r="AA255" s="217" cm="1">
        <f t="array" ref="AA255">_xll.ciqfunctions.udf.CIQAVG("$"&amp;$A255,"IQ_LASTSALEPRICE",AA$7,AA$8)</f>
        <v>7.0910000000000001E-3</v>
      </c>
      <c r="AB255" s="217" cm="1">
        <f t="array" ref="AB255">_xll.ciqfunctions.udf.CIQAVG("$"&amp;$A255,"IQ_LASTSALEPRICE",AB$7,AB$8)</f>
        <v>7.5589999999999997E-3</v>
      </c>
      <c r="AC255" s="217" cm="1">
        <f t="array" ref="AC255">_xll.ciqfunctions.udf.CIQAVG("$"&amp;$A255,"IQ_LASTSALEPRICE",AC$7,AC$8)</f>
        <v>7.2859999999999999E-3</v>
      </c>
      <c r="AD255" s="217" cm="1">
        <f t="array" ref="AD255">_xll.ciqfunctions.udf.CIQAVG("$"&amp;$A255,"IQ_LASTSALEPRICE",AD$7,AD$8)</f>
        <v>6.9220000000000002E-3</v>
      </c>
      <c r="AE255" s="217" cm="1">
        <f t="array" ref="AE255">_xll.ciqfunctions.udf.CIQAVG("$"&amp;$A255,"IQ_LASTSALEPRICE",AE$7,AE$8)</f>
        <v>6.7739999999999996E-3</v>
      </c>
      <c r="AF255" s="217" cm="1">
        <f t="array" ref="AF255">_xll.ciqfunctions.udf.CIQAVG("$"&amp;$A255,"IQ_LASTSALEPRICE",AF$7,AF$8)</f>
        <v>6.7369999999999999E-3</v>
      </c>
      <c r="AG255" s="217" cm="1">
        <f t="array" ref="AG255">_xll.ciqfunctions.udf.CIQAVG("$"&amp;$A255,"IQ_LASTSALEPRICE",AG$7,AG$8)</f>
        <v>6.4159999999999998E-3</v>
      </c>
      <c r="AH255" s="217" cm="1">
        <f t="array" aca="1" ref="AH255" ca="1">_xll.ciqfunctions.udf.CIQAVG("$"&amp;$A255,"IQ_LASTSALEPRICE",AH$7,AH$8)*($AY$2-AH$7)/(AH$8-AH$7)+_xll.ciqfunctions.udf.CIQ("$"&amp;$A255,"IQ_LASTSALEPRICE")*(1-($AY$2-AH$7)/(AH$8-AH$7))</f>
        <v>6.2599999999999982E-3</v>
      </c>
      <c r="AI255" s="217" cm="1">
        <f t="array" ref="AI255">_xll.ciqfunctions.udf.CIQ("$"&amp;$A255,"IQ_LASTSALEPRICE")</f>
        <v>6.9040000000000004E-3</v>
      </c>
      <c r="AJ255" s="217"/>
      <c r="AK255" s="217"/>
      <c r="AL255" s="217"/>
      <c r="AM255" s="217"/>
      <c r="AO255" s="217" cm="1">
        <f t="array" ref="AO255">_xll.ciqfunctions.udf.CIQAVG("$"&amp;$A255,"IQ_LASTSALEPRICE",AO$7,AO$8)</f>
        <v>8.2640000000000005E-3</v>
      </c>
      <c r="AP255" s="217" cm="1">
        <f t="array" ref="AP255">_xll.ciqfunctions.udf.CIQAVG("$"&amp;$A255,"IQ_LASTSALEPRICE",AP$7,AP$8)</f>
        <v>9.2189999999999998E-3</v>
      </c>
      <c r="AQ255" s="217" cm="1">
        <f t="array" ref="AQ255">_xll.ciqfunctions.udf.CIQAVG("$"&amp;$A255,"IQ_LASTSALEPRICE",AQ$7,AQ$8)</f>
        <v>8.9200000000000008E-3</v>
      </c>
      <c r="AR255" s="217" cm="1">
        <f t="array" ref="AR255">_xll.ciqfunctions.udf.CIQAVG("$"&amp;$A255,"IQ_LASTSALEPRICE",AR$7,AR$8)</f>
        <v>9.0609999999999996E-3</v>
      </c>
      <c r="AS255" s="217" cm="1">
        <f t="array" ref="AS255">_xll.ciqfunctions.udf.CIQAVG("$"&amp;$A255,"IQ_LASTSALEPRICE",AS$7,AS$8)</f>
        <v>9.1750000000000009E-3</v>
      </c>
      <c r="AT255" s="217" cm="1">
        <f t="array" ref="AT255">_xll.ciqfunctions.udf.CIQAVG("$"&amp;$A255,"IQ_LASTSALEPRICE",AT$7,AT$8)</f>
        <v>9.3699999999999999E-3</v>
      </c>
      <c r="AU255" s="217" cm="1">
        <f t="array" ref="AU255">_xll.ciqfunctions.udf.CIQAVG("$"&amp;$A255,"IQ_LASTSALEPRICE",AU$7,AU$8)</f>
        <v>9.1120000000000003E-3</v>
      </c>
      <c r="AV255" s="217" cm="1">
        <f t="array" ref="AV255">_xll.ciqfunctions.udf.CIQAVG("$"&amp;$A255,"IQ_LASTSALEPRICE",AV$7,AV$8)</f>
        <v>7.659E-3</v>
      </c>
      <c r="AW255" s="217" cm="1">
        <f t="array" ref="AW255">_xll.ciqfunctions.udf.CIQAVG("$"&amp;$A255,"IQ_LASTSALEPRICE",AW$7,AW$8)</f>
        <v>7.1329999999999996E-3</v>
      </c>
      <c r="AX255" s="16">
        <f t="shared" ca="1" si="1321"/>
        <v>6.57925E-3</v>
      </c>
      <c r="AY255" s="16"/>
      <c r="AZ255" s="16"/>
    </row>
    <row r="256" spans="1:52" x14ac:dyDescent="0.2">
      <c r="A256" t="s">
        <v>257</v>
      </c>
      <c r="B256" t="s">
        <v>254</v>
      </c>
      <c r="D256" s="217" cm="1">
        <f t="array" ref="D256">_xll.ciqfunctions.udf.CIQAVG("$"&amp;$A256,"IQ_LASTSALEPRICE",D$7,D$8)</f>
        <v>0.75549900000000003</v>
      </c>
      <c r="E256" s="217" cm="1">
        <f t="array" ref="E256">_xll.ciqfunctions.udf.CIQAVG("$"&amp;$A256,"IQ_LASTSALEPRICE",E$7,E$8)</f>
        <v>0.74349699999999996</v>
      </c>
      <c r="F256" s="217" cm="1">
        <f t="array" ref="F256">_xll.ciqfunctions.udf.CIQAVG("$"&amp;$A256,"IQ_LASTSALEPRICE",F$7,F$8)</f>
        <v>0.79812899999999998</v>
      </c>
      <c r="G256" s="217" cm="1">
        <f t="array" ref="G256">_xll.ciqfunctions.udf.CIQAVG("$"&amp;$A256,"IQ_LASTSALEPRICE",G$7,G$8)</f>
        <v>0.78696100000000002</v>
      </c>
      <c r="H256" s="217" cm="1">
        <f t="array" ref="H256">_xll.ciqfunctions.udf.CIQAVG("$"&amp;$A256,"IQ_LASTSALEPRICE",H$7,H$8)</f>
        <v>0.79088700000000001</v>
      </c>
      <c r="I256" s="217" cm="1">
        <f t="array" ref="I256">_xll.ciqfunctions.udf.CIQAVG("$"&amp;$A256,"IQ_LASTSALEPRICE",I$7,I$8)</f>
        <v>0.77456800000000003</v>
      </c>
      <c r="J256" s="217" cm="1">
        <f t="array" ref="J256">_xll.ciqfunctions.udf.CIQAVG("$"&amp;$A256,"IQ_LASTSALEPRICE",J$7,J$8)</f>
        <v>0.76516399999999996</v>
      </c>
      <c r="K256" s="217" cm="1">
        <f t="array" ref="K256">_xll.ciqfunctions.udf.CIQAVG("$"&amp;$A256,"IQ_LASTSALEPRICE",K$7,K$8)</f>
        <v>0.756606</v>
      </c>
      <c r="L256" s="217" cm="1">
        <f t="array" ref="L256">_xll.ciqfunctions.udf.CIQAVG("$"&amp;$A256,"IQ_LASTSALEPRICE",L$7,L$8)</f>
        <v>0.75197599999999998</v>
      </c>
      <c r="M256" s="217" cm="1">
        <f t="array" ref="M256">_xll.ciqfunctions.udf.CIQAVG("$"&amp;$A256,"IQ_LASTSALEPRICE",M$7,M$8)</f>
        <v>0.74758899999999995</v>
      </c>
      <c r="N256" s="217" cm="1">
        <f t="array" ref="N256">_xll.ciqfunctions.udf.CIQAVG("$"&amp;$A256,"IQ_LASTSALEPRICE",N$7,N$8)</f>
        <v>0.75728399999999996</v>
      </c>
      <c r="O256" s="217" cm="1">
        <f t="array" ref="O256">_xll.ciqfunctions.udf.CIQAVG("$"&amp;$A256,"IQ_LASTSALEPRICE",O$7,O$8)</f>
        <v>0.75765700000000002</v>
      </c>
      <c r="P256" s="217" cm="1">
        <f t="array" ref="P256">_xll.ciqfunctions.udf.CIQAVG("$"&amp;$A256,"IQ_LASTSALEPRICE",P$7,P$8)</f>
        <v>0.74491200000000002</v>
      </c>
      <c r="Q256" s="217" cm="1">
        <f t="array" ref="Q256">_xll.ciqfunctions.udf.CIQAVG("$"&amp;$A256,"IQ_LASTSALEPRICE",Q$7,Q$8)</f>
        <v>0.72145199999999998</v>
      </c>
      <c r="R256" s="217" cm="1">
        <f t="array" ref="R256">_xll.ciqfunctions.udf.CIQAVG("$"&amp;$A256,"IQ_LASTSALEPRICE",R$7,R$8)</f>
        <v>0.75046999999999997</v>
      </c>
      <c r="S256" s="217" cm="1">
        <f t="array" ref="S256">_xll.ciqfunctions.udf.CIQAVG("$"&amp;$A256,"IQ_LASTSALEPRICE",S$7,S$8)</f>
        <v>0.76756999999999997</v>
      </c>
      <c r="T256" s="217" cm="1">
        <f t="array" ref="T256">_xll.ciqfunctions.udf.CIQAVG("$"&amp;$A256,"IQ_LASTSALEPRICE",T$7,T$8)</f>
        <v>0.78961199999999998</v>
      </c>
      <c r="U256" s="217" cm="1">
        <f t="array" ref="U256">_xll.ciqfunctions.udf.CIQAVG("$"&amp;$A256,"IQ_LASTSALEPRICE",U$7,U$8)</f>
        <v>0.81406100000000003</v>
      </c>
      <c r="V256" s="217" cm="1">
        <f t="array" ref="V256">_xll.ciqfunctions.udf.CIQAVG("$"&amp;$A256,"IQ_LASTSALEPRICE",V$7,V$8)</f>
        <v>0.794041</v>
      </c>
      <c r="W256" s="217" cm="1">
        <f t="array" ref="W256">_xll.ciqfunctions.udf.CIQAVG("$"&amp;$A256,"IQ_LASTSALEPRICE",W$7,W$8)</f>
        <v>0.79345600000000005</v>
      </c>
      <c r="X256" s="217" cm="1">
        <f t="array" ref="X256">_xll.ciqfunctions.udf.CIQAVG("$"&amp;$A256,"IQ_LASTSALEPRICE",X$7,X$8)</f>
        <v>0.78958600000000001</v>
      </c>
      <c r="Y256" s="217" cm="1">
        <f t="array" ref="Y256">_xll.ciqfunctions.udf.CIQAVG("$"&amp;$A256,"IQ_LASTSALEPRICE",Y$7,Y$8)</f>
        <v>0.78339099999999995</v>
      </c>
      <c r="Z256" s="217" cm="1">
        <f t="array" ref="Z256">_xll.ciqfunctions.udf.CIQAVG("$"&amp;$A256,"IQ_LASTSALEPRICE",Z$7,Z$8)</f>
        <v>0.76652900000000002</v>
      </c>
      <c r="AA256" s="217" cm="1">
        <f t="array" ref="AA256">_xll.ciqfunctions.udf.CIQAVG("$"&amp;$A256,"IQ_LASTSALEPRICE",AA$7,AA$8)</f>
        <v>0.73663400000000001</v>
      </c>
      <c r="AB256" s="217" cm="1">
        <f t="array" ref="AB256">_xll.ciqfunctions.udf.CIQAVG("$"&amp;$A256,"IQ_LASTSALEPRICE",AB$7,AB$8)</f>
        <v>0.73934100000000003</v>
      </c>
      <c r="AC256" s="217" cm="1">
        <f t="array" ref="AC256">_xll.ciqfunctions.udf.CIQAVG("$"&amp;$A256,"IQ_LASTSALEPRICE",AC$7,AC$8)</f>
        <v>0.74439599999999995</v>
      </c>
      <c r="AD256" s="217" cm="1">
        <f t="array" ref="AD256">_xll.ciqfunctions.udf.CIQAVG("$"&amp;$A256,"IQ_LASTSALEPRICE",AD$7,AD$8)</f>
        <v>0.74565300000000001</v>
      </c>
      <c r="AE256" s="217" cm="1">
        <f t="array" ref="AE256">_xll.ciqfunctions.udf.CIQAVG("$"&amp;$A256,"IQ_LASTSALEPRICE",AE$7,AE$8)</f>
        <v>0.73507500000000003</v>
      </c>
      <c r="AF256" s="217" cm="1">
        <f t="array" ref="AF256">_xll.ciqfunctions.udf.CIQAVG("$"&amp;$A256,"IQ_LASTSALEPRICE",AF$7,AF$8)</f>
        <v>0.74172000000000005</v>
      </c>
      <c r="AG256" s="217" cm="1">
        <f t="array" ref="AG256">_xll.ciqfunctions.udf.CIQAVG("$"&amp;$A256,"IQ_LASTSALEPRICE",AG$7,AG$8)</f>
        <v>0.73080100000000003</v>
      </c>
      <c r="AH256" s="217" cm="1">
        <f t="array" aca="1" ref="AH256" ca="1">_xll.ciqfunctions.udf.CIQAVG("$"&amp;$A256,"IQ_LASTSALEPRICE",AH$7,AH$8)*($AY$2-AH$7)/(AH$8-AH$7)+_xll.ciqfunctions.udf.CIQ("$"&amp;$A256,"IQ_LASTSALEPRICE")*(1-($AY$2-AH$7)/(AH$8-AH$7))</f>
        <v>0.77046330769230775</v>
      </c>
      <c r="AI256" s="217" cm="1">
        <f t="array" ref="AI256">_xll.ciqfunctions.udf.CIQ("$"&amp;$A256,"IQ_LASTSALEPRICE")</f>
        <v>0.71840899999999996</v>
      </c>
      <c r="AJ256" s="217"/>
      <c r="AK256" s="217"/>
      <c r="AL256" s="217"/>
      <c r="AM256" s="217"/>
      <c r="AO256" s="217" cm="1">
        <f t="array" ref="AO256">_xll.ciqfunctions.udf.CIQAVG("$"&amp;$A256,"IQ_LASTSALEPRICE",AO$7,AO$8)</f>
        <v>0.78332400000000002</v>
      </c>
      <c r="AP256" s="217" cm="1">
        <f t="array" ref="AP256">_xll.ciqfunctions.udf.CIQAVG("$"&amp;$A256,"IQ_LASTSALEPRICE",AP$7,AP$8)</f>
        <v>0.75522800000000001</v>
      </c>
      <c r="AQ256" s="217" cm="1">
        <f t="array" ref="AQ256">_xll.ciqfunctions.udf.CIQAVG("$"&amp;$A256,"IQ_LASTSALEPRICE",AQ$7,AQ$8)</f>
        <v>0.77118200000000003</v>
      </c>
      <c r="AR256" s="217" cm="1">
        <f t="array" ref="AR256">_xll.ciqfunctions.udf.CIQAVG("$"&amp;$A256,"IQ_LASTSALEPRICE",AR$7,AR$8)</f>
        <v>0.77169399999999999</v>
      </c>
      <c r="AS256" s="217" cm="1">
        <f t="array" ref="AS256">_xll.ciqfunctions.udf.CIQAVG("$"&amp;$A256,"IQ_LASTSALEPRICE",AS$7,AS$8)</f>
        <v>0.75365199999999999</v>
      </c>
      <c r="AT256" s="217" cm="1">
        <f t="array" ref="AT256">_xll.ciqfunctions.udf.CIQAVG("$"&amp;$A256,"IQ_LASTSALEPRICE",AT$7,AT$8)</f>
        <v>0.74617199999999995</v>
      </c>
      <c r="AU256" s="217" cm="1">
        <f t="array" ref="AU256">_xll.ciqfunctions.udf.CIQAVG("$"&amp;$A256,"IQ_LASTSALEPRICE",AU$7,AU$8)</f>
        <v>0.79779299999999997</v>
      </c>
      <c r="AV256" s="217" cm="1">
        <f t="array" ref="AV256">_xll.ciqfunctions.udf.CIQAVG("$"&amp;$A256,"IQ_LASTSALEPRICE",AV$7,AV$8)</f>
        <v>0.76888299999999998</v>
      </c>
      <c r="AW256" s="217" cm="1">
        <f t="array" ref="AW256">_xll.ciqfunctions.udf.CIQAVG("$"&amp;$A256,"IQ_LASTSALEPRICE",AW$7,AW$8)</f>
        <v>0.74111700000000003</v>
      </c>
      <c r="AX256" s="16">
        <f t="shared" ca="1" si="1321"/>
        <v>0.74034832692307695</v>
      </c>
      <c r="AY256" s="16"/>
      <c r="AZ256" s="16"/>
    </row>
    <row r="257" spans="1:52" x14ac:dyDescent="0.2">
      <c r="A257" t="s">
        <v>260</v>
      </c>
      <c r="B257" t="s">
        <v>261</v>
      </c>
      <c r="D257" s="217" cm="1">
        <f t="array" ref="D257">_xll.ciqfunctions.udf.CIQAVG("$"&amp;$A257,"IQ_LASTSALEPRICE",D$7,D$8)</f>
        <v>0.75762200000000002</v>
      </c>
      <c r="E257" s="217" cm="1">
        <f t="array" ref="E257">_xll.ciqfunctions.udf.CIQAVG("$"&amp;$A257,"IQ_LASTSALEPRICE",E$7,E$8)</f>
        <v>0.75089099999999998</v>
      </c>
      <c r="F257" s="217" cm="1">
        <f t="array" ref="F257">_xll.ciqfunctions.udf.CIQAVG("$"&amp;$A257,"IQ_LASTSALEPRICE",F$7,F$8)</f>
        <v>0.78940200000000005</v>
      </c>
      <c r="G257" s="217" cm="1">
        <f t="array" ref="G257">_xll.ciqfunctions.udf.CIQAVG("$"&amp;$A257,"IQ_LASTSALEPRICE",G$7,G$8)</f>
        <v>0.76883999999999997</v>
      </c>
      <c r="H257" s="217" cm="1">
        <f t="array" ref="H257">_xll.ciqfunctions.udf.CIQAVG("$"&amp;$A257,"IQ_LASTSALEPRICE",H$7,H$8)</f>
        <v>0.78595899999999996</v>
      </c>
      <c r="I257" s="217" cm="1">
        <f t="array" ref="I257">_xll.ciqfunctions.udf.CIQAVG("$"&amp;$A257,"IQ_LASTSALEPRICE",I$7,I$8)</f>
        <v>0.75673299999999999</v>
      </c>
      <c r="J257" s="217" cm="1">
        <f t="array" ref="J257">_xll.ciqfunctions.udf.CIQAVG("$"&amp;$A257,"IQ_LASTSALEPRICE",J$7,J$8)</f>
        <v>0.73145400000000005</v>
      </c>
      <c r="K257" s="217" cm="1">
        <f t="array" ref="K257">_xll.ciqfunctions.udf.CIQAVG("$"&amp;$A257,"IQ_LASTSALEPRICE",K$7,K$8)</f>
        <v>0.717055</v>
      </c>
      <c r="L257" s="217" cm="1">
        <f t="array" ref="L257">_xll.ciqfunctions.udf.CIQAVG("$"&amp;$A257,"IQ_LASTSALEPRICE",L$7,L$8)</f>
        <v>0.71239600000000003</v>
      </c>
      <c r="M257" s="217" cm="1">
        <f t="array" ref="M257">_xll.ciqfunctions.udf.CIQAVG("$"&amp;$A257,"IQ_LASTSALEPRICE",M$7,M$8)</f>
        <v>0.70015799999999995</v>
      </c>
      <c r="N257" s="217" cm="1">
        <f t="array" ref="N257">_xll.ciqfunctions.udf.CIQAVG("$"&amp;$A257,"IQ_LASTSALEPRICE",N$7,N$8)</f>
        <v>0.68563499999999999</v>
      </c>
      <c r="O257" s="217" cm="1">
        <f t="array" ref="O257">_xll.ciqfunctions.udf.CIQAVG("$"&amp;$A257,"IQ_LASTSALEPRICE",O$7,O$8)</f>
        <v>0.68379800000000002</v>
      </c>
      <c r="P257" s="217" cm="1">
        <f t="array" ref="P257">_xll.ciqfunctions.udf.CIQAVG("$"&amp;$A257,"IQ_LASTSALEPRICE",P$7,P$8)</f>
        <v>0.65827500000000005</v>
      </c>
      <c r="Q257" s="217" cm="1">
        <f t="array" ref="Q257">_xll.ciqfunctions.udf.CIQAVG("$"&amp;$A257,"IQ_LASTSALEPRICE",Q$7,Q$8)</f>
        <v>0.65694600000000003</v>
      </c>
      <c r="R257" s="217" cm="1">
        <f t="array" ref="R257">_xll.ciqfunctions.udf.CIQAVG("$"&amp;$A257,"IQ_LASTSALEPRICE",R$7,R$8)</f>
        <v>0.71486799999999995</v>
      </c>
      <c r="S257" s="217" cm="1">
        <f t="array" ref="S257">_xll.ciqfunctions.udf.CIQAVG("$"&amp;$A257,"IQ_LASTSALEPRICE",S$7,S$8)</f>
        <v>0.73162000000000005</v>
      </c>
      <c r="T257" s="217" cm="1">
        <f t="array" ref="T257">_xll.ciqfunctions.udf.CIQAVG("$"&amp;$A257,"IQ_LASTSALEPRICE",T$7,T$8)</f>
        <v>0.77246800000000004</v>
      </c>
      <c r="U257" s="217" cm="1">
        <f t="array" ref="U257">_xll.ciqfunctions.udf.CIQAVG("$"&amp;$A257,"IQ_LASTSALEPRICE",U$7,U$8)</f>
        <v>0.76977399999999996</v>
      </c>
      <c r="V257" s="217" cm="1">
        <f t="array" ref="V257">_xll.ciqfunctions.udf.CIQAVG("$"&amp;$A257,"IQ_LASTSALEPRICE",V$7,V$8)</f>
        <v>0.734846</v>
      </c>
      <c r="W257" s="217" cm="1">
        <f t="array" ref="W257">_xll.ciqfunctions.udf.CIQAVG("$"&amp;$A257,"IQ_LASTSALEPRICE",W$7,W$8)</f>
        <v>0.72854200000000002</v>
      </c>
      <c r="X257" s="217" cm="1">
        <f t="array" ref="X257">_xll.ciqfunctions.udf.CIQAVG("$"&amp;$A257,"IQ_LASTSALEPRICE",X$7,X$8)</f>
        <v>0.72435700000000003</v>
      </c>
      <c r="Y257" s="217" cm="1">
        <f t="array" ref="Y257">_xll.ciqfunctions.udf.CIQAVG("$"&amp;$A257,"IQ_LASTSALEPRICE",Y$7,Y$8)</f>
        <v>0.71469000000000005</v>
      </c>
      <c r="Z257" s="217" cm="1">
        <f t="array" ref="Z257">_xll.ciqfunctions.udf.CIQAVG("$"&amp;$A257,"IQ_LASTSALEPRICE",Z$7,Z$8)</f>
        <v>0.68381199999999998</v>
      </c>
      <c r="AA257" s="217" cm="1">
        <f t="array" ref="AA257">_xll.ciqfunctions.udf.CIQAVG("$"&amp;$A257,"IQ_LASTSALEPRICE",AA$7,AA$8)</f>
        <v>0.65752500000000003</v>
      </c>
      <c r="AB257" s="217" cm="1">
        <f t="array" ref="AB257">_xll.ciqfunctions.udf.CIQAVG("$"&amp;$A257,"IQ_LASTSALEPRICE",AB$7,AB$8)</f>
        <v>0.68353600000000003</v>
      </c>
      <c r="AC257" s="217" cm="1">
        <f t="array" ref="AC257">_xll.ciqfunctions.udf.CIQAVG("$"&amp;$A257,"IQ_LASTSALEPRICE",AC$7,AC$8)</f>
        <v>0.66799600000000003</v>
      </c>
      <c r="AD257" s="217" cm="1">
        <f t="array" ref="AD257">_xll.ciqfunctions.udf.CIQAVG("$"&amp;$A257,"IQ_LASTSALEPRICE",AD$7,AD$8)</f>
        <v>0.65493400000000002</v>
      </c>
      <c r="AE257" s="217" cm="1">
        <f t="array" ref="AE257">_xll.ciqfunctions.udf.CIQAVG("$"&amp;$A257,"IQ_LASTSALEPRICE",AE$7,AE$8)</f>
        <v>0.65163899999999997</v>
      </c>
      <c r="AF257" s="217" cm="1">
        <f t="array" ref="AF257">_xll.ciqfunctions.udf.CIQAVG("$"&amp;$A257,"IQ_LASTSALEPRICE",AF$7,AF$8)</f>
        <v>0.65763000000000005</v>
      </c>
      <c r="AG257" s="217" cm="1">
        <f t="array" ref="AG257">_xll.ciqfunctions.udf.CIQAVG("$"&amp;$A257,"IQ_LASTSALEPRICE",AG$7,AG$8)</f>
        <v>0.65898299999999999</v>
      </c>
      <c r="AH257" s="217" cm="1">
        <f t="array" aca="1" ref="AH257" ca="1">_xll.ciqfunctions.udf.CIQAVG("$"&amp;$A257,"IQ_LASTSALEPRICE",AH$7,AH$8)*($AY$2-AH$7)/(AH$8-AH$7)+_xll.ciqfunctions.udf.CIQ("$"&amp;$A257,"IQ_LASTSALEPRICE")*(1-($AY$2-AH$7)/(AH$8-AH$7))</f>
        <v>0.73003484615384617</v>
      </c>
      <c r="AI257" s="217" cm="1">
        <f t="array" ref="AI257">_xll.ciqfunctions.udf.CIQ("$"&amp;$A257,"IQ_LASTSALEPRICE")</f>
        <v>0.64632900000000004</v>
      </c>
      <c r="AJ257" s="217"/>
      <c r="AK257" s="217"/>
      <c r="AL257" s="217"/>
      <c r="AM257" s="217"/>
      <c r="AO257" s="217" cm="1">
        <f t="array" ref="AO257">_xll.ciqfunctions.udf.CIQAVG("$"&amp;$A257,"IQ_LASTSALEPRICE",AO$7,AO$8)</f>
        <v>0.75228700000000004</v>
      </c>
      <c r="AP257" s="217" cm="1">
        <f t="array" ref="AP257">_xll.ciqfunctions.udf.CIQAVG("$"&amp;$A257,"IQ_LASTSALEPRICE",AP$7,AP$8)</f>
        <v>0.74370199999999997</v>
      </c>
      <c r="AQ257" s="217" cm="1">
        <f t="array" ref="AQ257">_xll.ciqfunctions.udf.CIQAVG("$"&amp;$A257,"IQ_LASTSALEPRICE",AQ$7,AQ$8)</f>
        <v>0.76678199999999996</v>
      </c>
      <c r="AR257" s="217" cm="1">
        <f t="array" ref="AR257">_xll.ciqfunctions.udf.CIQAVG("$"&amp;$A257,"IQ_LASTSALEPRICE",AR$7,AR$8)</f>
        <v>0.74756599999999995</v>
      </c>
      <c r="AS257" s="217" cm="1">
        <f t="array" ref="AS257">_xll.ciqfunctions.udf.CIQAVG("$"&amp;$A257,"IQ_LASTSALEPRICE",AS$7,AS$8)</f>
        <v>0.69539099999999998</v>
      </c>
      <c r="AT257" s="217" cm="1">
        <f t="array" ref="AT257">_xll.ciqfunctions.udf.CIQAVG("$"&amp;$A257,"IQ_LASTSALEPRICE",AT$7,AT$8)</f>
        <v>0.69060699999999997</v>
      </c>
      <c r="AU257" s="217" cm="1">
        <f t="array" ref="AU257">_xll.ciqfunctions.udf.CIQAVG("$"&amp;$A257,"IQ_LASTSALEPRICE",AU$7,AU$8)</f>
        <v>0.75124199999999997</v>
      </c>
      <c r="AV257" s="217" cm="1">
        <f t="array" ref="AV257">_xll.ciqfunctions.udf.CIQAVG("$"&amp;$A257,"IQ_LASTSALEPRICE",AV$7,AV$8)</f>
        <v>0.694882</v>
      </c>
      <c r="AW257" s="217" cm="1">
        <f t="array" ref="AW257">_xll.ciqfunctions.udf.CIQAVG("$"&amp;$A257,"IQ_LASTSALEPRICE",AW$7,AW$8)</f>
        <v>0.664412</v>
      </c>
      <c r="AX257" s="16">
        <f t="shared" ca="1" si="1321"/>
        <v>0.67324421153846159</v>
      </c>
      <c r="AY257" s="16"/>
      <c r="AZ257" s="16"/>
    </row>
    <row r="258" spans="1:52" x14ac:dyDescent="0.2">
      <c r="B258" s="20"/>
      <c r="AQ258" s="120"/>
      <c r="AR258" s="120"/>
      <c r="AS258" s="120"/>
      <c r="AT258" s="120"/>
    </row>
    <row r="259" spans="1:52" x14ac:dyDescent="0.2">
      <c r="B259" s="19" t="s">
        <v>18</v>
      </c>
      <c r="AQ259" s="120"/>
      <c r="AR259" s="120"/>
      <c r="AS259" s="120"/>
      <c r="AT259" s="120"/>
    </row>
    <row r="260" spans="1:52" x14ac:dyDescent="0.2">
      <c r="B260" s="13" t="s">
        <v>255</v>
      </c>
      <c r="H260" s="120">
        <f>+IFERROR(H253/D253-1,"n/a")</f>
        <v>0.15328726769715306</v>
      </c>
      <c r="I260" s="120">
        <f t="shared" ref="I260:AA264" si="1322">+IFERROR(I253/E253-1,"n/a")</f>
        <v>8.3228195581669384E-2</v>
      </c>
      <c r="J260" s="120">
        <f t="shared" si="1322"/>
        <v>-1.029139518157407E-2</v>
      </c>
      <c r="K260" s="120">
        <f t="shared" si="1322"/>
        <v>-3.1500059842474171E-2</v>
      </c>
      <c r="L260" s="120">
        <f t="shared" si="1322"/>
        <v>-7.5997562089019421E-2</v>
      </c>
      <c r="M260" s="120">
        <f t="shared" si="1322"/>
        <v>-5.6954435947762394E-2</v>
      </c>
      <c r="N260" s="120">
        <f t="shared" si="1322"/>
        <v>-4.386234986334403E-2</v>
      </c>
      <c r="O260" s="120">
        <f t="shared" si="1322"/>
        <v>-2.9517530059606556E-2</v>
      </c>
      <c r="P260" s="120">
        <f t="shared" si="1322"/>
        <v>-2.9237551584023747E-2</v>
      </c>
      <c r="Q260" s="120">
        <f t="shared" si="1322"/>
        <v>-2.0096384341459772E-2</v>
      </c>
      <c r="R260" s="120">
        <f t="shared" si="1322"/>
        <v>5.1412519833203163E-2</v>
      </c>
      <c r="S260" s="120">
        <f t="shared" si="1322"/>
        <v>7.7054720293614043E-2</v>
      </c>
      <c r="T260" s="120">
        <f t="shared" si="1322"/>
        <v>9.3377095342031424E-2</v>
      </c>
      <c r="U260" s="120">
        <f t="shared" si="1322"/>
        <v>9.3954228335280998E-2</v>
      </c>
      <c r="V260" s="120">
        <f t="shared" si="1322"/>
        <v>8.5548248784572678E-3</v>
      </c>
      <c r="W260" s="120">
        <f t="shared" si="1322"/>
        <v>-4.1082417218459732E-2</v>
      </c>
      <c r="X260" s="120">
        <f t="shared" si="1322"/>
        <v>-6.8773656760627078E-2</v>
      </c>
      <c r="Y260" s="120">
        <f t="shared" si="1322"/>
        <v>-0.11590449533334002</v>
      </c>
      <c r="Z260" s="120">
        <f t="shared" si="1322"/>
        <v>-0.14500933472781685</v>
      </c>
      <c r="AA260" s="120">
        <f t="shared" si="1322"/>
        <v>-0.10696107398277954</v>
      </c>
      <c r="AB260" s="120">
        <f t="shared" ref="AB260:AB264" si="1323">+IFERROR(AB253/X253-1,"n/a")</f>
        <v>-4.4475608713006931E-2</v>
      </c>
      <c r="AC260" s="120">
        <f t="shared" ref="AC260:AC264" si="1324">+IFERROR(AC253/Y253-1,"n/a")</f>
        <v>2.1980425957013772E-2</v>
      </c>
      <c r="AD260" s="120">
        <f t="shared" ref="AD260:AD264" si="1325">+IFERROR(AD253/Z253-1,"n/a")</f>
        <v>7.98452342568019E-2</v>
      </c>
      <c r="AE260" s="120">
        <f t="shared" ref="AE260:AE264" si="1326">+IFERROR(AE253/AA253-1,"n/a")</f>
        <v>5.3925019607228952E-2</v>
      </c>
      <c r="AF260" s="120">
        <f t="shared" ref="AF260:AF264" si="1327">+IFERROR(AF253/AB253-1,"n/a")</f>
        <v>1.2246724789034547E-2</v>
      </c>
      <c r="AG260" s="120">
        <f t="shared" ref="AG260:AG264" si="1328">+IFERROR(AG253/AC253-1,"n/a")</f>
        <v>-1.1170469317727694E-2</v>
      </c>
      <c r="AH260" s="120">
        <f t="shared" ref="AH260:AH264" ca="1" si="1329">+IFERROR(AH253/AD253-1,"n/a")</f>
        <v>-5.2722764003043654E-2</v>
      </c>
      <c r="AI260" s="120">
        <f t="shared" ref="AI260:AI264" si="1330">+IFERROR(AI253/AE253-1,"n/a")</f>
        <v>4.5980001505043111E-2</v>
      </c>
      <c r="AJ260" s="120"/>
      <c r="AK260" s="120"/>
      <c r="AL260" s="120"/>
      <c r="AM260" s="120"/>
      <c r="AP260" s="120">
        <f>+IFERROR(AP253/AO253-1,"n/a")</f>
        <v>-3.2947326609964467E-3</v>
      </c>
      <c r="AQ260" s="120">
        <f t="shared" ref="AQ260:AX260" si="1331">+IFERROR(AQ253/AP253-1,"n/a")</f>
        <v>2.1239852918717661E-2</v>
      </c>
      <c r="AR260" s="120">
        <f t="shared" si="1331"/>
        <v>4.4864937089805101E-2</v>
      </c>
      <c r="AS260" s="120">
        <f t="shared" si="1331"/>
        <v>-5.1909502415724895E-2</v>
      </c>
      <c r="AT260" s="120">
        <f t="shared" si="1331"/>
        <v>1.9641628926941213E-2</v>
      </c>
      <c r="AU260" s="120">
        <f t="shared" si="1331"/>
        <v>3.6316282362051977E-2</v>
      </c>
      <c r="AV260" s="120">
        <f t="shared" si="1331"/>
        <v>-0.10919613104144377</v>
      </c>
      <c r="AW260" s="120">
        <f t="shared" si="1331"/>
        <v>2.6282525764391274E-2</v>
      </c>
      <c r="AX260" s="120">
        <f t="shared" ca="1" si="1331"/>
        <v>-1.6275122005623421E-3</v>
      </c>
      <c r="AY260" s="120"/>
      <c r="AZ260" s="120"/>
    </row>
    <row r="261" spans="1:52" x14ac:dyDescent="0.2">
      <c r="B261" s="13" t="s">
        <v>256</v>
      </c>
      <c r="H261" s="120">
        <f t="shared" ref="H261:H264" si="1332">+IFERROR(H254/D254-1,"n/a")</f>
        <v>0.12327413466553216</v>
      </c>
      <c r="I261" s="120">
        <f t="shared" si="1322"/>
        <v>6.3918436597198536E-2</v>
      </c>
      <c r="J261" s="120">
        <f t="shared" si="1322"/>
        <v>-4.3861425404629895E-3</v>
      </c>
      <c r="K261" s="120">
        <f t="shared" si="1322"/>
        <v>-3.0956897499913261E-2</v>
      </c>
      <c r="L261" s="120">
        <f t="shared" si="1322"/>
        <v>-6.4203923101912808E-2</v>
      </c>
      <c r="M261" s="120">
        <f t="shared" si="1322"/>
        <v>-5.5489701688104409E-2</v>
      </c>
      <c r="N261" s="120">
        <f t="shared" si="1322"/>
        <v>-5.3751284607656435E-2</v>
      </c>
      <c r="O261" s="120">
        <f t="shared" si="1322"/>
        <v>1.3620440611925577E-3</v>
      </c>
      <c r="P261" s="120">
        <f t="shared" si="1322"/>
        <v>-1.6429112347141062E-2</v>
      </c>
      <c r="Q261" s="120">
        <f t="shared" si="1322"/>
        <v>-3.4454802143397911E-2</v>
      </c>
      <c r="R261" s="120">
        <f t="shared" si="1322"/>
        <v>4.7709736368038547E-2</v>
      </c>
      <c r="S261" s="120">
        <f t="shared" si="1322"/>
        <v>2.5629360259740608E-2</v>
      </c>
      <c r="T261" s="120">
        <f t="shared" si="1322"/>
        <v>7.647269657753597E-2</v>
      </c>
      <c r="U261" s="120">
        <f t="shared" si="1322"/>
        <v>0.12621780129350846</v>
      </c>
      <c r="V261" s="120">
        <f t="shared" si="1322"/>
        <v>6.7048123655855552E-2</v>
      </c>
      <c r="W261" s="120">
        <f t="shared" si="1322"/>
        <v>2.04289566153395E-2</v>
      </c>
      <c r="X261" s="120">
        <f t="shared" si="1322"/>
        <v>-2.6641568012998995E-2</v>
      </c>
      <c r="Y261" s="120">
        <f t="shared" si="1322"/>
        <v>-0.10085947461287148</v>
      </c>
      <c r="Z261" s="120">
        <f t="shared" si="1322"/>
        <v>-0.14561629692937994</v>
      </c>
      <c r="AA261" s="120">
        <f t="shared" si="1322"/>
        <v>-0.12922776090572041</v>
      </c>
      <c r="AB261" s="120">
        <f t="shared" si="1323"/>
        <v>-9.4987230154572222E-2</v>
      </c>
      <c r="AC261" s="120">
        <f t="shared" si="1324"/>
        <v>-3.9032751701565394E-3</v>
      </c>
      <c r="AD261" s="120">
        <f t="shared" si="1325"/>
        <v>7.5203695605100096E-2</v>
      </c>
      <c r="AE261" s="120">
        <f t="shared" si="1326"/>
        <v>5.8004102745840891E-2</v>
      </c>
      <c r="AF261" s="120">
        <f t="shared" si="1327"/>
        <v>4.4198007865768218E-2</v>
      </c>
      <c r="AG261" s="120">
        <f t="shared" si="1328"/>
        <v>7.804386242422412E-3</v>
      </c>
      <c r="AH261" s="120">
        <f t="shared" ca="1" si="1329"/>
        <v>-4.3949109517403162E-2</v>
      </c>
      <c r="AI261" s="120">
        <f t="shared" si="1330"/>
        <v>7.6146435887195496E-2</v>
      </c>
      <c r="AJ261" s="120"/>
      <c r="AK261" s="120"/>
      <c r="AL261" s="120"/>
      <c r="AM261" s="120"/>
      <c r="AP261" s="120">
        <f t="shared" ref="AP261:AX264" si="1333">+IFERROR(AP254/AO254-1,"n/a")</f>
        <v>-0.11344525719370335</v>
      </c>
      <c r="AQ261" s="120">
        <f t="shared" si="1333"/>
        <v>-4.8928140230312556E-2</v>
      </c>
      <c r="AR261" s="120">
        <f t="shared" si="1333"/>
        <v>3.587100158373091E-2</v>
      </c>
      <c r="AS261" s="120">
        <f t="shared" si="1333"/>
        <v>-4.3494284834642571E-2</v>
      </c>
      <c r="AT261" s="120">
        <f t="shared" si="1333"/>
        <v>5.3442180791827276E-3</v>
      </c>
      <c r="AU261" s="120">
        <f t="shared" si="1333"/>
        <v>7.1541413301052126E-2</v>
      </c>
      <c r="AV261" s="120">
        <f t="shared" si="1333"/>
        <v>-0.10083042723783897</v>
      </c>
      <c r="AW261" s="120">
        <f t="shared" si="1333"/>
        <v>5.5244777294745084E-3</v>
      </c>
      <c r="AX261" s="120">
        <f t="shared" ca="1" si="1333"/>
        <v>2.0466420204458213E-2</v>
      </c>
      <c r="AY261" s="120"/>
      <c r="AZ261" s="120"/>
    </row>
    <row r="262" spans="1:52" x14ac:dyDescent="0.2">
      <c r="B262" s="13" t="s">
        <v>263</v>
      </c>
      <c r="H262" s="120">
        <f t="shared" si="1332"/>
        <v>5.0363801728058322E-2</v>
      </c>
      <c r="I262" s="120">
        <f t="shared" si="1322"/>
        <v>1.7769880053309706E-2</v>
      </c>
      <c r="J262" s="120">
        <f t="shared" si="1322"/>
        <v>-5.1014749916824531E-3</v>
      </c>
      <c r="K262" s="120">
        <f t="shared" si="1322"/>
        <v>1.6930022573362624E-3</v>
      </c>
      <c r="L262" s="120">
        <f t="shared" si="1322"/>
        <v>-1.7209654724537393E-2</v>
      </c>
      <c r="M262" s="120">
        <f t="shared" si="1322"/>
        <v>-6.9838498472282184E-3</v>
      </c>
      <c r="N262" s="120">
        <f t="shared" si="1322"/>
        <v>3.8903132315238009E-2</v>
      </c>
      <c r="O262" s="120">
        <f t="shared" si="1322"/>
        <v>3.6394366197183059E-2</v>
      </c>
      <c r="P262" s="120">
        <f t="shared" si="1322"/>
        <v>1.0792951541850337E-2</v>
      </c>
      <c r="Q262" s="120">
        <f t="shared" si="1322"/>
        <v>2.1758241758241814E-2</v>
      </c>
      <c r="R262" s="120">
        <f t="shared" si="1322"/>
        <v>1.1158798283261717E-2</v>
      </c>
      <c r="S262" s="120">
        <f t="shared" si="1322"/>
        <v>4.0987171124157395E-2</v>
      </c>
      <c r="T262" s="120">
        <f t="shared" si="1322"/>
        <v>2.8110699498801406E-2</v>
      </c>
      <c r="U262" s="120">
        <f t="shared" si="1322"/>
        <v>-1.7315551731555301E-2</v>
      </c>
      <c r="V262" s="120">
        <f t="shared" si="1322"/>
        <v>-3.6184210526315708E-2</v>
      </c>
      <c r="W262" s="120">
        <f t="shared" si="1322"/>
        <v>-8.0731070496083523E-2</v>
      </c>
      <c r="X262" s="120">
        <f t="shared" si="1322"/>
        <v>-8.7855023314963976E-2</v>
      </c>
      <c r="Y262" s="120">
        <f t="shared" si="1322"/>
        <v>-0.15519317062493154</v>
      </c>
      <c r="Z262" s="120">
        <f t="shared" si="1322"/>
        <v>-0.20268633711328865</v>
      </c>
      <c r="AA262" s="120">
        <f t="shared" si="1322"/>
        <v>-0.19438763917291535</v>
      </c>
      <c r="AB262" s="120">
        <f t="shared" si="1323"/>
        <v>-0.1217613570349716</v>
      </c>
      <c r="AC262" s="120">
        <f t="shared" si="1324"/>
        <v>-5.6095349138489459E-2</v>
      </c>
      <c r="AD262" s="120">
        <f t="shared" si="1325"/>
        <v>-4.4186688760011084E-2</v>
      </c>
      <c r="AE262" s="120">
        <f t="shared" si="1326"/>
        <v>-4.4704555069806862E-2</v>
      </c>
      <c r="AF262" s="120">
        <f t="shared" si="1327"/>
        <v>-0.10874454292895885</v>
      </c>
      <c r="AG262" s="120">
        <f t="shared" si="1328"/>
        <v>-0.11940708207521278</v>
      </c>
      <c r="AH262" s="120">
        <f t="shared" ca="1" si="1329"/>
        <v>-9.5637099104305401E-2</v>
      </c>
      <c r="AI262" s="120">
        <f t="shared" si="1330"/>
        <v>1.9191024505462284E-2</v>
      </c>
      <c r="AJ262" s="120"/>
      <c r="AK262" s="120"/>
      <c r="AL262" s="120"/>
      <c r="AM262" s="120"/>
      <c r="AP262" s="120">
        <f t="shared" si="1333"/>
        <v>0.1155614714424007</v>
      </c>
      <c r="AQ262" s="120">
        <f t="shared" si="1333"/>
        <v>-3.243301876559268E-2</v>
      </c>
      <c r="AR262" s="120">
        <f t="shared" si="1333"/>
        <v>1.5807174887892295E-2</v>
      </c>
      <c r="AS262" s="120">
        <f t="shared" si="1333"/>
        <v>1.2581392782253786E-2</v>
      </c>
      <c r="AT262" s="120">
        <f t="shared" si="1333"/>
        <v>2.1253405994550389E-2</v>
      </c>
      <c r="AU262" s="120">
        <f t="shared" si="1333"/>
        <v>-2.7534685165421457E-2</v>
      </c>
      <c r="AV262" s="120">
        <f t="shared" si="1333"/>
        <v>-0.15946005267778751</v>
      </c>
      <c r="AW262" s="120">
        <f t="shared" si="1333"/>
        <v>-6.8677373025199162E-2</v>
      </c>
      <c r="AX262" s="120">
        <f t="shared" ca="1" si="1333"/>
        <v>-7.7632132342632776E-2</v>
      </c>
      <c r="AY262" s="120"/>
      <c r="AZ262" s="120"/>
    </row>
    <row r="263" spans="1:52" x14ac:dyDescent="0.2">
      <c r="B263" s="13" t="s">
        <v>254</v>
      </c>
      <c r="H263" s="120">
        <f t="shared" si="1332"/>
        <v>4.6840564977584265E-2</v>
      </c>
      <c r="I263" s="120">
        <f t="shared" si="1322"/>
        <v>4.1790350196436732E-2</v>
      </c>
      <c r="J263" s="120">
        <f t="shared" si="1322"/>
        <v>-4.1302847033499623E-2</v>
      </c>
      <c r="K263" s="120">
        <f t="shared" si="1322"/>
        <v>-3.8572432433119364E-2</v>
      </c>
      <c r="L263" s="120">
        <f t="shared" si="1322"/>
        <v>-4.9199190276234206E-2</v>
      </c>
      <c r="M263" s="120">
        <f t="shared" si="1322"/>
        <v>-3.4831028392600882E-2</v>
      </c>
      <c r="N263" s="120">
        <f t="shared" si="1322"/>
        <v>-1.0298445823379021E-2</v>
      </c>
      <c r="O263" s="120">
        <f t="shared" si="1322"/>
        <v>1.3890981567685756E-3</v>
      </c>
      <c r="P263" s="120">
        <f t="shared" si="1322"/>
        <v>-9.3939168271327533E-3</v>
      </c>
      <c r="Q263" s="120">
        <f t="shared" si="1322"/>
        <v>-3.4961723620866469E-2</v>
      </c>
      <c r="R263" s="120">
        <f t="shared" si="1322"/>
        <v>-8.9979452886895794E-3</v>
      </c>
      <c r="S263" s="120">
        <f t="shared" si="1322"/>
        <v>1.3083756897910304E-2</v>
      </c>
      <c r="T263" s="120">
        <f t="shared" si="1322"/>
        <v>6.0007088085572535E-2</v>
      </c>
      <c r="U263" s="120">
        <f t="shared" si="1322"/>
        <v>0.12836474221431238</v>
      </c>
      <c r="V263" s="120">
        <f t="shared" si="1322"/>
        <v>5.8058283475688643E-2</v>
      </c>
      <c r="W263" s="120">
        <f t="shared" si="1322"/>
        <v>3.3724611436090512E-2</v>
      </c>
      <c r="X263" s="120">
        <f t="shared" si="1322"/>
        <v>-3.2927564423967937E-5</v>
      </c>
      <c r="Y263" s="120">
        <f t="shared" si="1322"/>
        <v>-3.7675309344140206E-2</v>
      </c>
      <c r="Z263" s="120">
        <f t="shared" si="1322"/>
        <v>-3.4648084922566991E-2</v>
      </c>
      <c r="AA263" s="120">
        <f t="shared" si="1322"/>
        <v>-7.1613296767558676E-2</v>
      </c>
      <c r="AB263" s="120">
        <f t="shared" si="1323"/>
        <v>-6.3634613582307709E-2</v>
      </c>
      <c r="AC263" s="120">
        <f t="shared" si="1324"/>
        <v>-4.9777186615623581E-2</v>
      </c>
      <c r="AD263" s="120">
        <f t="shared" si="1325"/>
        <v>-2.7234455578327821E-2</v>
      </c>
      <c r="AE263" s="120">
        <f t="shared" si="1326"/>
        <v>-2.1163834414376081E-3</v>
      </c>
      <c r="AF263" s="120">
        <f t="shared" si="1327"/>
        <v>3.217730384220463E-3</v>
      </c>
      <c r="AG263" s="120">
        <f t="shared" si="1328"/>
        <v>-1.8263128764797076E-2</v>
      </c>
      <c r="AH263" s="120">
        <f t="shared" ca="1" si="1329"/>
        <v>3.3273262083445942E-2</v>
      </c>
      <c r="AI263" s="120">
        <f t="shared" si="1330"/>
        <v>-2.2672516409890209E-2</v>
      </c>
      <c r="AJ263" s="120"/>
      <c r="AK263" s="120"/>
      <c r="AL263" s="120"/>
      <c r="AM263" s="120"/>
      <c r="AP263" s="120">
        <f t="shared" si="1333"/>
        <v>-3.5867661401923101E-2</v>
      </c>
      <c r="AQ263" s="120">
        <f t="shared" si="1333"/>
        <v>2.112474643418949E-2</v>
      </c>
      <c r="AR263" s="120">
        <f t="shared" si="1333"/>
        <v>6.6391591090031454E-4</v>
      </c>
      <c r="AS263" s="120">
        <f t="shared" si="1333"/>
        <v>-2.3379733417649984E-2</v>
      </c>
      <c r="AT263" s="120">
        <f t="shared" si="1333"/>
        <v>-9.925005174802215E-3</v>
      </c>
      <c r="AU263" s="120">
        <f t="shared" si="1333"/>
        <v>6.9181100336115575E-2</v>
      </c>
      <c r="AV263" s="120">
        <f t="shared" si="1333"/>
        <v>-3.6237470120695447E-2</v>
      </c>
      <c r="AW263" s="120">
        <f t="shared" si="1333"/>
        <v>-3.6112126292296653E-2</v>
      </c>
      <c r="AX263" s="120">
        <f t="shared" ca="1" si="1333"/>
        <v>-1.0371818173420255E-3</v>
      </c>
      <c r="AY263" s="120"/>
      <c r="AZ263" s="120"/>
    </row>
    <row r="264" spans="1:52" x14ac:dyDescent="0.2">
      <c r="B264" s="13" t="s">
        <v>261</v>
      </c>
      <c r="H264" s="120">
        <f t="shared" si="1332"/>
        <v>3.7402556947923715E-2</v>
      </c>
      <c r="I264" s="120">
        <f t="shared" si="1322"/>
        <v>7.7800905857174918E-3</v>
      </c>
      <c r="J264" s="120">
        <f t="shared" si="1322"/>
        <v>-7.340746539785814E-2</v>
      </c>
      <c r="K264" s="120">
        <f t="shared" si="1322"/>
        <v>-6.7354716195827447E-2</v>
      </c>
      <c r="L264" s="120">
        <f t="shared" si="1322"/>
        <v>-9.3596485312847033E-2</v>
      </c>
      <c r="M264" s="120">
        <f t="shared" si="1322"/>
        <v>-7.4762168426644626E-2</v>
      </c>
      <c r="N264" s="120">
        <f t="shared" si="1322"/>
        <v>-6.2640986309460356E-2</v>
      </c>
      <c r="O264" s="120">
        <f t="shared" si="1322"/>
        <v>-4.6379984798934459E-2</v>
      </c>
      <c r="P264" s="120">
        <f t="shared" si="1322"/>
        <v>-7.5970387256525829E-2</v>
      </c>
      <c r="Q264" s="120">
        <f t="shared" si="1322"/>
        <v>-6.1717498050439912E-2</v>
      </c>
      <c r="R264" s="120">
        <f t="shared" si="1322"/>
        <v>4.2636388165715022E-2</v>
      </c>
      <c r="S264" s="120">
        <f t="shared" si="1322"/>
        <v>6.9935858250536054E-2</v>
      </c>
      <c r="T264" s="120">
        <f t="shared" si="1322"/>
        <v>0.17347309255250454</v>
      </c>
      <c r="U264" s="120">
        <f t="shared" si="1322"/>
        <v>0.1717462318059626</v>
      </c>
      <c r="V264" s="120">
        <f t="shared" si="1322"/>
        <v>2.7946418079981328E-2</v>
      </c>
      <c r="W264" s="120">
        <f t="shared" si="1322"/>
        <v>-4.2071020475110688E-3</v>
      </c>
      <c r="X264" s="120">
        <f t="shared" si="1322"/>
        <v>-6.2282191624766337E-2</v>
      </c>
      <c r="Y264" s="120">
        <f t="shared" si="1322"/>
        <v>-7.1558665270585853E-2</v>
      </c>
      <c r="Z264" s="120">
        <f t="shared" si="1322"/>
        <v>-6.9448564733291085E-2</v>
      </c>
      <c r="AA264" s="120">
        <f t="shared" si="1322"/>
        <v>-9.7478251082298573E-2</v>
      </c>
      <c r="AB264" s="120">
        <f t="shared" si="1323"/>
        <v>-5.6354808471513307E-2</v>
      </c>
      <c r="AC264" s="120">
        <f t="shared" si="1324"/>
        <v>-6.5334620604737714E-2</v>
      </c>
      <c r="AD264" s="120">
        <f t="shared" si="1325"/>
        <v>-4.2230905570536881E-2</v>
      </c>
      <c r="AE264" s="120">
        <f t="shared" si="1326"/>
        <v>-8.9517508839969118E-3</v>
      </c>
      <c r="AF264" s="120">
        <f t="shared" si="1327"/>
        <v>-3.7899978933077394E-2</v>
      </c>
      <c r="AG264" s="120">
        <f t="shared" si="1328"/>
        <v>-1.34925957640466E-2</v>
      </c>
      <c r="AH264" s="120">
        <f t="shared" ca="1" si="1329"/>
        <v>0.11466933485488018</v>
      </c>
      <c r="AI264" s="120">
        <f t="shared" si="1330"/>
        <v>-8.1486835502477817E-3</v>
      </c>
      <c r="AJ264" s="120"/>
      <c r="AK264" s="120"/>
      <c r="AL264" s="120"/>
      <c r="AM264" s="120"/>
      <c r="AP264" s="120">
        <f t="shared" si="1333"/>
        <v>-1.1411868076944165E-2</v>
      </c>
      <c r="AQ264" s="120">
        <f t="shared" si="1333"/>
        <v>3.1033935635509824E-2</v>
      </c>
      <c r="AR264" s="120">
        <f t="shared" si="1333"/>
        <v>-2.5060577843507015E-2</v>
      </c>
      <c r="AS264" s="120">
        <f t="shared" si="1333"/>
        <v>-6.9793168763694458E-2</v>
      </c>
      <c r="AT264" s="120">
        <f t="shared" si="1333"/>
        <v>-6.8795828533875225E-3</v>
      </c>
      <c r="AU264" s="120">
        <f t="shared" si="1333"/>
        <v>8.7799573418746224E-2</v>
      </c>
      <c r="AV264" s="120">
        <f t="shared" si="1333"/>
        <v>-7.50224295233759E-2</v>
      </c>
      <c r="AW264" s="120">
        <f t="shared" si="1333"/>
        <v>-4.3849171514012464E-2</v>
      </c>
      <c r="AX264" s="120">
        <f t="shared" ca="1" si="1333"/>
        <v>1.3293275164298013E-2</v>
      </c>
      <c r="AY264" s="120"/>
      <c r="AZ264" s="120"/>
    </row>
    <row r="265" spans="1:52" x14ac:dyDescent="0.2">
      <c r="B265" s="20"/>
      <c r="AQ265" s="120"/>
      <c r="AR265" s="120"/>
      <c r="AS265" s="120"/>
      <c r="AT265" s="120"/>
    </row>
    <row r="266" spans="1:52" x14ac:dyDescent="0.2">
      <c r="B266" s="19" t="s">
        <v>214</v>
      </c>
      <c r="AQ266" s="120"/>
      <c r="AR266" s="120"/>
      <c r="AS266" s="120"/>
      <c r="AT266" s="120"/>
    </row>
    <row r="267" spans="1:52" x14ac:dyDescent="0.2">
      <c r="B267" s="13" t="s">
        <v>255</v>
      </c>
      <c r="E267" s="120">
        <f>+IFERROR(E253/D253-1,"n/a")</f>
        <v>3.2435826089241671E-2</v>
      </c>
      <c r="F267" s="120">
        <f t="shared" ref="F267:AA271" si="1334">+IFERROR(F253/E253-1,"n/a")</f>
        <v>6.7919290565598756E-2</v>
      </c>
      <c r="G267" s="120">
        <f t="shared" si="1334"/>
        <v>2.7475497184783482E-3</v>
      </c>
      <c r="H267" s="120">
        <f t="shared" si="1334"/>
        <v>4.3144301850532862E-2</v>
      </c>
      <c r="I267" s="120">
        <f t="shared" si="1334"/>
        <v>-3.0281848873930706E-2</v>
      </c>
      <c r="J267" s="120">
        <f t="shared" si="1334"/>
        <v>-2.4278618821572784E-2</v>
      </c>
      <c r="K267" s="120">
        <f t="shared" si="1334"/>
        <v>-1.8740529113998039E-2</v>
      </c>
      <c r="L267" s="120">
        <f t="shared" si="1334"/>
        <v>-4.7827180597783681E-3</v>
      </c>
      <c r="M267" s="120">
        <f t="shared" si="1334"/>
        <v>-1.0296549792783272E-2</v>
      </c>
      <c r="N267" s="120">
        <f t="shared" si="1334"/>
        <v>-1.0732901834256681E-2</v>
      </c>
      <c r="O267" s="120">
        <f t="shared" si="1334"/>
        <v>-4.0188096120427064E-3</v>
      </c>
      <c r="P267" s="120">
        <f t="shared" si="1334"/>
        <v>-4.4956037366433721E-3</v>
      </c>
      <c r="Q267" s="120">
        <f t="shared" si="1334"/>
        <v>-9.7702494543361329E-4</v>
      </c>
      <c r="R267" s="120">
        <f t="shared" si="1334"/>
        <v>6.1459306659983337E-2</v>
      </c>
      <c r="S267" s="120">
        <f t="shared" si="1334"/>
        <v>2.0271513031992594E-2</v>
      </c>
      <c r="T267" s="120">
        <f t="shared" si="1334"/>
        <v>1.0590905622629654E-2</v>
      </c>
      <c r="U267" s="120">
        <f t="shared" si="1334"/>
        <v>-4.4969624760837767E-4</v>
      </c>
      <c r="V267" s="120">
        <f t="shared" si="1334"/>
        <v>-2.1403384698136296E-2</v>
      </c>
      <c r="W267" s="120">
        <f t="shared" si="1334"/>
        <v>-2.9942380003579405E-2</v>
      </c>
      <c r="X267" s="120">
        <f t="shared" si="1334"/>
        <v>-1.8592535529379672E-2</v>
      </c>
      <c r="Y267" s="120">
        <f t="shared" si="1334"/>
        <v>-5.1038518560757362E-2</v>
      </c>
      <c r="Z267" s="120">
        <f t="shared" si="1334"/>
        <v>-5.3619245054850051E-2</v>
      </c>
      <c r="AA267" s="120">
        <f t="shared" si="1334"/>
        <v>1.322651851484391E-2</v>
      </c>
      <c r="AB267" s="120">
        <f t="shared" ref="AB267:AB271" si="1335">+IFERROR(AB253/AA253-1,"n/a")</f>
        <v>5.0076030028189278E-2</v>
      </c>
      <c r="AC267" s="120">
        <f t="shared" ref="AC267:AC271" si="1336">+IFERROR(AC253/AB253-1,"n/a")</f>
        <v>1.4961070446174674E-2</v>
      </c>
      <c r="AD267" s="120">
        <f t="shared" ref="AD267:AD271" si="1337">+IFERROR(AD253/AC253-1,"n/a")</f>
        <v>-3.4910587554337624E-5</v>
      </c>
      <c r="AE267" s="120">
        <f t="shared" ref="AE267:AE271" si="1338">+IFERROR(AE253/AD253-1,"n/a")</f>
        <v>-1.1094604564075516E-2</v>
      </c>
      <c r="AF267" s="120">
        <f t="shared" ref="AF267:AF271" si="1339">+IFERROR(AF253/AE253-1,"n/a")</f>
        <v>8.5499465338017E-3</v>
      </c>
      <c r="AG267" s="120">
        <f t="shared" ref="AG267:AG271" si="1340">+IFERROR(AG253/AF253-1,"n/a")</f>
        <v>-8.5189170068830089E-3</v>
      </c>
      <c r="AH267" s="120">
        <f t="shared" ref="AH267:AH271" ca="1" si="1341">+IFERROR(AH253/AG253-1,"n/a")</f>
        <v>-4.2055140345078956E-2</v>
      </c>
      <c r="AI267" s="120">
        <f t="shared" ref="AI267:AI271" ca="1" si="1342">+IFERROR(AI253/AH253-1,"n/a")</f>
        <v>9.1945660361817394E-2</v>
      </c>
      <c r="AJ267" s="120"/>
      <c r="AK267" s="120"/>
      <c r="AL267" s="120"/>
      <c r="AM267" s="120"/>
      <c r="AP267" s="120">
        <f t="shared" ref="AP267:AX267" si="1343">+IFERROR(AP253/AO253-1,"n/a")</f>
        <v>-3.2947326609964467E-3</v>
      </c>
      <c r="AQ267" s="120">
        <f t="shared" si="1343"/>
        <v>2.1239852918717661E-2</v>
      </c>
      <c r="AR267" s="120">
        <f t="shared" si="1343"/>
        <v>4.4864937089805101E-2</v>
      </c>
      <c r="AS267" s="120">
        <f t="shared" si="1343"/>
        <v>-5.1909502415724895E-2</v>
      </c>
      <c r="AT267" s="120">
        <f t="shared" si="1343"/>
        <v>1.9641628926941213E-2</v>
      </c>
      <c r="AU267" s="120">
        <f t="shared" si="1343"/>
        <v>3.6316282362051977E-2</v>
      </c>
      <c r="AV267" s="120">
        <f t="shared" si="1343"/>
        <v>-0.10919613104144377</v>
      </c>
      <c r="AW267" s="120">
        <f t="shared" si="1343"/>
        <v>2.6282525764391274E-2</v>
      </c>
      <c r="AX267" s="120">
        <f t="shared" ca="1" si="1343"/>
        <v>-1.6275122005623421E-3</v>
      </c>
      <c r="AY267" s="120"/>
      <c r="AZ267" s="120"/>
    </row>
    <row r="268" spans="1:52" x14ac:dyDescent="0.2">
      <c r="B268" s="13" t="s">
        <v>256</v>
      </c>
      <c r="E268" s="120">
        <f t="shared" ref="E268:T271" si="1344">+IFERROR(E254/D254-1,"n/a")</f>
        <v>3.2576490287037352E-2</v>
      </c>
      <c r="F268" s="120">
        <f t="shared" si="1344"/>
        <v>2.3191465240558262E-2</v>
      </c>
      <c r="G268" s="120">
        <f t="shared" si="1344"/>
        <v>1.4309981072343048E-2</v>
      </c>
      <c r="H268" s="120">
        <f t="shared" si="1344"/>
        <v>4.8180118337132871E-2</v>
      </c>
      <c r="I268" s="120">
        <f t="shared" si="1344"/>
        <v>-2.1986591420694146E-2</v>
      </c>
      <c r="J268" s="120">
        <f t="shared" si="1344"/>
        <v>-4.2498403462190582E-2</v>
      </c>
      <c r="K268" s="120">
        <f t="shared" si="1344"/>
        <v>-1.2759732509956323E-2</v>
      </c>
      <c r="L268" s="120">
        <f t="shared" si="1344"/>
        <v>1.2217970585445492E-2</v>
      </c>
      <c r="M268" s="120">
        <f t="shared" si="1344"/>
        <v>-1.2879238228657219E-2</v>
      </c>
      <c r="N268" s="120">
        <f t="shared" si="1344"/>
        <v>-4.0736075266349259E-2</v>
      </c>
      <c r="O268" s="120">
        <f t="shared" si="1344"/>
        <v>4.4741108920238748E-2</v>
      </c>
      <c r="P268" s="120">
        <f t="shared" si="1344"/>
        <v>-5.7660626029654161E-3</v>
      </c>
      <c r="Q268" s="120">
        <f t="shared" si="1344"/>
        <v>-3.0969985796020172E-2</v>
      </c>
      <c r="R268" s="120">
        <f t="shared" si="1344"/>
        <v>4.0893948746379749E-2</v>
      </c>
      <c r="S268" s="120">
        <f t="shared" si="1344"/>
        <v>2.2723296333398979E-2</v>
      </c>
      <c r="T268" s="120">
        <f t="shared" si="1344"/>
        <v>4.3520914170828595E-2</v>
      </c>
      <c r="U268" s="120">
        <f t="shared" si="1334"/>
        <v>1.3810062674094681E-2</v>
      </c>
      <c r="V268" s="120">
        <f t="shared" si="1334"/>
        <v>-1.3792950476460342E-2</v>
      </c>
      <c r="W268" s="120">
        <f t="shared" si="1334"/>
        <v>-2.1959325875467228E-2</v>
      </c>
      <c r="X268" s="120">
        <f t="shared" si="1334"/>
        <v>-4.6148002973175339E-3</v>
      </c>
      <c r="Y268" s="120">
        <f t="shared" si="1334"/>
        <v>-6.3492252761707335E-2</v>
      </c>
      <c r="Z268" s="120">
        <f t="shared" si="1334"/>
        <v>-6.2883712639369982E-2</v>
      </c>
      <c r="AA268" s="120">
        <f t="shared" si="1334"/>
        <v>-3.1988383300145529E-3</v>
      </c>
      <c r="AB268" s="120">
        <f t="shared" si="1335"/>
        <v>3.4525764834969941E-2</v>
      </c>
      <c r="AC268" s="120">
        <f t="shared" si="1336"/>
        <v>3.076147749955549E-2</v>
      </c>
      <c r="AD268" s="120">
        <f t="shared" si="1337"/>
        <v>1.1539211268865701E-2</v>
      </c>
      <c r="AE268" s="120">
        <f t="shared" si="1338"/>
        <v>-1.9144257986251523E-2</v>
      </c>
      <c r="AF268" s="120">
        <f t="shared" si="1339"/>
        <v>2.1026043209956047E-2</v>
      </c>
      <c r="AG268" s="120">
        <f t="shared" si="1340"/>
        <v>-5.1638383059329218E-3</v>
      </c>
      <c r="AH268" s="120">
        <f t="shared" ca="1" si="1341"/>
        <v>-4.0406077912191418E-2</v>
      </c>
      <c r="AI268" s="120">
        <f t="shared" ca="1" si="1342"/>
        <v>0.10406718030958229</v>
      </c>
      <c r="AJ268" s="120"/>
      <c r="AK268" s="120"/>
      <c r="AL268" s="120"/>
      <c r="AM268" s="120"/>
      <c r="AP268" s="120">
        <f t="shared" ref="AP268:AX268" si="1345">+IFERROR(AP254/AO254-1,"n/a")</f>
        <v>-0.11344525719370335</v>
      </c>
      <c r="AQ268" s="120">
        <f t="shared" si="1345"/>
        <v>-4.8928140230312556E-2</v>
      </c>
      <c r="AR268" s="120">
        <f t="shared" si="1345"/>
        <v>3.587100158373091E-2</v>
      </c>
      <c r="AS268" s="120">
        <f t="shared" si="1345"/>
        <v>-4.3494284834642571E-2</v>
      </c>
      <c r="AT268" s="120">
        <f t="shared" si="1345"/>
        <v>5.3442180791827276E-3</v>
      </c>
      <c r="AU268" s="120">
        <f t="shared" si="1345"/>
        <v>7.1541413301052126E-2</v>
      </c>
      <c r="AV268" s="120">
        <f t="shared" si="1345"/>
        <v>-0.10083042723783897</v>
      </c>
      <c r="AW268" s="120">
        <f t="shared" si="1345"/>
        <v>5.5244777294745084E-3</v>
      </c>
      <c r="AX268" s="120">
        <f t="shared" ca="1" si="1345"/>
        <v>2.0466420204458213E-2</v>
      </c>
      <c r="AY268" s="120"/>
      <c r="AZ268" s="120"/>
    </row>
    <row r="269" spans="1:52" x14ac:dyDescent="0.2">
      <c r="B269" s="13" t="s">
        <v>263</v>
      </c>
      <c r="E269" s="120">
        <f t="shared" si="1344"/>
        <v>2.3647112323783581E-2</v>
      </c>
      <c r="F269" s="120">
        <f t="shared" si="1334"/>
        <v>1.4438027543315357E-3</v>
      </c>
      <c r="G269" s="120">
        <f t="shared" si="1334"/>
        <v>-1.7411555949872537E-2</v>
      </c>
      <c r="H269" s="120">
        <f t="shared" si="1334"/>
        <v>4.2776523702031666E-2</v>
      </c>
      <c r="I269" s="120">
        <f t="shared" si="1334"/>
        <v>-8.117761662517653E-3</v>
      </c>
      <c r="J269" s="120">
        <f t="shared" si="1334"/>
        <v>-2.1060672195547858E-2</v>
      </c>
      <c r="K269" s="120">
        <f t="shared" si="1334"/>
        <v>-1.0701148144019679E-2</v>
      </c>
      <c r="L269" s="120">
        <f t="shared" si="1334"/>
        <v>2.3098591549295833E-2</v>
      </c>
      <c r="M269" s="120">
        <f t="shared" si="1334"/>
        <v>2.2026431718062955E-3</v>
      </c>
      <c r="N269" s="120">
        <f t="shared" si="1334"/>
        <v>2.417582417582409E-2</v>
      </c>
      <c r="O269" s="120">
        <f t="shared" si="1334"/>
        <v>-1.309012875536486E-2</v>
      </c>
      <c r="P269" s="120">
        <f t="shared" si="1334"/>
        <v>-2.1743857360294605E-3</v>
      </c>
      <c r="Q269" s="120">
        <f t="shared" si="1334"/>
        <v>1.3074743952930845E-2</v>
      </c>
      <c r="R269" s="120">
        <f t="shared" si="1334"/>
        <v>1.3551301355130052E-2</v>
      </c>
      <c r="S269" s="120">
        <f t="shared" si="1334"/>
        <v>1.6022920203735191E-2</v>
      </c>
      <c r="T269" s="120">
        <f t="shared" si="1334"/>
        <v>-1.4516971279373347E-2</v>
      </c>
      <c r="U269" s="120">
        <f t="shared" si="1334"/>
        <v>-3.1687155574396053E-2</v>
      </c>
      <c r="V269" s="120">
        <f t="shared" si="1334"/>
        <v>-5.9100361168872295E-3</v>
      </c>
      <c r="W269" s="120">
        <f t="shared" si="1334"/>
        <v>-3.0936915116151043E-2</v>
      </c>
      <c r="X269" s="120">
        <f t="shared" si="1334"/>
        <v>-2.2154055896387304E-2</v>
      </c>
      <c r="Y269" s="120">
        <f t="shared" si="1334"/>
        <v>-0.10317183687696063</v>
      </c>
      <c r="Z269" s="120">
        <f t="shared" si="1334"/>
        <v>-6.1795569374271331E-2</v>
      </c>
      <c r="AA269" s="120">
        <f t="shared" si="1334"/>
        <v>-2.0850593758630187E-2</v>
      </c>
      <c r="AB269" s="120">
        <f t="shared" si="1335"/>
        <v>6.5999153857001724E-2</v>
      </c>
      <c r="AC269" s="120">
        <f t="shared" si="1336"/>
        <v>-3.6115888345019109E-2</v>
      </c>
      <c r="AD269" s="120">
        <f t="shared" si="1337"/>
        <v>-4.9958825144111985E-2</v>
      </c>
      <c r="AE269" s="120">
        <f t="shared" si="1338"/>
        <v>-2.1381103727246553E-2</v>
      </c>
      <c r="AF269" s="120">
        <f t="shared" si="1339"/>
        <v>-5.4620608207852639E-3</v>
      </c>
      <c r="AG269" s="120">
        <f t="shared" si="1340"/>
        <v>-4.7647320765919599E-2</v>
      </c>
      <c r="AH269" s="120">
        <f t="shared" ca="1" si="1341"/>
        <v>-2.4314214463840633E-2</v>
      </c>
      <c r="AI269" s="120">
        <f t="shared" ca="1" si="1342"/>
        <v>0.10287539936102275</v>
      </c>
      <c r="AJ269" s="120"/>
      <c r="AK269" s="120"/>
      <c r="AL269" s="120"/>
      <c r="AM269" s="120"/>
      <c r="AP269" s="120">
        <f t="shared" ref="AP269:AX269" si="1346">+IFERROR(AP255/AO255-1,"n/a")</f>
        <v>0.1155614714424007</v>
      </c>
      <c r="AQ269" s="120">
        <f t="shared" si="1346"/>
        <v>-3.243301876559268E-2</v>
      </c>
      <c r="AR269" s="120">
        <f t="shared" si="1346"/>
        <v>1.5807174887892295E-2</v>
      </c>
      <c r="AS269" s="120">
        <f t="shared" si="1346"/>
        <v>1.2581392782253786E-2</v>
      </c>
      <c r="AT269" s="120">
        <f t="shared" si="1346"/>
        <v>2.1253405994550389E-2</v>
      </c>
      <c r="AU269" s="120">
        <f t="shared" si="1346"/>
        <v>-2.7534685165421457E-2</v>
      </c>
      <c r="AV269" s="120">
        <f t="shared" si="1346"/>
        <v>-0.15946005267778751</v>
      </c>
      <c r="AW269" s="120">
        <f t="shared" si="1346"/>
        <v>-6.8677373025199162E-2</v>
      </c>
      <c r="AX269" s="120">
        <f t="shared" ca="1" si="1346"/>
        <v>-7.7632132342632776E-2</v>
      </c>
      <c r="AY269" s="120"/>
      <c r="AZ269" s="120"/>
    </row>
    <row r="270" spans="1:52" x14ac:dyDescent="0.2">
      <c r="B270" s="13" t="s">
        <v>254</v>
      </c>
      <c r="E270" s="120">
        <f t="shared" si="1344"/>
        <v>-1.5886189127980455E-2</v>
      </c>
      <c r="F270" s="120">
        <f t="shared" si="1334"/>
        <v>7.3479785392543739E-2</v>
      </c>
      <c r="G270" s="120">
        <f t="shared" si="1334"/>
        <v>-1.3992725486732027E-2</v>
      </c>
      <c r="H270" s="120">
        <f t="shared" si="1334"/>
        <v>4.9888113896368047E-3</v>
      </c>
      <c r="I270" s="120">
        <f t="shared" si="1334"/>
        <v>-2.0633794714036258E-2</v>
      </c>
      <c r="J270" s="120">
        <f t="shared" si="1334"/>
        <v>-1.2140961155121421E-2</v>
      </c>
      <c r="K270" s="120">
        <f t="shared" si="1334"/>
        <v>-1.1184530375187518E-2</v>
      </c>
      <c r="L270" s="120">
        <f t="shared" si="1334"/>
        <v>-6.1194333642609067E-3</v>
      </c>
      <c r="M270" s="120">
        <f t="shared" si="1334"/>
        <v>-5.8339627860464205E-3</v>
      </c>
      <c r="N270" s="120">
        <f t="shared" si="1334"/>
        <v>1.2968355607158477E-2</v>
      </c>
      <c r="O270" s="120">
        <f t="shared" si="1334"/>
        <v>4.9254969073708743E-4</v>
      </c>
      <c r="P270" s="120">
        <f t="shared" si="1334"/>
        <v>-1.6821596052039367E-2</v>
      </c>
      <c r="Q270" s="120">
        <f t="shared" si="1334"/>
        <v>-3.1493652941555594E-2</v>
      </c>
      <c r="R270" s="120">
        <f t="shared" si="1334"/>
        <v>4.0221664088532449E-2</v>
      </c>
      <c r="S270" s="120">
        <f t="shared" si="1334"/>
        <v>2.2785720948205856E-2</v>
      </c>
      <c r="T270" s="120">
        <f t="shared" si="1334"/>
        <v>2.871659913753799E-2</v>
      </c>
      <c r="U270" s="120">
        <f t="shared" si="1334"/>
        <v>3.0963308561673397E-2</v>
      </c>
      <c r="V270" s="120">
        <f t="shared" si="1334"/>
        <v>-2.4592751648832234E-2</v>
      </c>
      <c r="W270" s="120">
        <f t="shared" si="1334"/>
        <v>-7.3673777550520292E-4</v>
      </c>
      <c r="X270" s="120">
        <f t="shared" si="1334"/>
        <v>-4.8773971083463374E-3</v>
      </c>
      <c r="Y270" s="120">
        <f t="shared" si="1334"/>
        <v>-7.8458837922659175E-3</v>
      </c>
      <c r="Z270" s="120">
        <f t="shared" si="1334"/>
        <v>-2.1524372886591703E-2</v>
      </c>
      <c r="AA270" s="120">
        <f t="shared" si="1334"/>
        <v>-3.9000481390788821E-2</v>
      </c>
      <c r="AB270" s="120">
        <f t="shared" si="1335"/>
        <v>3.6748235894623615E-3</v>
      </c>
      <c r="AC270" s="120">
        <f t="shared" si="1336"/>
        <v>6.8371698580220741E-3</v>
      </c>
      <c r="AD270" s="120">
        <f t="shared" si="1337"/>
        <v>1.6886173488306344E-3</v>
      </c>
      <c r="AE270" s="120">
        <f t="shared" si="1338"/>
        <v>-1.4186223350539651E-2</v>
      </c>
      <c r="AF270" s="120">
        <f t="shared" si="1339"/>
        <v>9.0398938883786695E-3</v>
      </c>
      <c r="AG270" s="120">
        <f t="shared" si="1340"/>
        <v>-1.4721188588685763E-2</v>
      </c>
      <c r="AH270" s="120">
        <f t="shared" ca="1" si="1341"/>
        <v>5.4272377421907825E-2</v>
      </c>
      <c r="AI270" s="120">
        <f t="shared" ca="1" si="1342"/>
        <v>-6.7562344854839251E-2</v>
      </c>
      <c r="AJ270" s="120"/>
      <c r="AK270" s="120"/>
      <c r="AL270" s="120"/>
      <c r="AM270" s="120"/>
      <c r="AP270" s="120">
        <f t="shared" ref="AP270:AX270" si="1347">+IFERROR(AP256/AO256-1,"n/a")</f>
        <v>-3.5867661401923101E-2</v>
      </c>
      <c r="AQ270" s="120">
        <f t="shared" si="1347"/>
        <v>2.112474643418949E-2</v>
      </c>
      <c r="AR270" s="120">
        <f t="shared" si="1347"/>
        <v>6.6391591090031454E-4</v>
      </c>
      <c r="AS270" s="120">
        <f t="shared" si="1347"/>
        <v>-2.3379733417649984E-2</v>
      </c>
      <c r="AT270" s="120">
        <f t="shared" si="1347"/>
        <v>-9.925005174802215E-3</v>
      </c>
      <c r="AU270" s="120">
        <f t="shared" si="1347"/>
        <v>6.9181100336115575E-2</v>
      </c>
      <c r="AV270" s="120">
        <f t="shared" si="1347"/>
        <v>-3.6237470120695447E-2</v>
      </c>
      <c r="AW270" s="120">
        <f t="shared" si="1347"/>
        <v>-3.6112126292296653E-2</v>
      </c>
      <c r="AX270" s="120">
        <f t="shared" ca="1" si="1347"/>
        <v>-1.0371818173420255E-3</v>
      </c>
      <c r="AY270" s="120"/>
      <c r="AZ270" s="120"/>
    </row>
    <row r="271" spans="1:52" x14ac:dyDescent="0.2">
      <c r="B271" s="13" t="s">
        <v>261</v>
      </c>
      <c r="E271" s="120">
        <f t="shared" si="1344"/>
        <v>-8.8843776975854327E-3</v>
      </c>
      <c r="F271" s="120">
        <f t="shared" si="1334"/>
        <v>5.1287070959699976E-2</v>
      </c>
      <c r="G271" s="120">
        <f t="shared" si="1334"/>
        <v>-2.604756511891293E-2</v>
      </c>
      <c r="H271" s="120">
        <f t="shared" si="1334"/>
        <v>2.2266011133655894E-2</v>
      </c>
      <c r="I271" s="120">
        <f t="shared" si="1334"/>
        <v>-3.7185145790047502E-2</v>
      </c>
      <c r="J271" s="120">
        <f t="shared" si="1334"/>
        <v>-3.3405441549397175E-2</v>
      </c>
      <c r="K271" s="120">
        <f t="shared" si="1334"/>
        <v>-1.9685448435581843E-2</v>
      </c>
      <c r="L271" s="120">
        <f t="shared" si="1334"/>
        <v>-6.4974095432009937E-3</v>
      </c>
      <c r="M271" s="120">
        <f t="shared" si="1334"/>
        <v>-1.7178647830700999E-2</v>
      </c>
      <c r="N271" s="120">
        <f t="shared" si="1334"/>
        <v>-2.0742460987377087E-2</v>
      </c>
      <c r="O271" s="120">
        <f t="shared" si="1334"/>
        <v>-2.6792681237101101E-3</v>
      </c>
      <c r="P271" s="120">
        <f t="shared" si="1334"/>
        <v>-3.7325350468998097E-2</v>
      </c>
      <c r="Q271" s="120">
        <f t="shared" si="1334"/>
        <v>-2.0189130682466416E-3</v>
      </c>
      <c r="R271" s="120">
        <f t="shared" si="1334"/>
        <v>8.8168586154721895E-2</v>
      </c>
      <c r="S271" s="120">
        <f t="shared" si="1334"/>
        <v>2.3433696850327701E-2</v>
      </c>
      <c r="T271" s="120">
        <f t="shared" si="1334"/>
        <v>5.5832262650009623E-2</v>
      </c>
      <c r="U271" s="120">
        <f t="shared" si="1334"/>
        <v>-3.4875231077534652E-3</v>
      </c>
      <c r="V271" s="120">
        <f t="shared" si="1334"/>
        <v>-4.53743566293483E-2</v>
      </c>
      <c r="W271" s="120">
        <f t="shared" si="1334"/>
        <v>-8.5786681835376966E-3</v>
      </c>
      <c r="X271" s="120">
        <f t="shared" si="1334"/>
        <v>-5.7443496737319411E-3</v>
      </c>
      <c r="Y271" s="120">
        <f t="shared" si="1334"/>
        <v>-1.3345629296051542E-2</v>
      </c>
      <c r="Z271" s="120">
        <f t="shared" si="1334"/>
        <v>-4.3204746113699732E-2</v>
      </c>
      <c r="AA271" s="120">
        <f t="shared" si="1334"/>
        <v>-3.8441852438974355E-2</v>
      </c>
      <c r="AB271" s="120">
        <f t="shared" si="1335"/>
        <v>3.9558952131097724E-2</v>
      </c>
      <c r="AC271" s="120">
        <f t="shared" si="1336"/>
        <v>-2.273472062919879E-2</v>
      </c>
      <c r="AD271" s="120">
        <f t="shared" si="1337"/>
        <v>-1.955400930544493E-2</v>
      </c>
      <c r="AE271" s="120">
        <f t="shared" si="1338"/>
        <v>-5.0310412957642603E-3</v>
      </c>
      <c r="AF271" s="120">
        <f t="shared" si="1339"/>
        <v>9.1937407061273291E-3</v>
      </c>
      <c r="AG271" s="120">
        <f t="shared" si="1340"/>
        <v>2.0573878928880074E-3</v>
      </c>
      <c r="AH271" s="120">
        <f t="shared" ca="1" si="1341"/>
        <v>0.10782045387186945</v>
      </c>
      <c r="AI271" s="120">
        <f t="shared" ca="1" si="1342"/>
        <v>-0.11466006944031015</v>
      </c>
      <c r="AJ271" s="120"/>
      <c r="AK271" s="120"/>
      <c r="AL271" s="120"/>
      <c r="AM271" s="120"/>
      <c r="AP271" s="120">
        <f t="shared" ref="AP271:AX271" si="1348">+IFERROR(AP257/AO257-1,"n/a")</f>
        <v>-1.1411868076944165E-2</v>
      </c>
      <c r="AQ271" s="120">
        <f t="shared" si="1348"/>
        <v>3.1033935635509824E-2</v>
      </c>
      <c r="AR271" s="120">
        <f t="shared" si="1348"/>
        <v>-2.5060577843507015E-2</v>
      </c>
      <c r="AS271" s="120">
        <f t="shared" si="1348"/>
        <v>-6.9793168763694458E-2</v>
      </c>
      <c r="AT271" s="120">
        <f t="shared" si="1348"/>
        <v>-6.8795828533875225E-3</v>
      </c>
      <c r="AU271" s="120">
        <f t="shared" si="1348"/>
        <v>8.7799573418746224E-2</v>
      </c>
      <c r="AV271" s="120">
        <f t="shared" si="1348"/>
        <v>-7.50224295233759E-2</v>
      </c>
      <c r="AW271" s="120">
        <f t="shared" si="1348"/>
        <v>-4.3849171514012464E-2</v>
      </c>
      <c r="AX271" s="120">
        <f t="shared" ca="1" si="1348"/>
        <v>1.3293275164298013E-2</v>
      </c>
      <c r="AY271" s="120"/>
      <c r="AZ271" s="120"/>
    </row>
    <row r="272" spans="1:52" x14ac:dyDescent="0.2">
      <c r="B272" s="122"/>
      <c r="AQ272" s="120"/>
      <c r="AR272" s="120"/>
      <c r="AS272" s="120"/>
      <c r="AT272" s="120"/>
    </row>
    <row r="273" spans="1:49" x14ac:dyDescent="0.2">
      <c r="B273" s="9" t="s">
        <v>181</v>
      </c>
      <c r="C273" s="8"/>
    </row>
    <row r="275" spans="1:49" s="3" customFormat="1" x14ac:dyDescent="0.2">
      <c r="A275" s="2"/>
      <c r="B275" s="3" t="s">
        <v>182</v>
      </c>
      <c r="D275" s="129" t="s">
        <v>91</v>
      </c>
      <c r="E275" s="129" t="s">
        <v>91</v>
      </c>
      <c r="F275" s="129" t="s">
        <v>91</v>
      </c>
      <c r="G275" s="129" t="s">
        <v>91</v>
      </c>
      <c r="H275" s="22">
        <v>13.1</v>
      </c>
      <c r="I275" s="22">
        <v>15.1</v>
      </c>
      <c r="J275" s="22">
        <v>16.8</v>
      </c>
      <c r="K275" s="22">
        <v>18.521000000000001</v>
      </c>
      <c r="L275" s="22">
        <v>20.370999999999999</v>
      </c>
      <c r="M275" s="22">
        <v>22.123999999999999</v>
      </c>
      <c r="N275" s="22">
        <v>23.831</v>
      </c>
      <c r="O275" s="22">
        <v>25.783000000000001</v>
      </c>
      <c r="P275" s="22">
        <v>27.786999999999999</v>
      </c>
      <c r="Q275" s="22">
        <v>28.452000000000002</v>
      </c>
      <c r="R275" s="22">
        <v>32.195999999999998</v>
      </c>
      <c r="S275" s="22">
        <v>36.44</v>
      </c>
      <c r="T275" s="22">
        <v>39.997999999999998</v>
      </c>
      <c r="U275" s="22">
        <v>45.005000000000003</v>
      </c>
      <c r="V275" s="22">
        <v>49.252000000000002</v>
      </c>
      <c r="W275" s="22">
        <v>53.746000000000002</v>
      </c>
      <c r="X275" s="22">
        <v>57.128</v>
      </c>
      <c r="Y275" s="22">
        <v>62.61</v>
      </c>
      <c r="Z275" s="22">
        <v>65.793000000000006</v>
      </c>
      <c r="AA275" s="22">
        <v>68.784999999999997</v>
      </c>
      <c r="AB275" s="22">
        <v>70.87</v>
      </c>
      <c r="AC275" s="22">
        <v>74.692999999999998</v>
      </c>
      <c r="AD275" s="22">
        <v>78.718000000000004</v>
      </c>
      <c r="AE275" s="22">
        <v>83.394000000000005</v>
      </c>
      <c r="AF275" s="22">
        <v>85.811999999999998</v>
      </c>
      <c r="AG275" s="22">
        <v>90.950999999999993</v>
      </c>
      <c r="AQ275" s="22">
        <v>38.406999999999996</v>
      </c>
      <c r="AR275" s="22">
        <v>63.521000000000001</v>
      </c>
      <c r="AS275" s="23">
        <f>+SUM(L275:O275)</f>
        <v>92.108999999999995</v>
      </c>
      <c r="AT275" s="23">
        <f>+SUM(P275:S275)</f>
        <v>124.875</v>
      </c>
      <c r="AU275" s="23">
        <f>+SUM(T275:W275)</f>
        <v>188.001</v>
      </c>
      <c r="AV275" s="23">
        <f>+SUM(X275:AA275)</f>
        <v>254.316</v>
      </c>
      <c r="AW275" s="23">
        <f>+SUM(AB275:AE275)</f>
        <v>307.67500000000001</v>
      </c>
    </row>
    <row r="277" spans="1:49" ht="13.5" x14ac:dyDescent="0.35">
      <c r="B277" t="s">
        <v>100</v>
      </c>
      <c r="D277" s="110" t="s">
        <v>91</v>
      </c>
      <c r="E277" s="110" t="s">
        <v>91</v>
      </c>
      <c r="F277" s="110" t="s">
        <v>91</v>
      </c>
      <c r="G277" s="110" t="s">
        <v>91</v>
      </c>
      <c r="H277" s="110" t="s">
        <v>91</v>
      </c>
      <c r="I277" s="110" t="s">
        <v>91</v>
      </c>
      <c r="J277" s="110" t="s">
        <v>91</v>
      </c>
      <c r="K277" s="110" t="s">
        <v>91</v>
      </c>
      <c r="L277" s="17">
        <v>-5.2729999999999997</v>
      </c>
      <c r="M277" s="17">
        <v>-5.2949999999999999</v>
      </c>
      <c r="N277" s="17">
        <v>-5.7430000000000003</v>
      </c>
      <c r="O277" s="17">
        <v>-6.2290000000000001</v>
      </c>
      <c r="P277" s="17">
        <v>-6.6109999999999998</v>
      </c>
      <c r="Q277" s="17">
        <v>-7.0549999999999997</v>
      </c>
      <c r="R277" s="17">
        <v>-7.7309999999999999</v>
      </c>
      <c r="S277" s="17">
        <v>-8.5329999999999995</v>
      </c>
      <c r="T277" s="17">
        <v>-8.7729999999999997</v>
      </c>
      <c r="U277" s="17">
        <v>-10.238</v>
      </c>
      <c r="V277" s="17">
        <v>-11.362</v>
      </c>
      <c r="W277" s="17">
        <v>-11.561</v>
      </c>
      <c r="X277" s="17">
        <v>-11.587</v>
      </c>
      <c r="Y277" s="17">
        <v>-12.598000000000001</v>
      </c>
      <c r="Z277" s="17">
        <v>-12.404999999999999</v>
      </c>
      <c r="AA277" s="17">
        <v>-11.962999999999999</v>
      </c>
      <c r="AB277" s="17">
        <v>-12.638999999999999</v>
      </c>
      <c r="AC277" s="17">
        <v>-12.972</v>
      </c>
      <c r="AD277" s="17">
        <v>-13.032</v>
      </c>
      <c r="AE277" s="17">
        <v>-13.683999999999999</v>
      </c>
      <c r="AF277" s="17">
        <v>-14.645</v>
      </c>
      <c r="AG277" s="17">
        <v>-14.957000000000001</v>
      </c>
      <c r="AH277" s="108"/>
      <c r="AI277" s="108"/>
      <c r="AJ277" s="108"/>
      <c r="AK277" s="108"/>
      <c r="AL277" s="108"/>
      <c r="AM277" s="108"/>
      <c r="AN277" s="108"/>
      <c r="AO277" s="108"/>
      <c r="AP277" s="108"/>
      <c r="AQ277" s="17">
        <v>-10.055999999999999</v>
      </c>
      <c r="AR277" s="17">
        <v>-17.684999999999999</v>
      </c>
      <c r="AS277" s="18">
        <f>+SUM(L277:O277)</f>
        <v>-22.54</v>
      </c>
      <c r="AT277" s="18">
        <f>+SUM(P277:S277)</f>
        <v>-29.93</v>
      </c>
      <c r="AU277" s="18">
        <f t="shared" ref="AU277:AU307" si="1349">+SUM(T277:W277)</f>
        <v>-41.933999999999997</v>
      </c>
      <c r="AV277" s="18">
        <f t="shared" ref="AV277:AV291" si="1350">+SUM(X277:AA277)</f>
        <v>-48.553000000000004</v>
      </c>
      <c r="AW277" s="18">
        <f>+SUM(AB277:AE277)</f>
        <v>-52.326999999999998</v>
      </c>
    </row>
    <row r="278" spans="1:49" s="3" customFormat="1" x14ac:dyDescent="0.2">
      <c r="A278" s="2"/>
      <c r="B278" s="24" t="s">
        <v>101</v>
      </c>
      <c r="D278" s="130" t="str">
        <f t="shared" ref="D278" si="1351">+IFERROR(D275+D277,"n/a")</f>
        <v>n/a</v>
      </c>
      <c r="E278" s="130" t="str">
        <f t="shared" ref="E278" si="1352">+IFERROR(E275+E277,"n/a")</f>
        <v>n/a</v>
      </c>
      <c r="F278" s="130" t="str">
        <f t="shared" ref="F278" si="1353">+IFERROR(F275+F277,"n/a")</f>
        <v>n/a</v>
      </c>
      <c r="G278" s="130" t="str">
        <f t="shared" ref="G278" si="1354">+IFERROR(G275+G277,"n/a")</f>
        <v>n/a</v>
      </c>
      <c r="H278" s="130" t="str">
        <f t="shared" ref="H278:K278" si="1355">+IFERROR(H275+H277,"n/a")</f>
        <v>n/a</v>
      </c>
      <c r="I278" s="130" t="str">
        <f t="shared" si="1355"/>
        <v>n/a</v>
      </c>
      <c r="J278" s="130" t="str">
        <f t="shared" si="1355"/>
        <v>n/a</v>
      </c>
      <c r="K278" s="130" t="str">
        <f t="shared" si="1355"/>
        <v>n/a</v>
      </c>
      <c r="L278" s="130">
        <f>+IFERROR(L275+L277,"n/a")</f>
        <v>15.097999999999999</v>
      </c>
      <c r="M278" s="130">
        <f t="shared" ref="M278:S278" si="1356">+IFERROR(M275+M277,"n/a")</f>
        <v>16.829000000000001</v>
      </c>
      <c r="N278" s="130">
        <f t="shared" si="1356"/>
        <v>18.088000000000001</v>
      </c>
      <c r="O278" s="130">
        <f t="shared" si="1356"/>
        <v>19.554000000000002</v>
      </c>
      <c r="P278" s="130">
        <f t="shared" si="1356"/>
        <v>21.175999999999998</v>
      </c>
      <c r="Q278" s="130">
        <f t="shared" si="1356"/>
        <v>21.397000000000002</v>
      </c>
      <c r="R278" s="130">
        <f t="shared" si="1356"/>
        <v>24.464999999999996</v>
      </c>
      <c r="S278" s="130">
        <f t="shared" si="1356"/>
        <v>27.906999999999996</v>
      </c>
      <c r="T278" s="130">
        <f t="shared" ref="T278:U278" si="1357">+IFERROR(T275+T277,"n/a")</f>
        <v>31.224999999999998</v>
      </c>
      <c r="U278" s="130">
        <f t="shared" si="1357"/>
        <v>34.767000000000003</v>
      </c>
      <c r="V278" s="130">
        <f t="shared" ref="V278:W278" si="1358">+IFERROR(V275+V277,"n/a")</f>
        <v>37.89</v>
      </c>
      <c r="W278" s="130">
        <f t="shared" si="1358"/>
        <v>42.185000000000002</v>
      </c>
      <c r="X278" s="130">
        <f t="shared" ref="X278:Y278" si="1359">+IFERROR(X275+X277,"n/a")</f>
        <v>45.540999999999997</v>
      </c>
      <c r="Y278" s="130">
        <f t="shared" si="1359"/>
        <v>50.012</v>
      </c>
      <c r="Z278" s="130">
        <f t="shared" ref="Z278:AA278" si="1360">+IFERROR(Z275+Z277,"n/a")</f>
        <v>53.388000000000005</v>
      </c>
      <c r="AA278" s="130">
        <f t="shared" si="1360"/>
        <v>56.821999999999996</v>
      </c>
      <c r="AB278" s="130">
        <f t="shared" ref="AB278:AC278" si="1361">+IFERROR(AB275+AB277,"n/a")</f>
        <v>58.231000000000009</v>
      </c>
      <c r="AC278" s="130">
        <f t="shared" si="1361"/>
        <v>61.720999999999997</v>
      </c>
      <c r="AD278" s="130">
        <f t="shared" ref="AD278:AE278" si="1362">+IFERROR(AD275+AD277,"n/a")</f>
        <v>65.686000000000007</v>
      </c>
      <c r="AE278" s="130">
        <f t="shared" si="1362"/>
        <v>69.710000000000008</v>
      </c>
      <c r="AF278" s="130">
        <f t="shared" ref="AF278:AG278" si="1363">+IFERROR(AF275+AF277,"n/a")</f>
        <v>71.167000000000002</v>
      </c>
      <c r="AG278" s="130">
        <f t="shared" si="1363"/>
        <v>75.994</v>
      </c>
      <c r="AH278" s="22"/>
      <c r="AI278" s="22"/>
      <c r="AJ278" s="22"/>
      <c r="AK278" s="22"/>
      <c r="AL278" s="22"/>
      <c r="AM278" s="22"/>
      <c r="AQ278" s="130">
        <f t="shared" ref="AQ278" si="1364">+IFERROR(AQ275+AQ277,"n/a")</f>
        <v>28.350999999999999</v>
      </c>
      <c r="AR278" s="130">
        <f t="shared" ref="AR278" si="1365">+IFERROR(AR275+AR277,"n/a")</f>
        <v>45.835999999999999</v>
      </c>
      <c r="AS278" s="23">
        <f>+SUM(L278:O278)</f>
        <v>69.569000000000003</v>
      </c>
      <c r="AT278" s="23">
        <f>+SUM(P278:S278)</f>
        <v>94.944999999999993</v>
      </c>
      <c r="AU278" s="23">
        <f t="shared" si="1349"/>
        <v>146.06700000000001</v>
      </c>
      <c r="AV278" s="23">
        <f t="shared" si="1350"/>
        <v>205.76300000000001</v>
      </c>
      <c r="AW278" s="23">
        <f>+SUM(AB278:AE278)</f>
        <v>255.34800000000001</v>
      </c>
    </row>
    <row r="280" spans="1:49" x14ac:dyDescent="0.2">
      <c r="B280" t="s">
        <v>103</v>
      </c>
      <c r="D280" s="112" t="s">
        <v>91</v>
      </c>
      <c r="E280" s="112" t="s">
        <v>91</v>
      </c>
      <c r="F280" s="112" t="s">
        <v>91</v>
      </c>
      <c r="G280" s="112" t="s">
        <v>91</v>
      </c>
      <c r="H280" s="112" t="s">
        <v>91</v>
      </c>
      <c r="I280" s="112" t="s">
        <v>91</v>
      </c>
      <c r="J280" s="112" t="s">
        <v>91</v>
      </c>
      <c r="K280" s="112" t="s">
        <v>91</v>
      </c>
      <c r="L280" s="11">
        <v>8.5559999999999992</v>
      </c>
      <c r="M280" s="11">
        <v>9.8729999999999993</v>
      </c>
      <c r="N280" s="11">
        <v>10.282</v>
      </c>
      <c r="O280" s="11">
        <v>13.007999999999999</v>
      </c>
      <c r="P280" s="11">
        <v>12.877000000000001</v>
      </c>
      <c r="Q280" s="11">
        <v>12.704000000000001</v>
      </c>
      <c r="R280" s="11">
        <v>14.085000000000001</v>
      </c>
      <c r="S280" s="11">
        <v>14.852</v>
      </c>
      <c r="T280" s="11">
        <v>16.457000000000001</v>
      </c>
      <c r="U280" s="11">
        <v>18.297999999999998</v>
      </c>
      <c r="V280" s="11">
        <v>20.673999999999999</v>
      </c>
      <c r="W280" s="11">
        <v>25.693999999999999</v>
      </c>
      <c r="X280" s="11">
        <v>25.83</v>
      </c>
      <c r="Y280" s="11">
        <v>30.893999999999998</v>
      </c>
      <c r="Z280" s="11">
        <v>30.568999999999999</v>
      </c>
      <c r="AA280" s="11">
        <v>39.595999999999997</v>
      </c>
      <c r="AB280" s="11">
        <v>35.496000000000002</v>
      </c>
      <c r="AC280" s="11">
        <v>30.236999999999998</v>
      </c>
      <c r="AD280" s="11">
        <v>30.094000000000001</v>
      </c>
      <c r="AE280" s="11">
        <v>31.044</v>
      </c>
      <c r="AF280" s="11">
        <v>33.920999999999999</v>
      </c>
      <c r="AG280" s="11">
        <v>35</v>
      </c>
      <c r="AH280" s="11"/>
      <c r="AI280" s="11"/>
      <c r="AJ280" s="11"/>
      <c r="AK280" s="11"/>
      <c r="AL280" s="11"/>
      <c r="AM280" s="11"/>
      <c r="AQ280" s="11">
        <v>14.093</v>
      </c>
      <c r="AR280" s="11">
        <v>27.338999999999999</v>
      </c>
      <c r="AS280" s="10">
        <f>+SUM(L280:O280)</f>
        <v>41.718999999999994</v>
      </c>
      <c r="AT280" s="10">
        <f>+SUM(P280:S280)</f>
        <v>54.518000000000001</v>
      </c>
      <c r="AU280" s="10">
        <f t="shared" si="1349"/>
        <v>81.12299999999999</v>
      </c>
      <c r="AV280" s="10">
        <f t="shared" si="1350"/>
        <v>126.88899999999998</v>
      </c>
      <c r="AW280" s="10">
        <f>+SUM(AB280:AE280)</f>
        <v>126.871</v>
      </c>
    </row>
    <row r="281" spans="1:49" x14ac:dyDescent="0.2">
      <c r="B281" t="s">
        <v>104</v>
      </c>
      <c r="D281" s="112" t="s">
        <v>91</v>
      </c>
      <c r="E281" s="112" t="s">
        <v>91</v>
      </c>
      <c r="F281" s="112" t="s">
        <v>91</v>
      </c>
      <c r="G281" s="112" t="s">
        <v>91</v>
      </c>
      <c r="H281" s="112" t="s">
        <v>91</v>
      </c>
      <c r="I281" s="112" t="s">
        <v>91</v>
      </c>
      <c r="J281" s="112" t="s">
        <v>91</v>
      </c>
      <c r="K281" s="112" t="s">
        <v>91</v>
      </c>
      <c r="L281" s="11">
        <v>3.1930000000000001</v>
      </c>
      <c r="M281" s="11">
        <v>3.3660000000000001</v>
      </c>
      <c r="N281" s="11">
        <v>3.5259999999999998</v>
      </c>
      <c r="O281" s="11">
        <v>4.1390000000000002</v>
      </c>
      <c r="P281" s="11">
        <v>4.2370000000000001</v>
      </c>
      <c r="Q281" s="11">
        <v>4.0010000000000003</v>
      </c>
      <c r="R281" s="11">
        <v>4.2039999999999997</v>
      </c>
      <c r="S281" s="11">
        <v>5.0860000000000003</v>
      </c>
      <c r="T281" s="11">
        <v>5.3579999999999997</v>
      </c>
      <c r="U281" s="11">
        <v>5.9640000000000004</v>
      </c>
      <c r="V281" s="11">
        <v>6.1740000000000004</v>
      </c>
      <c r="W281" s="11">
        <v>6.8250000000000002</v>
      </c>
      <c r="X281" s="11">
        <v>8.1379999999999999</v>
      </c>
      <c r="Y281" s="11">
        <v>9.6709999999999994</v>
      </c>
      <c r="Z281" s="11">
        <v>10.134</v>
      </c>
      <c r="AA281" s="11">
        <v>13.260999999999999</v>
      </c>
      <c r="AB281" s="11">
        <v>13.88</v>
      </c>
      <c r="AC281" s="11">
        <v>14.116</v>
      </c>
      <c r="AD281" s="11">
        <v>14.074999999999999</v>
      </c>
      <c r="AE281" s="11">
        <v>15.371</v>
      </c>
      <c r="AF281" s="11">
        <v>17.303999999999998</v>
      </c>
      <c r="AG281" s="11">
        <v>19.288</v>
      </c>
      <c r="AH281" s="11"/>
      <c r="AI281" s="11"/>
      <c r="AJ281" s="11"/>
      <c r="AK281" s="11"/>
      <c r="AL281" s="11"/>
      <c r="AM281" s="11"/>
      <c r="AQ281" s="11">
        <v>8.4149999999999991</v>
      </c>
      <c r="AR281" s="11">
        <v>10.009</v>
      </c>
      <c r="AS281" s="10">
        <f>+SUM(L281:O281)</f>
        <v>14.224</v>
      </c>
      <c r="AT281" s="10">
        <f>+SUM(P281:S281)</f>
        <v>17.527999999999999</v>
      </c>
      <c r="AU281" s="10">
        <f t="shared" si="1349"/>
        <v>24.320999999999998</v>
      </c>
      <c r="AV281" s="10">
        <f t="shared" si="1350"/>
        <v>41.203999999999994</v>
      </c>
      <c r="AW281" s="10">
        <f>+SUM(AB281:AE281)</f>
        <v>57.442</v>
      </c>
    </row>
    <row r="282" spans="1:49" x14ac:dyDescent="0.2">
      <c r="B282" t="s">
        <v>105</v>
      </c>
      <c r="D282" s="112" t="s">
        <v>91</v>
      </c>
      <c r="E282" s="112" t="s">
        <v>91</v>
      </c>
      <c r="F282" s="112" t="s">
        <v>91</v>
      </c>
      <c r="G282" s="112" t="s">
        <v>91</v>
      </c>
      <c r="H282" s="112" t="s">
        <v>91</v>
      </c>
      <c r="I282" s="112" t="s">
        <v>91</v>
      </c>
      <c r="J282" s="112" t="s">
        <v>91</v>
      </c>
      <c r="K282" s="112" t="s">
        <v>91</v>
      </c>
      <c r="L282" s="11">
        <v>4.5090000000000003</v>
      </c>
      <c r="M282" s="11">
        <v>4.883</v>
      </c>
      <c r="N282" s="11">
        <v>5.8140000000000001</v>
      </c>
      <c r="O282" s="11">
        <v>6.6420000000000003</v>
      </c>
      <c r="P282" s="11">
        <v>5.9329999999999998</v>
      </c>
      <c r="Q282" s="11">
        <v>6.57</v>
      </c>
      <c r="R282" s="11">
        <v>6.931</v>
      </c>
      <c r="S282" s="11">
        <v>9.61</v>
      </c>
      <c r="T282" s="11">
        <v>7.9039999999999999</v>
      </c>
      <c r="U282" s="11">
        <v>10.52</v>
      </c>
      <c r="V282" s="11">
        <v>11.372</v>
      </c>
      <c r="W282" s="11">
        <v>13.32</v>
      </c>
      <c r="X282" s="11">
        <v>14.163</v>
      </c>
      <c r="Y282" s="11">
        <v>14.218</v>
      </c>
      <c r="Z282" s="11">
        <v>17.007000000000001</v>
      </c>
      <c r="AA282" s="11">
        <v>17.390999999999998</v>
      </c>
      <c r="AB282" s="11">
        <v>18.64</v>
      </c>
      <c r="AC282" s="11">
        <v>19.388000000000002</v>
      </c>
      <c r="AD282" s="11">
        <v>18.768999999999998</v>
      </c>
      <c r="AE282" s="11">
        <v>20.613</v>
      </c>
      <c r="AF282" s="11">
        <v>18.474</v>
      </c>
      <c r="AG282" s="11">
        <v>18.312000000000001</v>
      </c>
      <c r="AH282" s="11"/>
      <c r="AI282" s="11"/>
      <c r="AJ282" s="11"/>
      <c r="AK282" s="11"/>
      <c r="AL282" s="11"/>
      <c r="AM282" s="11"/>
      <c r="AQ282" s="11">
        <v>9.2309999999999999</v>
      </c>
      <c r="AR282" s="11">
        <v>15.077</v>
      </c>
      <c r="AS282" s="10">
        <f>+SUM(L282:O282)</f>
        <v>21.847999999999999</v>
      </c>
      <c r="AT282" s="10">
        <f>+SUM(P282:S282)</f>
        <v>29.044</v>
      </c>
      <c r="AU282" s="10">
        <f t="shared" si="1349"/>
        <v>43.116</v>
      </c>
      <c r="AV282" s="10">
        <f t="shared" si="1350"/>
        <v>62.779000000000003</v>
      </c>
      <c r="AW282" s="10">
        <f>+SUM(AB282:AE282)</f>
        <v>77.41</v>
      </c>
    </row>
    <row r="283" spans="1:49" ht="13.5" x14ac:dyDescent="0.35">
      <c r="B283" t="s">
        <v>246</v>
      </c>
      <c r="D283" s="110" t="s">
        <v>91</v>
      </c>
      <c r="E283" s="110" t="s">
        <v>91</v>
      </c>
      <c r="F283" s="110" t="s">
        <v>91</v>
      </c>
      <c r="G283" s="110" t="s">
        <v>91</v>
      </c>
      <c r="H283" s="110" t="s">
        <v>91</v>
      </c>
      <c r="I283" s="110" t="s">
        <v>91</v>
      </c>
      <c r="J283" s="110" t="s">
        <v>91</v>
      </c>
      <c r="K283" s="110" t="s">
        <v>91</v>
      </c>
      <c r="L283" s="17">
        <v>0</v>
      </c>
      <c r="M283" s="17">
        <v>0</v>
      </c>
      <c r="N283" s="17">
        <v>0</v>
      </c>
      <c r="O283" s="17">
        <v>0</v>
      </c>
      <c r="P283" s="17">
        <v>0</v>
      </c>
      <c r="Q283" s="17">
        <v>0</v>
      </c>
      <c r="R283" s="17">
        <v>0</v>
      </c>
      <c r="S283" s="17">
        <v>0</v>
      </c>
      <c r="T283" s="17">
        <v>0</v>
      </c>
      <c r="U283" s="17">
        <v>0</v>
      </c>
      <c r="V283" s="17">
        <v>0</v>
      </c>
      <c r="W283" s="17">
        <v>0</v>
      </c>
      <c r="X283" s="17">
        <v>0</v>
      </c>
      <c r="Y283" s="17">
        <v>3.4849999999999999</v>
      </c>
      <c r="Z283" s="17">
        <v>5.9320000000000004</v>
      </c>
      <c r="AA283" s="17">
        <v>1.847</v>
      </c>
      <c r="AB283" s="17">
        <v>0.98299999999999998</v>
      </c>
      <c r="AC283" s="17">
        <v>0.309</v>
      </c>
      <c r="AD283" s="17">
        <v>0</v>
      </c>
      <c r="AE283" s="17">
        <v>0</v>
      </c>
      <c r="AF283" s="17">
        <v>0</v>
      </c>
      <c r="AG283" s="17">
        <v>0</v>
      </c>
      <c r="AH283" s="17"/>
      <c r="AI283" s="17"/>
      <c r="AJ283" s="17"/>
      <c r="AK283" s="17"/>
      <c r="AL283" s="17"/>
      <c r="AM283" s="17"/>
      <c r="AN283" s="108"/>
      <c r="AO283" s="108"/>
      <c r="AP283" s="108"/>
      <c r="AQ283" s="17">
        <v>0</v>
      </c>
      <c r="AR283" s="17">
        <v>0</v>
      </c>
      <c r="AS283" s="18">
        <f>+SUM(L283:O283)</f>
        <v>0</v>
      </c>
      <c r="AT283" s="18">
        <f>+SUM(P283:S283)</f>
        <v>0</v>
      </c>
      <c r="AU283" s="18">
        <f t="shared" ref="AU283" si="1366">+SUM(T283:W283)</f>
        <v>0</v>
      </c>
      <c r="AV283" s="18">
        <f t="shared" si="1350"/>
        <v>11.263999999999999</v>
      </c>
      <c r="AW283" s="18">
        <f>+SUM(AB283:AE283)</f>
        <v>1.292</v>
      </c>
    </row>
    <row r="284" spans="1:49" x14ac:dyDescent="0.2">
      <c r="B284" s="12" t="s">
        <v>102</v>
      </c>
      <c r="D284" s="113" t="str">
        <f t="shared" ref="D284:X284" si="1367">+IFERROR(D280+D281+D282+D283,"n/a")</f>
        <v>n/a</v>
      </c>
      <c r="E284" s="113" t="str">
        <f t="shared" si="1367"/>
        <v>n/a</v>
      </c>
      <c r="F284" s="113" t="str">
        <f t="shared" si="1367"/>
        <v>n/a</v>
      </c>
      <c r="G284" s="113" t="str">
        <f t="shared" si="1367"/>
        <v>n/a</v>
      </c>
      <c r="H284" s="113" t="str">
        <f t="shared" si="1367"/>
        <v>n/a</v>
      </c>
      <c r="I284" s="113" t="str">
        <f t="shared" si="1367"/>
        <v>n/a</v>
      </c>
      <c r="J284" s="113" t="str">
        <f t="shared" si="1367"/>
        <v>n/a</v>
      </c>
      <c r="K284" s="113" t="str">
        <f t="shared" si="1367"/>
        <v>n/a</v>
      </c>
      <c r="L284" s="113">
        <f t="shared" si="1367"/>
        <v>16.257999999999999</v>
      </c>
      <c r="M284" s="113">
        <f t="shared" si="1367"/>
        <v>18.122</v>
      </c>
      <c r="N284" s="113">
        <f t="shared" si="1367"/>
        <v>19.622</v>
      </c>
      <c r="O284" s="113">
        <f t="shared" si="1367"/>
        <v>23.788999999999998</v>
      </c>
      <c r="P284" s="113">
        <f t="shared" si="1367"/>
        <v>23.047000000000001</v>
      </c>
      <c r="Q284" s="113">
        <f t="shared" si="1367"/>
        <v>23.275000000000002</v>
      </c>
      <c r="R284" s="113">
        <f t="shared" si="1367"/>
        <v>25.220000000000002</v>
      </c>
      <c r="S284" s="113">
        <f t="shared" si="1367"/>
        <v>29.548000000000002</v>
      </c>
      <c r="T284" s="113">
        <f t="shared" si="1367"/>
        <v>29.719000000000001</v>
      </c>
      <c r="U284" s="113">
        <f t="shared" si="1367"/>
        <v>34.781999999999996</v>
      </c>
      <c r="V284" s="113">
        <f t="shared" si="1367"/>
        <v>38.22</v>
      </c>
      <c r="W284" s="113">
        <f t="shared" si="1367"/>
        <v>45.838999999999999</v>
      </c>
      <c r="X284" s="113">
        <f t="shared" si="1367"/>
        <v>48.131</v>
      </c>
      <c r="Y284" s="10">
        <f t="shared" ref="Y284:AD284" si="1368">+IFERROR(Y280+Y281+Y282+Y283,"n/a")</f>
        <v>58.268000000000001</v>
      </c>
      <c r="Z284" s="10">
        <f t="shared" si="1368"/>
        <v>63.64200000000001</v>
      </c>
      <c r="AA284" s="10">
        <f t="shared" si="1368"/>
        <v>72.094999999999985</v>
      </c>
      <c r="AB284" s="10">
        <f t="shared" si="1368"/>
        <v>68.999000000000009</v>
      </c>
      <c r="AC284" s="10">
        <f t="shared" si="1368"/>
        <v>64.05</v>
      </c>
      <c r="AD284" s="10">
        <f t="shared" si="1368"/>
        <v>62.937999999999995</v>
      </c>
      <c r="AE284" s="10">
        <f t="shared" ref="AE284:AF284" si="1369">+IFERROR(AE280+AE281+AE282+AE283,"n/a")</f>
        <v>67.027999999999992</v>
      </c>
      <c r="AF284" s="10">
        <f t="shared" si="1369"/>
        <v>69.698999999999998</v>
      </c>
      <c r="AG284" s="10">
        <f t="shared" ref="AG284" si="1370">+IFERROR(AG280+AG281+AG282+AG283,"n/a")</f>
        <v>72.599999999999994</v>
      </c>
      <c r="AH284" s="10"/>
      <c r="AI284" s="10"/>
      <c r="AJ284" s="10"/>
      <c r="AK284" s="10"/>
      <c r="AL284" s="10"/>
      <c r="AM284" s="10"/>
      <c r="AQ284" s="10">
        <f>+IFERROR(AQ280+AQ281+AQ282+AQ283,"n/a")</f>
        <v>31.738999999999997</v>
      </c>
      <c r="AR284" s="10">
        <f>+IFERROR(AR280+AR281+AR282+AR283,"n/a")</f>
        <v>52.424999999999997</v>
      </c>
      <c r="AS284" s="10">
        <f>+SUM(L284:O284)</f>
        <v>77.790999999999997</v>
      </c>
      <c r="AT284" s="10">
        <f>+SUM(P284:S284)</f>
        <v>101.09</v>
      </c>
      <c r="AU284" s="10">
        <f t="shared" si="1349"/>
        <v>148.56</v>
      </c>
      <c r="AV284" s="10">
        <f t="shared" si="1350"/>
        <v>242.13599999999997</v>
      </c>
      <c r="AW284" s="10">
        <f>+SUM(AB284:AE284)</f>
        <v>263.01499999999999</v>
      </c>
    </row>
    <row r="286" spans="1:49" s="3" customFormat="1" x14ac:dyDescent="0.2">
      <c r="A286" s="2"/>
      <c r="B286" s="3" t="s">
        <v>106</v>
      </c>
      <c r="D286" s="125" t="str">
        <f t="shared" ref="D286:G286" si="1371">+IFERROR(D278-D284,"n/a")</f>
        <v>n/a</v>
      </c>
      <c r="E286" s="125" t="str">
        <f t="shared" si="1371"/>
        <v>n/a</v>
      </c>
      <c r="F286" s="125" t="str">
        <f t="shared" si="1371"/>
        <v>n/a</v>
      </c>
      <c r="G286" s="125" t="str">
        <f t="shared" si="1371"/>
        <v>n/a</v>
      </c>
      <c r="H286" s="125" t="str">
        <f t="shared" ref="H286:K286" si="1372">+IFERROR(H278-H284,"n/a")</f>
        <v>n/a</v>
      </c>
      <c r="I286" s="125" t="str">
        <f t="shared" si="1372"/>
        <v>n/a</v>
      </c>
      <c r="J286" s="125" t="str">
        <f t="shared" si="1372"/>
        <v>n/a</v>
      </c>
      <c r="K286" s="125" t="str">
        <f t="shared" si="1372"/>
        <v>n/a</v>
      </c>
      <c r="L286" s="23">
        <f>+IFERROR(L278-L284,"n/a")</f>
        <v>-1.1600000000000001</v>
      </c>
      <c r="M286" s="23">
        <f t="shared" ref="M286:S286" si="1373">+IFERROR(M278-M284,"n/a")</f>
        <v>-1.2929999999999993</v>
      </c>
      <c r="N286" s="23">
        <f t="shared" si="1373"/>
        <v>-1.5339999999999989</v>
      </c>
      <c r="O286" s="23">
        <f t="shared" si="1373"/>
        <v>-4.2349999999999959</v>
      </c>
      <c r="P286" s="23">
        <f t="shared" si="1373"/>
        <v>-1.8710000000000022</v>
      </c>
      <c r="Q286" s="23">
        <f t="shared" si="1373"/>
        <v>-1.8780000000000001</v>
      </c>
      <c r="R286" s="23">
        <f t="shared" si="1373"/>
        <v>-0.75500000000000611</v>
      </c>
      <c r="S286" s="23">
        <f t="shared" si="1373"/>
        <v>-1.6410000000000053</v>
      </c>
      <c r="T286" s="23">
        <f t="shared" ref="T286:U286" si="1374">+IFERROR(T278-T284,"n/a")</f>
        <v>1.5059999999999967</v>
      </c>
      <c r="U286" s="23">
        <f t="shared" si="1374"/>
        <v>-1.4999999999993463E-2</v>
      </c>
      <c r="V286" s="23">
        <f t="shared" ref="V286:W286" si="1375">+IFERROR(V278-V284,"n/a")</f>
        <v>-0.32999999999999829</v>
      </c>
      <c r="W286" s="23">
        <f t="shared" si="1375"/>
        <v>-3.6539999999999964</v>
      </c>
      <c r="X286" s="23">
        <f t="shared" ref="X286:Z286" si="1376">+IFERROR(X278-X284,"n/a")</f>
        <v>-2.5900000000000034</v>
      </c>
      <c r="Y286" s="23">
        <f t="shared" si="1376"/>
        <v>-8.2560000000000002</v>
      </c>
      <c r="Z286" s="23">
        <f t="shared" si="1376"/>
        <v>-10.254000000000005</v>
      </c>
      <c r="AA286" s="23">
        <f t="shared" ref="AA286:AB286" si="1377">+IFERROR(AA278-AA284,"n/a")</f>
        <v>-15.272999999999989</v>
      </c>
      <c r="AB286" s="23">
        <f t="shared" si="1377"/>
        <v>-10.768000000000001</v>
      </c>
      <c r="AC286" s="23">
        <f t="shared" ref="AC286:AD286" si="1378">+IFERROR(AC278-AC284,"n/a")</f>
        <v>-2.3290000000000006</v>
      </c>
      <c r="AD286" s="23">
        <f t="shared" si="1378"/>
        <v>2.7480000000000118</v>
      </c>
      <c r="AE286" s="23">
        <f t="shared" ref="AE286:AF286" si="1379">+IFERROR(AE278-AE284,"n/a")</f>
        <v>2.6820000000000164</v>
      </c>
      <c r="AF286" s="23">
        <f t="shared" si="1379"/>
        <v>1.4680000000000035</v>
      </c>
      <c r="AG286" s="23">
        <f t="shared" ref="AG286" si="1380">+IFERROR(AG278-AG284,"n/a")</f>
        <v>3.3940000000000055</v>
      </c>
      <c r="AQ286" s="125">
        <f t="shared" ref="AQ286:AR286" si="1381">+IFERROR(AQ278-AQ284,"n/a")</f>
        <v>-3.3879999999999981</v>
      </c>
      <c r="AR286" s="125">
        <f t="shared" si="1381"/>
        <v>-6.5889999999999986</v>
      </c>
      <c r="AS286" s="23">
        <f>+SUM(L286:O286)</f>
        <v>-8.2219999999999942</v>
      </c>
      <c r="AT286" s="23">
        <f>+SUM(P286:S286)</f>
        <v>-6.1450000000000138</v>
      </c>
      <c r="AU286" s="23">
        <f t="shared" si="1349"/>
        <v>-2.4929999999999914</v>
      </c>
      <c r="AV286" s="23">
        <f t="shared" si="1350"/>
        <v>-36.372999999999998</v>
      </c>
      <c r="AW286" s="23">
        <f>+SUM(AB286:AE286)</f>
        <v>-7.6669999999999732</v>
      </c>
    </row>
    <row r="287" spans="1:49" x14ac:dyDescent="0.2">
      <c r="S287" s="16"/>
      <c r="AU287" s="16"/>
      <c r="AV287" s="16"/>
      <c r="AW287" s="16"/>
    </row>
    <row r="288" spans="1:49" ht="13.5" x14ac:dyDescent="0.35">
      <c r="B288" t="s">
        <v>107</v>
      </c>
      <c r="D288" s="110" t="s">
        <v>91</v>
      </c>
      <c r="E288" s="110" t="s">
        <v>91</v>
      </c>
      <c r="F288" s="110" t="s">
        <v>91</v>
      </c>
      <c r="G288" s="110" t="s">
        <v>91</v>
      </c>
      <c r="H288" s="110" t="s">
        <v>91</v>
      </c>
      <c r="I288" s="110" t="s">
        <v>91</v>
      </c>
      <c r="J288" s="110" t="s">
        <v>91</v>
      </c>
      <c r="K288" s="110" t="s">
        <v>91</v>
      </c>
      <c r="L288" s="17">
        <v>-0.78800000000000003</v>
      </c>
      <c r="M288" s="17">
        <v>-9.7000000000000003E-2</v>
      </c>
      <c r="N288" s="17">
        <v>-0.27500000000000002</v>
      </c>
      <c r="O288" s="17">
        <v>-0.32</v>
      </c>
      <c r="P288" s="17">
        <v>5.6000000000000001E-2</v>
      </c>
      <c r="Q288" s="17">
        <v>-0.13800000000000001</v>
      </c>
      <c r="R288" s="17">
        <v>-0.105</v>
      </c>
      <c r="S288" s="17">
        <v>-0.10299999999999999</v>
      </c>
      <c r="T288" s="17">
        <v>5.0999999999999997E-2</v>
      </c>
      <c r="U288" s="17">
        <v>-0.123</v>
      </c>
      <c r="V288" s="17">
        <v>-0.184</v>
      </c>
      <c r="W288" s="17">
        <v>-0.26600000000000001</v>
      </c>
      <c r="X288" s="17">
        <v>0.159</v>
      </c>
      <c r="Y288" s="17">
        <v>0.71099999999999997</v>
      </c>
      <c r="Z288" s="17">
        <v>1.4830000000000001</v>
      </c>
      <c r="AA288" s="17">
        <v>1.103</v>
      </c>
      <c r="AB288" s="17">
        <v>1.7050000000000001</v>
      </c>
      <c r="AC288" s="17">
        <v>2.919</v>
      </c>
      <c r="AD288" s="17">
        <v>2.1040000000000001</v>
      </c>
      <c r="AE288" s="17">
        <v>5.585</v>
      </c>
      <c r="AF288" s="17">
        <v>3.6389999999999998</v>
      </c>
      <c r="AG288" s="17">
        <v>2.6160000000000001</v>
      </c>
      <c r="AQ288" s="17">
        <v>-0.83</v>
      </c>
      <c r="AR288" s="17">
        <v>-3.3260000000000001</v>
      </c>
      <c r="AS288" s="18">
        <f>+SUM(L288:O288)</f>
        <v>-1.4800000000000002</v>
      </c>
      <c r="AT288" s="18">
        <f>+SUM(P288:S288)</f>
        <v>-0.28999999999999998</v>
      </c>
      <c r="AU288" s="18">
        <f t="shared" si="1349"/>
        <v>-0.52200000000000002</v>
      </c>
      <c r="AV288" s="18">
        <f t="shared" si="1350"/>
        <v>3.4560000000000004</v>
      </c>
      <c r="AW288" s="18">
        <f t="shared" ref="AW288:AW293" si="1382">+SUM(AB288:AE288)</f>
        <v>12.313000000000001</v>
      </c>
    </row>
    <row r="289" spans="1:49" x14ac:dyDescent="0.2">
      <c r="B289" s="12" t="s">
        <v>108</v>
      </c>
      <c r="D289" s="113" t="str">
        <f t="shared" ref="D289:G289" si="1383">+IFERROR(D286+D288,"n/a")</f>
        <v>n/a</v>
      </c>
      <c r="E289" s="113" t="str">
        <f t="shared" si="1383"/>
        <v>n/a</v>
      </c>
      <c r="F289" s="113" t="str">
        <f t="shared" si="1383"/>
        <v>n/a</v>
      </c>
      <c r="G289" s="113" t="str">
        <f t="shared" si="1383"/>
        <v>n/a</v>
      </c>
      <c r="H289" s="113" t="str">
        <f>+IFERROR(H286+H288,"n/a")</f>
        <v>n/a</v>
      </c>
      <c r="I289" s="113" t="str">
        <f t="shared" ref="I289:K289" si="1384">+IFERROR(I286+I288,"n/a")</f>
        <v>n/a</v>
      </c>
      <c r="J289" s="113" t="str">
        <f t="shared" si="1384"/>
        <v>n/a</v>
      </c>
      <c r="K289" s="113" t="str">
        <f t="shared" si="1384"/>
        <v>n/a</v>
      </c>
      <c r="L289" s="113">
        <f t="shared" ref="L289" si="1385">+IFERROR(L286+L288,"n/a")</f>
        <v>-1.9480000000000002</v>
      </c>
      <c r="M289" s="113">
        <f t="shared" ref="M289" si="1386">+IFERROR(M286+M288,"n/a")</f>
        <v>-1.3899999999999992</v>
      </c>
      <c r="N289" s="113">
        <f t="shared" ref="N289" si="1387">+IFERROR(N286+N288,"n/a")</f>
        <v>-1.8089999999999988</v>
      </c>
      <c r="O289" s="113">
        <f t="shared" ref="O289" si="1388">+IFERROR(O286+O288,"n/a")</f>
        <v>-4.5549999999999962</v>
      </c>
      <c r="P289" s="113">
        <f t="shared" ref="P289" si="1389">+IFERROR(P286+P288,"n/a")</f>
        <v>-1.8150000000000022</v>
      </c>
      <c r="Q289" s="113">
        <f t="shared" ref="Q289" si="1390">+IFERROR(Q286+Q288,"n/a")</f>
        <v>-2.016</v>
      </c>
      <c r="R289" s="113">
        <f t="shared" ref="R289" si="1391">+IFERROR(R286+R288,"n/a")</f>
        <v>-0.86000000000000609</v>
      </c>
      <c r="S289" s="113">
        <f t="shared" ref="S289:T289" si="1392">+IFERROR(S286+S288,"n/a")</f>
        <v>-1.7440000000000053</v>
      </c>
      <c r="T289" s="113">
        <f t="shared" si="1392"/>
        <v>1.5569999999999966</v>
      </c>
      <c r="U289" s="113">
        <f t="shared" ref="U289:V289" si="1393">+IFERROR(U286+U288,"n/a")</f>
        <v>-0.13799999999999346</v>
      </c>
      <c r="V289" s="113">
        <f t="shared" si="1393"/>
        <v>-0.51399999999999824</v>
      </c>
      <c r="W289" s="113">
        <f t="shared" ref="W289:X289" si="1394">+IFERROR(W286+W288,"n/a")</f>
        <v>-3.9199999999999964</v>
      </c>
      <c r="X289" s="113">
        <f t="shared" si="1394"/>
        <v>-2.4310000000000036</v>
      </c>
      <c r="Y289" s="113">
        <f t="shared" ref="Y289:Z289" si="1395">+IFERROR(Y286+Y288,"n/a")</f>
        <v>-7.5449999999999999</v>
      </c>
      <c r="Z289" s="113">
        <f t="shared" si="1395"/>
        <v>-8.7710000000000043</v>
      </c>
      <c r="AA289" s="113">
        <f t="shared" ref="AA289:AB289" si="1396">+IFERROR(AA286+AA288,"n/a")</f>
        <v>-14.169999999999989</v>
      </c>
      <c r="AB289" s="113">
        <f t="shared" si="1396"/>
        <v>-9.0630000000000006</v>
      </c>
      <c r="AC289" s="113">
        <f t="shared" ref="AC289:AD289" si="1397">+IFERROR(AC286+AC288,"n/a")</f>
        <v>0.58999999999999941</v>
      </c>
      <c r="AD289" s="113">
        <f t="shared" si="1397"/>
        <v>4.8520000000000119</v>
      </c>
      <c r="AE289" s="113">
        <f t="shared" ref="AE289:AF289" si="1398">+IFERROR(AE286+AE288,"n/a")</f>
        <v>8.2670000000000172</v>
      </c>
      <c r="AF289" s="113">
        <f t="shared" si="1398"/>
        <v>5.1070000000000029</v>
      </c>
      <c r="AG289" s="113">
        <f t="shared" ref="AG289" si="1399">+IFERROR(AG286+AG288,"n/a")</f>
        <v>6.0100000000000051</v>
      </c>
      <c r="AQ289" s="113">
        <f t="shared" ref="AQ289:AR289" si="1400">+IFERROR(AQ286+AQ288,"n/a")</f>
        <v>-4.2179999999999982</v>
      </c>
      <c r="AR289" s="113">
        <f t="shared" si="1400"/>
        <v>-9.9149999999999991</v>
      </c>
      <c r="AS289" s="10">
        <f t="shared" ref="AS289:AS291" si="1401">+SUM(L289:O289)</f>
        <v>-9.7019999999999946</v>
      </c>
      <c r="AT289" s="10">
        <f t="shared" ref="AT289:AT291" si="1402">+SUM(P289:S289)</f>
        <v>-6.4350000000000129</v>
      </c>
      <c r="AU289" s="10">
        <f t="shared" si="1349"/>
        <v>-3.0149999999999917</v>
      </c>
      <c r="AV289" s="10">
        <f t="shared" si="1350"/>
        <v>-32.916999999999994</v>
      </c>
      <c r="AW289" s="10">
        <f t="shared" si="1382"/>
        <v>4.6460000000000283</v>
      </c>
    </row>
    <row r="290" spans="1:49" ht="13.5" x14ac:dyDescent="0.35">
      <c r="B290" t="s">
        <v>109</v>
      </c>
      <c r="D290" s="110" t="s">
        <v>91</v>
      </c>
      <c r="E290" s="110" t="s">
        <v>91</v>
      </c>
      <c r="F290" s="110" t="s">
        <v>91</v>
      </c>
      <c r="G290" s="110" t="s">
        <v>91</v>
      </c>
      <c r="H290" s="110" t="s">
        <v>91</v>
      </c>
      <c r="I290" s="110" t="s">
        <v>91</v>
      </c>
      <c r="J290" s="110" t="s">
        <v>91</v>
      </c>
      <c r="K290" s="110" t="s">
        <v>91</v>
      </c>
      <c r="L290" s="17">
        <v>-0.78800000000000003</v>
      </c>
      <c r="M290" s="17">
        <v>-9.7000000000000003E-2</v>
      </c>
      <c r="N290" s="17">
        <v>-0.27500000000000002</v>
      </c>
      <c r="O290" s="17">
        <v>-0.32</v>
      </c>
      <c r="P290" s="17">
        <v>-0.11600000000000001</v>
      </c>
      <c r="Q290" s="17">
        <v>-9.1999999999999998E-2</v>
      </c>
      <c r="R290" s="17">
        <v>-0.17599999999999999</v>
      </c>
      <c r="S290" s="17">
        <v>-0.193</v>
      </c>
      <c r="T290" s="17">
        <v>-8.5999999999999993E-2</v>
      </c>
      <c r="U290" s="17">
        <v>-0.14099999999999999</v>
      </c>
      <c r="V290" s="17">
        <v>-0.10100000000000001</v>
      </c>
      <c r="W290" s="17">
        <v>5.8000000000000003E-2</v>
      </c>
      <c r="X290" s="17">
        <v>-0.14000000000000001</v>
      </c>
      <c r="Y290" s="17">
        <v>-0.73899999999999999</v>
      </c>
      <c r="Z290" s="17">
        <v>-0.32100000000000001</v>
      </c>
      <c r="AA290" s="17">
        <v>-0.26900000000000002</v>
      </c>
      <c r="AB290" s="17">
        <v>-0.79700000000000004</v>
      </c>
      <c r="AC290" s="17">
        <v>-0.86899999999999999</v>
      </c>
      <c r="AD290" s="17">
        <v>-0.63700000000000001</v>
      </c>
      <c r="AE290" s="17">
        <v>-1.393</v>
      </c>
      <c r="AF290" s="17">
        <v>-3.1040000000000001</v>
      </c>
      <c r="AG290" s="17">
        <v>-4.649</v>
      </c>
      <c r="AQ290" s="17">
        <v>-0.27</v>
      </c>
      <c r="AR290" s="17">
        <v>-0.78</v>
      </c>
      <c r="AS290" s="18">
        <f t="shared" si="1401"/>
        <v>-1.4800000000000002</v>
      </c>
      <c r="AT290" s="18">
        <f t="shared" si="1402"/>
        <v>-0.57699999999999996</v>
      </c>
      <c r="AU290" s="18">
        <f t="shared" si="1349"/>
        <v>-0.26999999999999996</v>
      </c>
      <c r="AV290" s="18">
        <f t="shared" si="1350"/>
        <v>-1.4689999999999999</v>
      </c>
      <c r="AW290" s="18">
        <f t="shared" si="1382"/>
        <v>-3.6959999999999997</v>
      </c>
    </row>
    <row r="291" spans="1:49" s="3" customFormat="1" x14ac:dyDescent="0.2">
      <c r="A291" s="2"/>
      <c r="B291" s="24" t="s">
        <v>110</v>
      </c>
      <c r="D291" s="125" t="str">
        <f t="shared" ref="D291:G291" si="1403">+IFERROR(D289+D290,"n/a")</f>
        <v>n/a</v>
      </c>
      <c r="E291" s="125" t="str">
        <f t="shared" si="1403"/>
        <v>n/a</v>
      </c>
      <c r="F291" s="125" t="str">
        <f t="shared" si="1403"/>
        <v>n/a</v>
      </c>
      <c r="G291" s="125" t="str">
        <f t="shared" si="1403"/>
        <v>n/a</v>
      </c>
      <c r="H291" s="125" t="str">
        <f>+IFERROR(H289+H290,"n/a")</f>
        <v>n/a</v>
      </c>
      <c r="I291" s="125" t="str">
        <f t="shared" ref="I291:S291" si="1404">+IFERROR(I289+I290,"n/a")</f>
        <v>n/a</v>
      </c>
      <c r="J291" s="125" t="str">
        <f t="shared" si="1404"/>
        <v>n/a</v>
      </c>
      <c r="K291" s="125" t="str">
        <f t="shared" si="1404"/>
        <v>n/a</v>
      </c>
      <c r="L291" s="125">
        <f t="shared" si="1404"/>
        <v>-2.7360000000000002</v>
      </c>
      <c r="M291" s="125">
        <f t="shared" si="1404"/>
        <v>-1.4869999999999992</v>
      </c>
      <c r="N291" s="125">
        <f t="shared" si="1404"/>
        <v>-2.0839999999999987</v>
      </c>
      <c r="O291" s="125">
        <f t="shared" si="1404"/>
        <v>-4.8749999999999964</v>
      </c>
      <c r="P291" s="125">
        <f t="shared" si="1404"/>
        <v>-1.9310000000000023</v>
      </c>
      <c r="Q291" s="125">
        <f t="shared" si="1404"/>
        <v>-2.1080000000000001</v>
      </c>
      <c r="R291" s="125">
        <f t="shared" si="1404"/>
        <v>-1.036000000000006</v>
      </c>
      <c r="S291" s="125">
        <f t="shared" si="1404"/>
        <v>-1.9370000000000054</v>
      </c>
      <c r="T291" s="125">
        <f t="shared" ref="T291:U291" si="1405">+IFERROR(T289+T290,"n/a")</f>
        <v>1.4709999999999965</v>
      </c>
      <c r="U291" s="125">
        <f t="shared" si="1405"/>
        <v>-0.27899999999999348</v>
      </c>
      <c r="V291" s="125">
        <f t="shared" ref="V291:W291" si="1406">+IFERROR(V289+V290,"n/a")</f>
        <v>-0.61499999999999821</v>
      </c>
      <c r="W291" s="125">
        <f t="shared" si="1406"/>
        <v>-3.8619999999999965</v>
      </c>
      <c r="X291" s="125">
        <f t="shared" ref="X291:Y291" si="1407">+IFERROR(X289+X290,"n/a")</f>
        <v>-2.5710000000000037</v>
      </c>
      <c r="Y291" s="125">
        <f t="shared" si="1407"/>
        <v>-8.2840000000000007</v>
      </c>
      <c r="Z291" s="125">
        <f t="shared" ref="Z291:AA291" si="1408">+IFERROR(Z289+Z290,"n/a")</f>
        <v>-9.0920000000000041</v>
      </c>
      <c r="AA291" s="125">
        <f t="shared" si="1408"/>
        <v>-14.438999999999989</v>
      </c>
      <c r="AB291" s="125">
        <f t="shared" ref="AB291:AC291" si="1409">+IFERROR(AB289+AB290,"n/a")</f>
        <v>-9.8600000000000012</v>
      </c>
      <c r="AC291" s="125">
        <f t="shared" si="1409"/>
        <v>-0.27900000000000058</v>
      </c>
      <c r="AD291" s="125">
        <f t="shared" ref="AD291:AE291" si="1410">+IFERROR(AD289+AD290,"n/a")</f>
        <v>4.2150000000000123</v>
      </c>
      <c r="AE291" s="125">
        <f t="shared" si="1410"/>
        <v>6.8740000000000174</v>
      </c>
      <c r="AF291" s="125">
        <f t="shared" ref="AF291:AG291" si="1411">+IFERROR(AF289+AF290,"n/a")</f>
        <v>2.0030000000000028</v>
      </c>
      <c r="AG291" s="125">
        <f t="shared" si="1411"/>
        <v>1.3610000000000051</v>
      </c>
      <c r="AQ291" s="23">
        <f t="shared" ref="AQ291:AR291" si="1412">+IFERROR(AQ289+AQ290,"n/a")</f>
        <v>-4.4879999999999978</v>
      </c>
      <c r="AR291" s="23">
        <f t="shared" si="1412"/>
        <v>-10.694999999999999</v>
      </c>
      <c r="AS291" s="23">
        <f t="shared" si="1401"/>
        <v>-11.181999999999995</v>
      </c>
      <c r="AT291" s="23">
        <f t="shared" si="1402"/>
        <v>-7.0120000000000138</v>
      </c>
      <c r="AU291" s="23">
        <f t="shared" si="1349"/>
        <v>-3.2849999999999917</v>
      </c>
      <c r="AV291" s="23">
        <f t="shared" si="1350"/>
        <v>-34.385999999999996</v>
      </c>
      <c r="AW291" s="23">
        <f t="shared" si="1382"/>
        <v>0.9500000000000286</v>
      </c>
    </row>
    <row r="292" spans="1:49" s="3" customFormat="1" ht="13.5" x14ac:dyDescent="0.35">
      <c r="A292" s="2"/>
      <c r="B292" t="s">
        <v>375</v>
      </c>
      <c r="D292" s="17">
        <v>0</v>
      </c>
      <c r="E292" s="17">
        <v>0</v>
      </c>
      <c r="F292" s="17">
        <v>0</v>
      </c>
      <c r="G292" s="17">
        <v>0</v>
      </c>
      <c r="H292" s="17">
        <v>0</v>
      </c>
      <c r="I292" s="17">
        <v>0</v>
      </c>
      <c r="J292" s="17">
        <v>0</v>
      </c>
      <c r="K292" s="17">
        <v>0</v>
      </c>
      <c r="L292" s="17">
        <v>0</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7">
        <v>0</v>
      </c>
      <c r="AE292" s="17">
        <v>0</v>
      </c>
      <c r="AF292" s="17">
        <f>0.433-AG292</f>
        <v>0.13500000000000001</v>
      </c>
      <c r="AG292" s="17">
        <v>0.29799999999999999</v>
      </c>
      <c r="AH292"/>
      <c r="AI292"/>
      <c r="AJ292"/>
      <c r="AK292"/>
      <c r="AL292"/>
      <c r="AM292"/>
      <c r="AN292"/>
      <c r="AO292"/>
      <c r="AP292"/>
      <c r="AQ292" s="17">
        <v>0</v>
      </c>
      <c r="AR292" s="17">
        <v>0</v>
      </c>
      <c r="AS292" s="18">
        <f>+SUM(L292:O292)</f>
        <v>0</v>
      </c>
      <c r="AT292" s="18">
        <f>+SUM(P292:S292)</f>
        <v>0</v>
      </c>
      <c r="AU292" s="18">
        <f t="shared" ref="AU292:AU293" si="1413">+SUM(T292:W292)</f>
        <v>0</v>
      </c>
      <c r="AV292" s="18">
        <f t="shared" ref="AV292:AV293" si="1414">+SUM(X292:AA292)</f>
        <v>0</v>
      </c>
      <c r="AW292" s="18">
        <f t="shared" si="1382"/>
        <v>0</v>
      </c>
    </row>
    <row r="293" spans="1:49" s="3" customFormat="1" x14ac:dyDescent="0.2">
      <c r="A293" s="2"/>
      <c r="B293" s="24" t="s">
        <v>376</v>
      </c>
      <c r="D293" s="125">
        <f>+SUM(D291:D292)</f>
        <v>0</v>
      </c>
      <c r="E293" s="125">
        <f t="shared" ref="E293:K293" si="1415">+SUM(E291:E292)</f>
        <v>0</v>
      </c>
      <c r="F293" s="125">
        <f t="shared" si="1415"/>
        <v>0</v>
      </c>
      <c r="G293" s="125">
        <f t="shared" si="1415"/>
        <v>0</v>
      </c>
      <c r="H293" s="125">
        <f t="shared" si="1415"/>
        <v>0</v>
      </c>
      <c r="I293" s="125">
        <f t="shared" si="1415"/>
        <v>0</v>
      </c>
      <c r="J293" s="125">
        <f t="shared" si="1415"/>
        <v>0</v>
      </c>
      <c r="K293" s="125">
        <f t="shared" si="1415"/>
        <v>0</v>
      </c>
      <c r="L293" s="125">
        <f>+SUM(L291:L292)</f>
        <v>-2.7360000000000002</v>
      </c>
      <c r="M293" s="125">
        <f t="shared" ref="M293:AG293" si="1416">+SUM(M291:M292)</f>
        <v>-1.4869999999999992</v>
      </c>
      <c r="N293" s="125">
        <f t="shared" si="1416"/>
        <v>-2.0839999999999987</v>
      </c>
      <c r="O293" s="125">
        <f t="shared" si="1416"/>
        <v>-4.8749999999999964</v>
      </c>
      <c r="P293" s="125">
        <f t="shared" si="1416"/>
        <v>-1.9310000000000023</v>
      </c>
      <c r="Q293" s="125">
        <f t="shared" si="1416"/>
        <v>-2.1080000000000001</v>
      </c>
      <c r="R293" s="125">
        <f t="shared" si="1416"/>
        <v>-1.036000000000006</v>
      </c>
      <c r="S293" s="125">
        <f t="shared" si="1416"/>
        <v>-1.9370000000000054</v>
      </c>
      <c r="T293" s="125">
        <f t="shared" si="1416"/>
        <v>1.4709999999999965</v>
      </c>
      <c r="U293" s="125">
        <f t="shared" si="1416"/>
        <v>-0.27899999999999348</v>
      </c>
      <c r="V293" s="125">
        <f t="shared" si="1416"/>
        <v>-0.61499999999999821</v>
      </c>
      <c r="W293" s="125">
        <f t="shared" si="1416"/>
        <v>-3.8619999999999965</v>
      </c>
      <c r="X293" s="125">
        <f t="shared" si="1416"/>
        <v>-2.5710000000000037</v>
      </c>
      <c r="Y293" s="125">
        <f t="shared" si="1416"/>
        <v>-8.2840000000000007</v>
      </c>
      <c r="Z293" s="125">
        <f t="shared" si="1416"/>
        <v>-9.0920000000000041</v>
      </c>
      <c r="AA293" s="125">
        <f t="shared" si="1416"/>
        <v>-14.438999999999989</v>
      </c>
      <c r="AB293" s="125">
        <f t="shared" si="1416"/>
        <v>-9.8600000000000012</v>
      </c>
      <c r="AC293" s="125">
        <f t="shared" si="1416"/>
        <v>-0.27900000000000058</v>
      </c>
      <c r="AD293" s="125">
        <f t="shared" si="1416"/>
        <v>4.2150000000000123</v>
      </c>
      <c r="AE293" s="125">
        <f t="shared" si="1416"/>
        <v>6.8740000000000174</v>
      </c>
      <c r="AF293" s="125">
        <f t="shared" si="1416"/>
        <v>2.1380000000000026</v>
      </c>
      <c r="AG293" s="125">
        <f t="shared" si="1416"/>
        <v>1.6590000000000051</v>
      </c>
      <c r="AQ293" s="125">
        <f t="shared" ref="AQ293:AR293" si="1417">+SUM(AQ291:AQ292)</f>
        <v>-4.4879999999999978</v>
      </c>
      <c r="AR293" s="125">
        <f t="shared" si="1417"/>
        <v>-10.694999999999999</v>
      </c>
      <c r="AS293" s="23">
        <f t="shared" ref="AS293" si="1418">+SUM(L293:O293)</f>
        <v>-11.181999999999995</v>
      </c>
      <c r="AT293" s="23">
        <f t="shared" ref="AT293" si="1419">+SUM(P293:S293)</f>
        <v>-7.0120000000000138</v>
      </c>
      <c r="AU293" s="23">
        <f t="shared" si="1413"/>
        <v>-3.2849999999999917</v>
      </c>
      <c r="AV293" s="23">
        <f t="shared" si="1414"/>
        <v>-34.385999999999996</v>
      </c>
      <c r="AW293" s="23">
        <f t="shared" si="1382"/>
        <v>0.9500000000000286</v>
      </c>
    </row>
    <row r="294" spans="1:49" s="3" customFormat="1" x14ac:dyDescent="0.2">
      <c r="A294" s="2"/>
      <c r="B294" s="24"/>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c r="AC294" s="125"/>
      <c r="AD294" s="125"/>
      <c r="AE294" s="125"/>
      <c r="AF294" s="125"/>
      <c r="AQ294" s="23"/>
      <c r="AR294" s="23"/>
      <c r="AS294" s="23"/>
      <c r="AT294" s="23"/>
      <c r="AU294" s="23"/>
      <c r="AV294" s="23"/>
      <c r="AW294" s="23"/>
    </row>
    <row r="295" spans="1:49" s="3" customFormat="1" x14ac:dyDescent="0.2">
      <c r="A295" s="2"/>
      <c r="B295" t="s">
        <v>333</v>
      </c>
      <c r="D295" s="112" t="s">
        <v>91</v>
      </c>
      <c r="E295" s="112" t="s">
        <v>91</v>
      </c>
      <c r="F295" s="112" t="s">
        <v>91</v>
      </c>
      <c r="G295" s="112" t="s">
        <v>91</v>
      </c>
      <c r="H295" s="112" t="s">
        <v>91</v>
      </c>
      <c r="I295" s="112" t="s">
        <v>91</v>
      </c>
      <c r="J295" s="112" t="s">
        <v>91</v>
      </c>
      <c r="K295" s="112" t="s">
        <v>91</v>
      </c>
      <c r="L295" s="112" t="s">
        <v>91</v>
      </c>
      <c r="M295" s="112" t="s">
        <v>91</v>
      </c>
      <c r="N295" s="112" t="s">
        <v>91</v>
      </c>
      <c r="O295" s="112" t="s">
        <v>91</v>
      </c>
      <c r="P295" s="11">
        <v>94.592699999999994</v>
      </c>
      <c r="Q295" s="11">
        <v>94.738</v>
      </c>
      <c r="R295" s="11">
        <v>94.834000000000003</v>
      </c>
      <c r="S295" s="11">
        <v>95.046000000000006</v>
      </c>
      <c r="T295" s="11">
        <v>96.375530999999995</v>
      </c>
      <c r="U295" s="11">
        <v>135.31200000000001</v>
      </c>
      <c r="V295" s="11">
        <v>135.673</v>
      </c>
      <c r="W295" s="11">
        <v>138.363</v>
      </c>
      <c r="X295" s="11">
        <v>140.79</v>
      </c>
      <c r="Y295" s="11">
        <v>141.042</v>
      </c>
      <c r="Z295" s="11">
        <v>141.256</v>
      </c>
      <c r="AA295" s="11">
        <v>141.53100000000001</v>
      </c>
      <c r="AB295" s="11">
        <v>141.65</v>
      </c>
      <c r="AC295" s="11">
        <v>142.239</v>
      </c>
      <c r="AD295" s="11">
        <v>142.83699999999999</v>
      </c>
      <c r="AE295" s="11">
        <v>143.62</v>
      </c>
      <c r="AF295" s="11">
        <v>144.566</v>
      </c>
      <c r="AG295" s="11">
        <v>145.678</v>
      </c>
      <c r="AQ295" s="112" t="s">
        <v>91</v>
      </c>
      <c r="AR295" s="112" t="s">
        <v>91</v>
      </c>
      <c r="AS295" s="11">
        <v>94.53</v>
      </c>
      <c r="AT295" s="11">
        <v>94.802999999999997</v>
      </c>
      <c r="AU295" s="11">
        <v>126.586</v>
      </c>
      <c r="AV295" s="11">
        <v>141.16</v>
      </c>
      <c r="AW295" s="11">
        <v>141.16</v>
      </c>
    </row>
    <row r="296" spans="1:49" s="3" customFormat="1" x14ac:dyDescent="0.2">
      <c r="A296" s="2"/>
      <c r="B296" t="s">
        <v>334</v>
      </c>
      <c r="D296" s="112" t="s">
        <v>91</v>
      </c>
      <c r="E296" s="112" t="s">
        <v>91</v>
      </c>
      <c r="F296" s="112" t="s">
        <v>91</v>
      </c>
      <c r="G296" s="112" t="s">
        <v>91</v>
      </c>
      <c r="H296" s="112" t="s">
        <v>91</v>
      </c>
      <c r="I296" s="112" t="s">
        <v>91</v>
      </c>
      <c r="J296" s="112" t="s">
        <v>91</v>
      </c>
      <c r="K296" s="112" t="s">
        <v>91</v>
      </c>
      <c r="L296" s="112" t="s">
        <v>91</v>
      </c>
      <c r="M296" s="112" t="s">
        <v>91</v>
      </c>
      <c r="N296" s="112" t="s">
        <v>91</v>
      </c>
      <c r="O296" s="112" t="s">
        <v>91</v>
      </c>
      <c r="P296" s="11">
        <v>94.592699999999994</v>
      </c>
      <c r="Q296" s="11">
        <v>94.738</v>
      </c>
      <c r="R296" s="11">
        <v>94.834000000000003</v>
      </c>
      <c r="S296" s="11">
        <v>95.046000000000006</v>
      </c>
      <c r="T296" s="11">
        <v>131.35609299999999</v>
      </c>
      <c r="U296" s="11">
        <v>135.31200000000001</v>
      </c>
      <c r="V296" s="11">
        <v>135.673</v>
      </c>
      <c r="W296" s="11">
        <v>138.363</v>
      </c>
      <c r="X296" s="11">
        <v>140.79</v>
      </c>
      <c r="Y296" s="11">
        <v>141.042</v>
      </c>
      <c r="Z296" s="11">
        <v>141.256</v>
      </c>
      <c r="AA296" s="11">
        <v>141.53100000000001</v>
      </c>
      <c r="AB296" s="11">
        <v>141.65</v>
      </c>
      <c r="AC296" s="11">
        <v>142.239</v>
      </c>
      <c r="AD296" s="11">
        <v>146.27099999999999</v>
      </c>
      <c r="AE296" s="11">
        <v>146.88900000000001</v>
      </c>
      <c r="AF296" s="11">
        <v>147.69800000000001</v>
      </c>
      <c r="AG296" s="11">
        <v>148.82499999999999</v>
      </c>
      <c r="AQ296" s="112" t="s">
        <v>91</v>
      </c>
      <c r="AR296" s="112" t="s">
        <v>91</v>
      </c>
      <c r="AS296" s="11">
        <v>94.53</v>
      </c>
      <c r="AT296" s="11">
        <v>94.802999999999997</v>
      </c>
      <c r="AU296" s="11">
        <v>126.586</v>
      </c>
      <c r="AV296" s="11">
        <v>141.16</v>
      </c>
      <c r="AW296" s="11">
        <v>141.16</v>
      </c>
    </row>
    <row r="297" spans="1:49" x14ac:dyDescent="0.2">
      <c r="X297" s="16"/>
      <c r="Y297" s="16"/>
      <c r="Z297" s="16"/>
      <c r="AA297" s="16"/>
      <c r="AB297" s="16"/>
      <c r="AC297" s="16"/>
    </row>
    <row r="298" spans="1:49" x14ac:dyDescent="0.2">
      <c r="B298" s="25" t="s">
        <v>77</v>
      </c>
    </row>
    <row r="299" spans="1:49" x14ac:dyDescent="0.2">
      <c r="B299" t="s">
        <v>110</v>
      </c>
      <c r="D299" s="113" t="str">
        <f>+D291</f>
        <v>n/a</v>
      </c>
      <c r="E299" s="113" t="str">
        <f t="shared" ref="E299:S299" si="1420">+E291</f>
        <v>n/a</v>
      </c>
      <c r="F299" s="113" t="str">
        <f t="shared" si="1420"/>
        <v>n/a</v>
      </c>
      <c r="G299" s="113" t="str">
        <f t="shared" si="1420"/>
        <v>n/a</v>
      </c>
      <c r="H299" s="113" t="str">
        <f t="shared" si="1420"/>
        <v>n/a</v>
      </c>
      <c r="I299" s="113" t="str">
        <f t="shared" si="1420"/>
        <v>n/a</v>
      </c>
      <c r="J299" s="113" t="str">
        <f t="shared" si="1420"/>
        <v>n/a</v>
      </c>
      <c r="K299" s="113" t="str">
        <f t="shared" si="1420"/>
        <v>n/a</v>
      </c>
      <c r="L299" s="113">
        <f t="shared" si="1420"/>
        <v>-2.7360000000000002</v>
      </c>
      <c r="M299" s="113">
        <f t="shared" si="1420"/>
        <v>-1.4869999999999992</v>
      </c>
      <c r="N299" s="113">
        <f t="shared" si="1420"/>
        <v>-2.0839999999999987</v>
      </c>
      <c r="O299" s="113">
        <f t="shared" si="1420"/>
        <v>-4.8749999999999964</v>
      </c>
      <c r="P299" s="113">
        <f t="shared" si="1420"/>
        <v>-1.9310000000000023</v>
      </c>
      <c r="Q299" s="113">
        <f t="shared" si="1420"/>
        <v>-2.1080000000000001</v>
      </c>
      <c r="R299" s="113">
        <f t="shared" si="1420"/>
        <v>-1.036000000000006</v>
      </c>
      <c r="S299" s="113">
        <f t="shared" si="1420"/>
        <v>-1.9370000000000054</v>
      </c>
      <c r="T299" s="113">
        <f t="shared" ref="T299:U299" si="1421">+T291</f>
        <v>1.4709999999999965</v>
      </c>
      <c r="U299" s="113">
        <f t="shared" si="1421"/>
        <v>-0.27899999999999348</v>
      </c>
      <c r="V299" s="113">
        <f t="shared" ref="V299:W299" si="1422">+V291</f>
        <v>-0.61499999999999821</v>
      </c>
      <c r="W299" s="113">
        <f t="shared" si="1422"/>
        <v>-3.8619999999999965</v>
      </c>
      <c r="X299" s="113">
        <f t="shared" ref="X299:Y299" si="1423">+X291</f>
        <v>-2.5710000000000037</v>
      </c>
      <c r="Y299" s="113">
        <f t="shared" si="1423"/>
        <v>-8.2840000000000007</v>
      </c>
      <c r="Z299" s="113">
        <f t="shared" ref="Z299:AA299" si="1424">+Z291</f>
        <v>-9.0920000000000041</v>
      </c>
      <c r="AA299" s="113">
        <f t="shared" si="1424"/>
        <v>-14.438999999999989</v>
      </c>
      <c r="AB299" s="113">
        <f t="shared" ref="AB299:AC299" si="1425">+AB291</f>
        <v>-9.8600000000000012</v>
      </c>
      <c r="AC299" s="113">
        <f t="shared" si="1425"/>
        <v>-0.27900000000000058</v>
      </c>
      <c r="AD299" s="113">
        <f t="shared" ref="AD299:AE299" si="1426">+AD291</f>
        <v>4.2150000000000123</v>
      </c>
      <c r="AE299" s="113">
        <f t="shared" si="1426"/>
        <v>6.8740000000000174</v>
      </c>
      <c r="AF299" s="113">
        <f t="shared" ref="AF299:AG299" si="1427">+AF291</f>
        <v>2.0030000000000028</v>
      </c>
      <c r="AG299" s="113">
        <f t="shared" si="1427"/>
        <v>1.3610000000000051</v>
      </c>
      <c r="AQ299" s="113">
        <f t="shared" ref="AQ299:AR299" si="1428">+AQ291</f>
        <v>-4.4879999999999978</v>
      </c>
      <c r="AR299" s="113">
        <f t="shared" si="1428"/>
        <v>-10.694999999999999</v>
      </c>
      <c r="AS299" s="10">
        <f t="shared" ref="AS299" si="1429">+SUM(L299:O299)</f>
        <v>-11.181999999999995</v>
      </c>
      <c r="AT299" s="10">
        <f t="shared" ref="AT299" si="1430">+SUM(P299:S299)</f>
        <v>-7.0120000000000138</v>
      </c>
      <c r="AU299" s="10">
        <f t="shared" si="1349"/>
        <v>-3.2849999999999917</v>
      </c>
      <c r="AV299" s="10">
        <f t="shared" ref="AV299:AV307" si="1431">+SUM(X299:AA299)</f>
        <v>-34.385999999999996</v>
      </c>
      <c r="AW299" s="10">
        <f>+SUM(AB299:AE299)</f>
        <v>0.9500000000000286</v>
      </c>
    </row>
    <row r="300" spans="1:49" x14ac:dyDescent="0.2">
      <c r="B300" t="s">
        <v>109</v>
      </c>
      <c r="D300" s="113" t="str">
        <f>IFERROR(-D290,"n/a")</f>
        <v>n/a</v>
      </c>
      <c r="E300" s="113" t="str">
        <f t="shared" ref="E300:S300" si="1432">IFERROR(-E290,"n/a")</f>
        <v>n/a</v>
      </c>
      <c r="F300" s="113" t="str">
        <f t="shared" si="1432"/>
        <v>n/a</v>
      </c>
      <c r="G300" s="113" t="str">
        <f t="shared" si="1432"/>
        <v>n/a</v>
      </c>
      <c r="H300" s="113" t="str">
        <f t="shared" si="1432"/>
        <v>n/a</v>
      </c>
      <c r="I300" s="113" t="str">
        <f t="shared" si="1432"/>
        <v>n/a</v>
      </c>
      <c r="J300" s="113" t="str">
        <f t="shared" si="1432"/>
        <v>n/a</v>
      </c>
      <c r="K300" s="113" t="str">
        <f t="shared" si="1432"/>
        <v>n/a</v>
      </c>
      <c r="L300" s="113">
        <f t="shared" si="1432"/>
        <v>0.78800000000000003</v>
      </c>
      <c r="M300" s="113">
        <f t="shared" si="1432"/>
        <v>9.7000000000000003E-2</v>
      </c>
      <c r="N300" s="113">
        <f t="shared" si="1432"/>
        <v>0.27500000000000002</v>
      </c>
      <c r="O300" s="113">
        <f t="shared" si="1432"/>
        <v>0.32</v>
      </c>
      <c r="P300" s="113">
        <f t="shared" si="1432"/>
        <v>0.11600000000000001</v>
      </c>
      <c r="Q300" s="113">
        <f t="shared" si="1432"/>
        <v>9.1999999999999998E-2</v>
      </c>
      <c r="R300" s="113">
        <f t="shared" si="1432"/>
        <v>0.17599999999999999</v>
      </c>
      <c r="S300" s="113">
        <f t="shared" si="1432"/>
        <v>0.193</v>
      </c>
      <c r="T300" s="113">
        <f t="shared" ref="T300:U300" si="1433">IFERROR(-T290,"n/a")</f>
        <v>8.5999999999999993E-2</v>
      </c>
      <c r="U300" s="113">
        <f t="shared" si="1433"/>
        <v>0.14099999999999999</v>
      </c>
      <c r="V300" s="113">
        <f t="shared" ref="V300:W300" si="1434">IFERROR(-V290,"n/a")</f>
        <v>0.10100000000000001</v>
      </c>
      <c r="W300" s="113">
        <f t="shared" si="1434"/>
        <v>-5.8000000000000003E-2</v>
      </c>
      <c r="X300" s="113">
        <f t="shared" ref="X300:Y300" si="1435">IFERROR(-X290,"n/a")</f>
        <v>0.14000000000000001</v>
      </c>
      <c r="Y300" s="113">
        <f t="shared" si="1435"/>
        <v>0.73899999999999999</v>
      </c>
      <c r="Z300" s="113">
        <f t="shared" ref="Z300:AA300" si="1436">IFERROR(-Z290,"n/a")</f>
        <v>0.32100000000000001</v>
      </c>
      <c r="AA300" s="113">
        <f t="shared" si="1436"/>
        <v>0.26900000000000002</v>
      </c>
      <c r="AB300" s="113">
        <f t="shared" ref="AB300:AC300" si="1437">IFERROR(-AB290,"n/a")</f>
        <v>0.79700000000000004</v>
      </c>
      <c r="AC300" s="113">
        <f t="shared" si="1437"/>
        <v>0.86899999999999999</v>
      </c>
      <c r="AD300" s="113">
        <f t="shared" ref="AD300:AE300" si="1438">IFERROR(-AD290,"n/a")</f>
        <v>0.63700000000000001</v>
      </c>
      <c r="AE300" s="113">
        <f t="shared" si="1438"/>
        <v>1.393</v>
      </c>
      <c r="AF300" s="113">
        <f t="shared" ref="AF300:AG300" si="1439">IFERROR(-AF290,"n/a")</f>
        <v>3.1040000000000001</v>
      </c>
      <c r="AG300" s="113">
        <f t="shared" si="1439"/>
        <v>4.649</v>
      </c>
      <c r="AQ300" s="113">
        <f t="shared" ref="AQ300:AR300" si="1440">IFERROR(-AQ290,"n/a")</f>
        <v>0.27</v>
      </c>
      <c r="AR300" s="113">
        <f t="shared" si="1440"/>
        <v>0.78</v>
      </c>
      <c r="AS300" s="10">
        <f t="shared" ref="AS300:AS307" si="1441">+SUM(L300:O300)</f>
        <v>1.4800000000000002</v>
      </c>
      <c r="AT300" s="10">
        <f t="shared" ref="AT300:AT307" si="1442">+SUM(P300:S300)</f>
        <v>0.57699999999999996</v>
      </c>
      <c r="AU300" s="10">
        <f t="shared" si="1349"/>
        <v>0.26999999999999996</v>
      </c>
      <c r="AV300" s="10">
        <f t="shared" si="1431"/>
        <v>1.4689999999999999</v>
      </c>
      <c r="AW300" s="10">
        <f>+SUM(AB300:AE300)</f>
        <v>3.6959999999999997</v>
      </c>
    </row>
    <row r="301" spans="1:49" x14ac:dyDescent="0.2">
      <c r="B301" t="s">
        <v>107</v>
      </c>
      <c r="D301" s="113" t="str">
        <f>IFERROR(-D288,"n/a")</f>
        <v>n/a</v>
      </c>
      <c r="E301" s="113" t="str">
        <f t="shared" ref="E301:S301" si="1443">IFERROR(-E288,"n/a")</f>
        <v>n/a</v>
      </c>
      <c r="F301" s="113" t="str">
        <f t="shared" si="1443"/>
        <v>n/a</v>
      </c>
      <c r="G301" s="113" t="str">
        <f t="shared" si="1443"/>
        <v>n/a</v>
      </c>
      <c r="H301" s="113" t="str">
        <f t="shared" si="1443"/>
        <v>n/a</v>
      </c>
      <c r="I301" s="113" t="str">
        <f t="shared" si="1443"/>
        <v>n/a</v>
      </c>
      <c r="J301" s="113" t="str">
        <f t="shared" si="1443"/>
        <v>n/a</v>
      </c>
      <c r="K301" s="113" t="str">
        <f t="shared" si="1443"/>
        <v>n/a</v>
      </c>
      <c r="L301" s="113">
        <f t="shared" si="1443"/>
        <v>0.78800000000000003</v>
      </c>
      <c r="M301" s="113">
        <f t="shared" si="1443"/>
        <v>9.7000000000000003E-2</v>
      </c>
      <c r="N301" s="113">
        <f t="shared" si="1443"/>
        <v>0.27500000000000002</v>
      </c>
      <c r="O301" s="113">
        <f t="shared" si="1443"/>
        <v>0.32</v>
      </c>
      <c r="P301" s="113">
        <f t="shared" si="1443"/>
        <v>-5.6000000000000001E-2</v>
      </c>
      <c r="Q301" s="113">
        <f t="shared" si="1443"/>
        <v>0.13800000000000001</v>
      </c>
      <c r="R301" s="113">
        <f t="shared" si="1443"/>
        <v>0.105</v>
      </c>
      <c r="S301" s="113">
        <f t="shared" si="1443"/>
        <v>0.10299999999999999</v>
      </c>
      <c r="T301" s="113">
        <f t="shared" ref="T301:U301" si="1444">IFERROR(-T288,"n/a")</f>
        <v>-5.0999999999999997E-2</v>
      </c>
      <c r="U301" s="113">
        <f t="shared" si="1444"/>
        <v>0.123</v>
      </c>
      <c r="V301" s="113">
        <f t="shared" ref="V301:W301" si="1445">IFERROR(-V288,"n/a")</f>
        <v>0.184</v>
      </c>
      <c r="W301" s="113">
        <f t="shared" si="1445"/>
        <v>0.26600000000000001</v>
      </c>
      <c r="X301" s="113">
        <f t="shared" ref="X301:Y301" si="1446">IFERROR(-X288,"n/a")</f>
        <v>-0.159</v>
      </c>
      <c r="Y301" s="113">
        <f t="shared" si="1446"/>
        <v>-0.71099999999999997</v>
      </c>
      <c r="Z301" s="113">
        <f t="shared" ref="Z301:AA301" si="1447">IFERROR(-Z288,"n/a")</f>
        <v>-1.4830000000000001</v>
      </c>
      <c r="AA301" s="113">
        <f t="shared" si="1447"/>
        <v>-1.103</v>
      </c>
      <c r="AB301" s="113">
        <f t="shared" ref="AB301:AC301" si="1448">IFERROR(-AB288,"n/a")</f>
        <v>-1.7050000000000001</v>
      </c>
      <c r="AC301" s="113">
        <f t="shared" si="1448"/>
        <v>-2.919</v>
      </c>
      <c r="AD301" s="113">
        <f t="shared" ref="AD301:AE301" si="1449">IFERROR(-AD288,"n/a")</f>
        <v>-2.1040000000000001</v>
      </c>
      <c r="AE301" s="113">
        <f t="shared" si="1449"/>
        <v>-5.585</v>
      </c>
      <c r="AF301" s="113">
        <f t="shared" ref="AF301:AG301" si="1450">IFERROR(-AF288,"n/a")</f>
        <v>-3.6389999999999998</v>
      </c>
      <c r="AG301" s="113">
        <f t="shared" si="1450"/>
        <v>-2.6160000000000001</v>
      </c>
      <c r="AQ301" s="113">
        <f t="shared" ref="AQ301:AR301" si="1451">IFERROR(-AQ288,"n/a")</f>
        <v>0.83</v>
      </c>
      <c r="AR301" s="113">
        <f t="shared" si="1451"/>
        <v>3.3260000000000001</v>
      </c>
      <c r="AS301" s="10">
        <f t="shared" si="1441"/>
        <v>1.4800000000000002</v>
      </c>
      <c r="AT301" s="10">
        <f t="shared" si="1442"/>
        <v>0.28999999999999998</v>
      </c>
      <c r="AU301" s="10">
        <f t="shared" si="1349"/>
        <v>0.52200000000000002</v>
      </c>
      <c r="AV301" s="10">
        <f t="shared" si="1431"/>
        <v>-3.4560000000000004</v>
      </c>
      <c r="AW301" s="10">
        <f>+SUM(AB301:AE301)</f>
        <v>-12.313000000000001</v>
      </c>
    </row>
    <row r="302" spans="1:49" x14ac:dyDescent="0.2">
      <c r="B302" t="s">
        <v>246</v>
      </c>
      <c r="D302" s="113" t="str">
        <f>+D283</f>
        <v>n/a</v>
      </c>
      <c r="E302" s="113" t="str">
        <f t="shared" ref="E302:AF302" si="1452">+E283</f>
        <v>n/a</v>
      </c>
      <c r="F302" s="113" t="str">
        <f t="shared" si="1452"/>
        <v>n/a</v>
      </c>
      <c r="G302" s="113" t="str">
        <f t="shared" si="1452"/>
        <v>n/a</v>
      </c>
      <c r="H302" s="113" t="str">
        <f t="shared" si="1452"/>
        <v>n/a</v>
      </c>
      <c r="I302" s="113" t="str">
        <f t="shared" si="1452"/>
        <v>n/a</v>
      </c>
      <c r="J302" s="113" t="str">
        <f t="shared" si="1452"/>
        <v>n/a</v>
      </c>
      <c r="K302" s="113" t="str">
        <f t="shared" si="1452"/>
        <v>n/a</v>
      </c>
      <c r="L302" s="113">
        <f t="shared" si="1452"/>
        <v>0</v>
      </c>
      <c r="M302" s="113">
        <f t="shared" si="1452"/>
        <v>0</v>
      </c>
      <c r="N302" s="113">
        <f t="shared" si="1452"/>
        <v>0</v>
      </c>
      <c r="O302" s="113">
        <f t="shared" si="1452"/>
        <v>0</v>
      </c>
      <c r="P302" s="113">
        <f t="shared" si="1452"/>
        <v>0</v>
      </c>
      <c r="Q302" s="113">
        <f t="shared" si="1452"/>
        <v>0</v>
      </c>
      <c r="R302" s="113">
        <f t="shared" si="1452"/>
        <v>0</v>
      </c>
      <c r="S302" s="113">
        <f t="shared" si="1452"/>
        <v>0</v>
      </c>
      <c r="T302" s="113">
        <f t="shared" si="1452"/>
        <v>0</v>
      </c>
      <c r="U302" s="113">
        <f t="shared" si="1452"/>
        <v>0</v>
      </c>
      <c r="V302" s="113">
        <f t="shared" si="1452"/>
        <v>0</v>
      </c>
      <c r="W302" s="113">
        <f t="shared" si="1452"/>
        <v>0</v>
      </c>
      <c r="X302" s="113">
        <f t="shared" si="1452"/>
        <v>0</v>
      </c>
      <c r="Y302" s="113">
        <f t="shared" si="1452"/>
        <v>3.4849999999999999</v>
      </c>
      <c r="Z302" s="113">
        <f t="shared" si="1452"/>
        <v>5.9320000000000004</v>
      </c>
      <c r="AA302" s="113">
        <f t="shared" si="1452"/>
        <v>1.847</v>
      </c>
      <c r="AB302" s="113">
        <f t="shared" si="1452"/>
        <v>0.98299999999999998</v>
      </c>
      <c r="AC302" s="113">
        <f t="shared" si="1452"/>
        <v>0.309</v>
      </c>
      <c r="AD302" s="113">
        <f t="shared" si="1452"/>
        <v>0</v>
      </c>
      <c r="AE302" s="113">
        <f t="shared" si="1452"/>
        <v>0</v>
      </c>
      <c r="AF302" s="113">
        <f t="shared" si="1452"/>
        <v>0</v>
      </c>
      <c r="AG302" s="113">
        <f t="shared" ref="AG302" si="1453">+AG283</f>
        <v>0</v>
      </c>
      <c r="AQ302" s="113">
        <f t="shared" ref="AQ302:AR302" si="1454">+AQ283</f>
        <v>0</v>
      </c>
      <c r="AR302" s="113">
        <f t="shared" si="1454"/>
        <v>0</v>
      </c>
      <c r="AS302" s="10">
        <f t="shared" ref="AS302:AS305" si="1455">+SUM(L302:O302)</f>
        <v>0</v>
      </c>
      <c r="AT302" s="10">
        <f t="shared" ref="AT302:AT305" si="1456">+SUM(P302:S302)</f>
        <v>0</v>
      </c>
      <c r="AU302" s="10">
        <f t="shared" ref="AU302:AU305" si="1457">+SUM(T302:W302)</f>
        <v>0</v>
      </c>
      <c r="AV302" s="10">
        <f t="shared" ref="AV302:AV305" si="1458">+SUM(X302:AA302)</f>
        <v>11.263999999999999</v>
      </c>
      <c r="AW302" s="10">
        <f t="shared" ref="AW302:AW305" si="1459">+SUM(AB302:AE302)</f>
        <v>1.292</v>
      </c>
    </row>
    <row r="303" spans="1:49" x14ac:dyDescent="0.2">
      <c r="B303" t="s">
        <v>371</v>
      </c>
      <c r="D303" s="113">
        <f>+D329</f>
        <v>0</v>
      </c>
      <c r="E303" s="113">
        <f t="shared" ref="E303:AF303" si="1460">+E329</f>
        <v>0</v>
      </c>
      <c r="F303" s="113">
        <f t="shared" si="1460"/>
        <v>0</v>
      </c>
      <c r="G303" s="113">
        <f t="shared" si="1460"/>
        <v>0</v>
      </c>
      <c r="H303" s="113">
        <f t="shared" si="1460"/>
        <v>0</v>
      </c>
      <c r="I303" s="113">
        <f t="shared" si="1460"/>
        <v>0</v>
      </c>
      <c r="J303" s="113">
        <f t="shared" si="1460"/>
        <v>0</v>
      </c>
      <c r="K303" s="113">
        <f t="shared" si="1460"/>
        <v>0</v>
      </c>
      <c r="L303" s="113">
        <f t="shared" si="1460"/>
        <v>0</v>
      </c>
      <c r="M303" s="113">
        <f t="shared" si="1460"/>
        <v>0</v>
      </c>
      <c r="N303" s="113">
        <f t="shared" si="1460"/>
        <v>0</v>
      </c>
      <c r="O303" s="113">
        <f t="shared" si="1460"/>
        <v>0</v>
      </c>
      <c r="P303" s="113">
        <f t="shared" si="1460"/>
        <v>0</v>
      </c>
      <c r="Q303" s="113">
        <f t="shared" si="1460"/>
        <v>0</v>
      </c>
      <c r="R303" s="113">
        <f t="shared" si="1460"/>
        <v>0</v>
      </c>
      <c r="S303" s="113">
        <f t="shared" si="1460"/>
        <v>0</v>
      </c>
      <c r="T303" s="113">
        <f t="shared" si="1460"/>
        <v>0</v>
      </c>
      <c r="U303" s="113">
        <f t="shared" si="1460"/>
        <v>0</v>
      </c>
      <c r="V303" s="113">
        <f t="shared" si="1460"/>
        <v>0</v>
      </c>
      <c r="W303" s="113">
        <f t="shared" si="1460"/>
        <v>0</v>
      </c>
      <c r="X303" s="113">
        <f t="shared" si="1460"/>
        <v>0</v>
      </c>
      <c r="Y303" s="113">
        <f t="shared" si="1460"/>
        <v>0</v>
      </c>
      <c r="Z303" s="113">
        <f t="shared" si="1460"/>
        <v>0</v>
      </c>
      <c r="AA303" s="113">
        <f t="shared" si="1460"/>
        <v>0</v>
      </c>
      <c r="AB303" s="113">
        <f t="shared" si="1460"/>
        <v>0</v>
      </c>
      <c r="AC303" s="113">
        <f t="shared" si="1460"/>
        <v>0</v>
      </c>
      <c r="AD303" s="113">
        <f t="shared" si="1460"/>
        <v>0</v>
      </c>
      <c r="AE303" s="113">
        <f t="shared" si="1460"/>
        <v>0</v>
      </c>
      <c r="AF303" s="113">
        <f t="shared" si="1460"/>
        <v>2.1240000000000001</v>
      </c>
      <c r="AG303" s="113">
        <f t="shared" ref="AG303" si="1461">+AG329</f>
        <v>0</v>
      </c>
      <c r="AQ303" s="113">
        <f t="shared" ref="AQ303:AR303" si="1462">+AQ329</f>
        <v>0</v>
      </c>
      <c r="AR303" s="113">
        <f t="shared" si="1462"/>
        <v>0</v>
      </c>
      <c r="AS303" s="10">
        <f t="shared" si="1455"/>
        <v>0</v>
      </c>
      <c r="AT303" s="10">
        <f t="shared" si="1456"/>
        <v>0</v>
      </c>
      <c r="AU303" s="10">
        <f t="shared" si="1457"/>
        <v>0</v>
      </c>
      <c r="AV303" s="10">
        <f t="shared" si="1458"/>
        <v>0</v>
      </c>
      <c r="AW303" s="10">
        <f t="shared" si="1459"/>
        <v>0</v>
      </c>
    </row>
    <row r="304" spans="1:49" x14ac:dyDescent="0.2">
      <c r="B304" t="s">
        <v>372</v>
      </c>
      <c r="D304" s="113">
        <f>+D336</f>
        <v>0</v>
      </c>
      <c r="E304" s="113">
        <f t="shared" ref="E304:AF304" si="1463">+E336</f>
        <v>0</v>
      </c>
      <c r="F304" s="113">
        <f t="shared" si="1463"/>
        <v>0</v>
      </c>
      <c r="G304" s="113">
        <f t="shared" si="1463"/>
        <v>0</v>
      </c>
      <c r="H304" s="113">
        <f t="shared" si="1463"/>
        <v>0</v>
      </c>
      <c r="I304" s="113">
        <f t="shared" si="1463"/>
        <v>0</v>
      </c>
      <c r="J304" s="113">
        <f t="shared" si="1463"/>
        <v>0</v>
      </c>
      <c r="K304" s="113">
        <f t="shared" si="1463"/>
        <v>0</v>
      </c>
      <c r="L304" s="113">
        <f t="shared" si="1463"/>
        <v>0</v>
      </c>
      <c r="M304" s="113">
        <f t="shared" si="1463"/>
        <v>0</v>
      </c>
      <c r="N304" s="113">
        <f t="shared" si="1463"/>
        <v>0</v>
      </c>
      <c r="O304" s="113">
        <f t="shared" si="1463"/>
        <v>0</v>
      </c>
      <c r="P304" s="113">
        <f t="shared" si="1463"/>
        <v>0</v>
      </c>
      <c r="Q304" s="113">
        <f t="shared" si="1463"/>
        <v>0</v>
      </c>
      <c r="R304" s="113">
        <f t="shared" si="1463"/>
        <v>0</v>
      </c>
      <c r="S304" s="113">
        <f t="shared" si="1463"/>
        <v>0</v>
      </c>
      <c r="T304" s="113">
        <f t="shared" si="1463"/>
        <v>0</v>
      </c>
      <c r="U304" s="113">
        <f t="shared" si="1463"/>
        <v>0</v>
      </c>
      <c r="V304" s="113">
        <f t="shared" si="1463"/>
        <v>0</v>
      </c>
      <c r="W304" s="113">
        <f t="shared" si="1463"/>
        <v>0</v>
      </c>
      <c r="X304" s="113">
        <f t="shared" si="1463"/>
        <v>0</v>
      </c>
      <c r="Y304" s="113">
        <f t="shared" si="1463"/>
        <v>0</v>
      </c>
      <c r="Z304" s="113">
        <f t="shared" si="1463"/>
        <v>0</v>
      </c>
      <c r="AA304" s="113">
        <f t="shared" si="1463"/>
        <v>0</v>
      </c>
      <c r="AB304" s="113">
        <f t="shared" si="1463"/>
        <v>0</v>
      </c>
      <c r="AC304" s="113">
        <f t="shared" si="1463"/>
        <v>0</v>
      </c>
      <c r="AD304" s="113">
        <f t="shared" si="1463"/>
        <v>0</v>
      </c>
      <c r="AE304" s="113">
        <f t="shared" si="1463"/>
        <v>0.372</v>
      </c>
      <c r="AF304" s="113">
        <f t="shared" si="1463"/>
        <v>0.33800000000000002</v>
      </c>
      <c r="AG304" s="113">
        <f t="shared" ref="AG304" si="1464">+AG336</f>
        <v>0.73699999999999999</v>
      </c>
      <c r="AQ304" s="113">
        <f t="shared" ref="AQ304:AR304" si="1465">+AQ336</f>
        <v>0</v>
      </c>
      <c r="AR304" s="113">
        <f t="shared" si="1465"/>
        <v>0</v>
      </c>
      <c r="AS304" s="10">
        <f t="shared" si="1455"/>
        <v>0</v>
      </c>
      <c r="AT304" s="10">
        <f t="shared" si="1456"/>
        <v>0</v>
      </c>
      <c r="AU304" s="10">
        <f t="shared" si="1457"/>
        <v>0</v>
      </c>
      <c r="AV304" s="10">
        <f t="shared" si="1458"/>
        <v>0</v>
      </c>
      <c r="AW304" s="10">
        <f t="shared" si="1459"/>
        <v>0.372</v>
      </c>
    </row>
    <row r="305" spans="1:49" x14ac:dyDescent="0.2">
      <c r="B305" t="s">
        <v>211</v>
      </c>
      <c r="D305" s="112" t="s">
        <v>91</v>
      </c>
      <c r="E305" s="112" t="s">
        <v>91</v>
      </c>
      <c r="F305" s="112" t="s">
        <v>91</v>
      </c>
      <c r="G305" s="112" t="s">
        <v>91</v>
      </c>
      <c r="H305" s="112" t="s">
        <v>91</v>
      </c>
      <c r="I305" s="112" t="s">
        <v>91</v>
      </c>
      <c r="J305" s="112" t="s">
        <v>91</v>
      </c>
      <c r="K305" s="112" t="s">
        <v>91</v>
      </c>
      <c r="L305" s="116">
        <f ca="1">+$AS305/4</f>
        <v>0.37000000000000005</v>
      </c>
      <c r="M305" s="116">
        <f t="shared" ref="M305:O306" ca="1" si="1466">+$AS305/4</f>
        <v>0.37000000000000005</v>
      </c>
      <c r="N305" s="116">
        <f t="shared" ca="1" si="1466"/>
        <v>0.37000000000000005</v>
      </c>
      <c r="O305" s="116">
        <f t="shared" ca="1" si="1466"/>
        <v>0.37000000000000005</v>
      </c>
      <c r="P305" s="111">
        <f>+P345</f>
        <v>0.23200000000000001</v>
      </c>
      <c r="Q305" s="111">
        <f t="shared" ref="Q305:V305" si="1467">+Q345</f>
        <v>0.24199999999999997</v>
      </c>
      <c r="R305" s="111">
        <f t="shared" si="1467"/>
        <v>0.374</v>
      </c>
      <c r="S305" s="111">
        <f t="shared" si="1467"/>
        <v>0.63600000000000001</v>
      </c>
      <c r="T305" s="111">
        <f t="shared" si="1467"/>
        <v>0.46</v>
      </c>
      <c r="U305" s="111">
        <f t="shared" si="1467"/>
        <v>0.9870000000000001</v>
      </c>
      <c r="V305" s="111">
        <f t="shared" si="1467"/>
        <v>0.9910000000000001</v>
      </c>
      <c r="W305" s="111">
        <f t="shared" ref="W305:X305" si="1468">+W345</f>
        <v>1.097</v>
      </c>
      <c r="X305" s="111">
        <f t="shared" si="1468"/>
        <v>1.4550000000000001</v>
      </c>
      <c r="Y305" s="111">
        <f t="shared" ref="Y305:Z305" si="1469">+Y345</f>
        <v>2.766</v>
      </c>
      <c r="Z305" s="111">
        <f t="shared" si="1469"/>
        <v>2.4050000000000002</v>
      </c>
      <c r="AA305" s="111">
        <f t="shared" ref="AA305:AB306" si="1470">+AA345</f>
        <v>2.4000000000000021E-2</v>
      </c>
      <c r="AB305" s="111">
        <f t="shared" si="1470"/>
        <v>1.4870000000000001</v>
      </c>
      <c r="AC305" s="111">
        <f t="shared" ref="AC305:AD305" si="1471">+AC345</f>
        <v>1.6479999999999997</v>
      </c>
      <c r="AD305" s="111">
        <f t="shared" si="1471"/>
        <v>1.6720000000000006</v>
      </c>
      <c r="AE305" s="111">
        <f t="shared" ref="AE305:AF305" si="1472">+AE345</f>
        <v>1.9829999999999997</v>
      </c>
      <c r="AF305" s="111">
        <f t="shared" si="1472"/>
        <v>2.1829999999999998</v>
      </c>
      <c r="AG305" s="111">
        <f t="shared" ref="AG305" si="1473">+AG345</f>
        <v>2.0860000000000003</v>
      </c>
      <c r="AQ305" s="111">
        <f t="shared" ref="AQ305:AR305" si="1474">+AQ345</f>
        <v>0.94300000000000006</v>
      </c>
      <c r="AR305" s="111">
        <f t="shared" si="1474"/>
        <v>1.266</v>
      </c>
      <c r="AS305" s="10">
        <f t="shared" ca="1" si="1455"/>
        <v>1.4800000000000002</v>
      </c>
      <c r="AT305" s="10">
        <f t="shared" si="1456"/>
        <v>1.484</v>
      </c>
      <c r="AU305" s="10">
        <f t="shared" si="1457"/>
        <v>3.5350000000000001</v>
      </c>
      <c r="AV305" s="10">
        <f t="shared" si="1458"/>
        <v>6.65</v>
      </c>
      <c r="AW305" s="10">
        <f t="shared" si="1459"/>
        <v>6.79</v>
      </c>
    </row>
    <row r="306" spans="1:49" x14ac:dyDescent="0.2">
      <c r="B306" t="s">
        <v>306</v>
      </c>
      <c r="D306" s="112" t="s">
        <v>91</v>
      </c>
      <c r="E306" s="112" t="s">
        <v>91</v>
      </c>
      <c r="F306" s="112" t="s">
        <v>91</v>
      </c>
      <c r="G306" s="112" t="s">
        <v>91</v>
      </c>
      <c r="H306" s="112" t="s">
        <v>91</v>
      </c>
      <c r="I306" s="112" t="s">
        <v>91</v>
      </c>
      <c r="J306" s="112" t="s">
        <v>91</v>
      </c>
      <c r="K306" s="112" t="s">
        <v>91</v>
      </c>
      <c r="L306" s="116">
        <f>+$AS306/4</f>
        <v>0</v>
      </c>
      <c r="M306" s="116">
        <f t="shared" si="1466"/>
        <v>0</v>
      </c>
      <c r="N306" s="116">
        <f t="shared" si="1466"/>
        <v>0</v>
      </c>
      <c r="O306" s="116">
        <f t="shared" si="1466"/>
        <v>0</v>
      </c>
      <c r="P306" s="111">
        <f>+P346</f>
        <v>0</v>
      </c>
      <c r="Q306" s="111">
        <f t="shared" ref="Q306:Z306" si="1475">+Q346</f>
        <v>0</v>
      </c>
      <c r="R306" s="111">
        <f t="shared" si="1475"/>
        <v>0</v>
      </c>
      <c r="S306" s="111">
        <f t="shared" si="1475"/>
        <v>0</v>
      </c>
      <c r="T306" s="111">
        <f t="shared" si="1475"/>
        <v>0</v>
      </c>
      <c r="U306" s="111">
        <f t="shared" si="1475"/>
        <v>0</v>
      </c>
      <c r="V306" s="111">
        <f t="shared" si="1475"/>
        <v>0</v>
      </c>
      <c r="W306" s="111">
        <f t="shared" si="1475"/>
        <v>0</v>
      </c>
      <c r="X306" s="111">
        <f t="shared" si="1475"/>
        <v>0</v>
      </c>
      <c r="Y306" s="111">
        <f t="shared" si="1475"/>
        <v>0</v>
      </c>
      <c r="Z306" s="111">
        <f t="shared" si="1475"/>
        <v>0</v>
      </c>
      <c r="AA306" s="111">
        <f t="shared" si="1470"/>
        <v>0.64200000000000002</v>
      </c>
      <c r="AB306" s="111">
        <f t="shared" si="1470"/>
        <v>0</v>
      </c>
      <c r="AC306" s="111">
        <f t="shared" ref="AC306:AD306" si="1476">+AC346</f>
        <v>0</v>
      </c>
      <c r="AD306" s="111">
        <f t="shared" si="1476"/>
        <v>0</v>
      </c>
      <c r="AE306" s="111">
        <f t="shared" ref="AE306:AF306" si="1477">+AE346</f>
        <v>0.122</v>
      </c>
      <c r="AF306" s="111">
        <f t="shared" si="1477"/>
        <v>0</v>
      </c>
      <c r="AG306" s="111">
        <f t="shared" ref="AG306" si="1478">+AG346</f>
        <v>0</v>
      </c>
      <c r="AQ306" s="111">
        <f t="shared" ref="AQ306:AR306" si="1479">+AQ346</f>
        <v>0</v>
      </c>
      <c r="AR306" s="111">
        <f t="shared" si="1479"/>
        <v>0</v>
      </c>
      <c r="AS306" s="111">
        <f t="shared" ref="AS306:AV306" si="1480">+AS346</f>
        <v>0</v>
      </c>
      <c r="AT306" s="111">
        <f t="shared" si="1480"/>
        <v>0</v>
      </c>
      <c r="AU306" s="111">
        <f t="shared" si="1480"/>
        <v>0</v>
      </c>
      <c r="AV306" s="111">
        <f t="shared" si="1480"/>
        <v>0.64200000000000002</v>
      </c>
      <c r="AW306" s="111">
        <f t="shared" ref="AW306" si="1481">+AW346</f>
        <v>0.122</v>
      </c>
    </row>
    <row r="307" spans="1:49" ht="13.5" x14ac:dyDescent="0.35">
      <c r="B307" t="s">
        <v>212</v>
      </c>
      <c r="D307" s="114" t="str">
        <f>+D315</f>
        <v>n/a</v>
      </c>
      <c r="E307" s="114" t="str">
        <f t="shared" ref="E307:S307" si="1482">+E315</f>
        <v>n/a</v>
      </c>
      <c r="F307" s="114" t="str">
        <f t="shared" si="1482"/>
        <v>n/a</v>
      </c>
      <c r="G307" s="114" t="str">
        <f t="shared" si="1482"/>
        <v>n/a</v>
      </c>
      <c r="H307" s="114" t="str">
        <f t="shared" si="1482"/>
        <v>n/a</v>
      </c>
      <c r="I307" s="114" t="str">
        <f t="shared" si="1482"/>
        <v>n/a</v>
      </c>
      <c r="J307" s="114" t="str">
        <f t="shared" si="1482"/>
        <v>n/a</v>
      </c>
      <c r="K307" s="114" t="str">
        <f t="shared" si="1482"/>
        <v>n/a</v>
      </c>
      <c r="L307" s="114">
        <f t="shared" si="1482"/>
        <v>5.6000000000000001E-2</v>
      </c>
      <c r="M307" s="114">
        <f t="shared" si="1482"/>
        <v>8.6999999999999994E-2</v>
      </c>
      <c r="N307" s="114">
        <f t="shared" si="1482"/>
        <v>9.9000000000000005E-2</v>
      </c>
      <c r="O307" s="114">
        <f t="shared" si="1482"/>
        <v>0.26100000000000001</v>
      </c>
      <c r="P307" s="114">
        <f t="shared" si="1482"/>
        <v>0.20499999999999999</v>
      </c>
      <c r="Q307" s="114">
        <f t="shared" si="1482"/>
        <v>0.20899999999999999</v>
      </c>
      <c r="R307" s="114">
        <f t="shared" si="1482"/>
        <v>0.25800000000000001</v>
      </c>
      <c r="S307" s="114">
        <f t="shared" si="1482"/>
        <v>0.40699999999999997</v>
      </c>
      <c r="T307" s="114">
        <f t="shared" ref="T307:U307" si="1483">+T315</f>
        <v>0.59299999999999997</v>
      </c>
      <c r="U307" s="114">
        <f t="shared" si="1483"/>
        <v>0.56899999999999995</v>
      </c>
      <c r="V307" s="114">
        <f t="shared" ref="V307:W307" si="1484">+V315</f>
        <v>0.627</v>
      </c>
      <c r="W307" s="114">
        <f t="shared" si="1484"/>
        <v>0.95299999999999996</v>
      </c>
      <c r="X307" s="114">
        <f t="shared" ref="X307:Y307" si="1485">+X315</f>
        <v>0.93200000000000005</v>
      </c>
      <c r="Y307" s="114">
        <f t="shared" si="1485"/>
        <v>2.2040000000000002</v>
      </c>
      <c r="Z307" s="114">
        <f t="shared" ref="Z307:AA307" si="1486">+Z315</f>
        <v>1.98</v>
      </c>
      <c r="AA307" s="114">
        <f t="shared" si="1486"/>
        <v>2.2769999999999997</v>
      </c>
      <c r="AB307" s="114">
        <f t="shared" ref="AB307:AC307" si="1487">+AB315</f>
        <v>2.7960000000000003</v>
      </c>
      <c r="AC307" s="114">
        <f t="shared" si="1487"/>
        <v>3.7650000000000001</v>
      </c>
      <c r="AD307" s="114">
        <f t="shared" ref="AD307:AE307" si="1488">+AD315</f>
        <v>4.2030000000000003</v>
      </c>
      <c r="AE307" s="114">
        <f t="shared" si="1488"/>
        <v>4.5730000000000004</v>
      </c>
      <c r="AF307" s="114">
        <f t="shared" ref="AF307:AG307" si="1489">+AF315</f>
        <v>5.1150000000000002</v>
      </c>
      <c r="AG307" s="114">
        <f t="shared" si="1489"/>
        <v>7.1660000000000004</v>
      </c>
      <c r="AQ307" s="114">
        <f t="shared" ref="AQ307:AR307" si="1490">+AQ315</f>
        <v>0.30199999999999999</v>
      </c>
      <c r="AR307" s="114">
        <f t="shared" si="1490"/>
        <v>0.224</v>
      </c>
      <c r="AS307" s="18">
        <f t="shared" si="1441"/>
        <v>0.503</v>
      </c>
      <c r="AT307" s="18">
        <f t="shared" si="1442"/>
        <v>1.079</v>
      </c>
      <c r="AU307" s="18">
        <f t="shared" si="1349"/>
        <v>2.742</v>
      </c>
      <c r="AV307" s="18">
        <f t="shared" si="1431"/>
        <v>7.3929999999999989</v>
      </c>
      <c r="AW307" s="18">
        <f>+SUM(AB307:AE307)</f>
        <v>15.337</v>
      </c>
    </row>
    <row r="308" spans="1:49" s="3" customFormat="1" x14ac:dyDescent="0.2">
      <c r="A308" s="2"/>
      <c r="B308" s="24" t="s">
        <v>77</v>
      </c>
      <c r="D308" s="125" t="str">
        <f>+IFERROR(D299+D300+D301+D302+D303+D304+D305+D306+D307,"n/a")</f>
        <v>n/a</v>
      </c>
      <c r="E308" s="125" t="str">
        <f t="shared" ref="E308:AF308" si="1491">+IFERROR(E299+E300+E301+E302+E303+E304+E305+E306+E307,"n/a")</f>
        <v>n/a</v>
      </c>
      <c r="F308" s="125" t="str">
        <f t="shared" si="1491"/>
        <v>n/a</v>
      </c>
      <c r="G308" s="125" t="str">
        <f t="shared" si="1491"/>
        <v>n/a</v>
      </c>
      <c r="H308" s="125" t="str">
        <f t="shared" si="1491"/>
        <v>n/a</v>
      </c>
      <c r="I308" s="125" t="str">
        <f t="shared" si="1491"/>
        <v>n/a</v>
      </c>
      <c r="J308" s="125" t="str">
        <f t="shared" si="1491"/>
        <v>n/a</v>
      </c>
      <c r="K308" s="125" t="str">
        <f t="shared" si="1491"/>
        <v>n/a</v>
      </c>
      <c r="L308" s="125">
        <f t="shared" ca="1" si="1491"/>
        <v>-0.73399999999999999</v>
      </c>
      <c r="M308" s="125">
        <f t="shared" ca="1" si="1491"/>
        <v>-0.83599999999999919</v>
      </c>
      <c r="N308" s="125">
        <f t="shared" ca="1" si="1491"/>
        <v>-1.0649999999999988</v>
      </c>
      <c r="O308" s="125">
        <f t="shared" ca="1" si="1491"/>
        <v>-3.6039999999999957</v>
      </c>
      <c r="P308" s="125">
        <f t="shared" si="1491"/>
        <v>-1.4340000000000022</v>
      </c>
      <c r="Q308" s="125">
        <f t="shared" si="1491"/>
        <v>-1.427</v>
      </c>
      <c r="R308" s="125">
        <f t="shared" si="1491"/>
        <v>-0.1230000000000061</v>
      </c>
      <c r="S308" s="125">
        <f t="shared" si="1491"/>
        <v>-0.59800000000000519</v>
      </c>
      <c r="T308" s="125">
        <f t="shared" si="1491"/>
        <v>2.5589999999999966</v>
      </c>
      <c r="U308" s="125">
        <f t="shared" si="1491"/>
        <v>1.5410000000000066</v>
      </c>
      <c r="V308" s="125">
        <f t="shared" si="1491"/>
        <v>1.2880000000000018</v>
      </c>
      <c r="W308" s="125">
        <f t="shared" si="1491"/>
        <v>-1.6039999999999965</v>
      </c>
      <c r="X308" s="125">
        <f t="shared" si="1491"/>
        <v>-0.20300000000000329</v>
      </c>
      <c r="Y308" s="125">
        <f t="shared" si="1491"/>
        <v>0.1989999999999994</v>
      </c>
      <c r="Z308" s="125">
        <f t="shared" si="1491"/>
        <v>6.2999999999995726E-2</v>
      </c>
      <c r="AA308" s="125">
        <f t="shared" si="1491"/>
        <v>-10.482999999999992</v>
      </c>
      <c r="AB308" s="125">
        <f t="shared" si="1491"/>
        <v>-5.5019999999999998</v>
      </c>
      <c r="AC308" s="125">
        <f t="shared" si="1491"/>
        <v>3.3929999999999993</v>
      </c>
      <c r="AD308" s="125">
        <f t="shared" si="1491"/>
        <v>8.6230000000000135</v>
      </c>
      <c r="AE308" s="125">
        <f t="shared" si="1491"/>
        <v>9.7320000000000171</v>
      </c>
      <c r="AF308" s="125">
        <f t="shared" si="1491"/>
        <v>11.228000000000003</v>
      </c>
      <c r="AG308" s="125">
        <f t="shared" ref="AG308" si="1492">+IFERROR(AG299+AG300+AG301+AG302+AG303+AG304+AG305+AG306+AG307,"n/a")</f>
        <v>13.383000000000006</v>
      </c>
      <c r="AQ308" s="125">
        <f t="shared" ref="AQ308" si="1493">+IFERROR(AQ299+AQ300+AQ301+AQ302+AQ303+AQ304+AQ305+AQ306+AQ307,"n/a")</f>
        <v>-2.142999999999998</v>
      </c>
      <c r="AR308" s="125">
        <f t="shared" ref="AR308" si="1494">+IFERROR(AR299+AR300+AR301+AR302+AR303+AR304+AR305+AR306+AR307,"n/a")</f>
        <v>-5.0989999999999984</v>
      </c>
      <c r="AS308" s="125">
        <f t="shared" ref="AS308" ca="1" si="1495">+IFERROR(AS299+AS300+AS301+AS302+AS303+AS304+AS305+AS306+AS307,"n/a")</f>
        <v>-6.2389999999999937</v>
      </c>
      <c r="AT308" s="125">
        <f t="shared" ref="AT308" si="1496">+IFERROR(AT299+AT300+AT301+AT302+AT303+AT304+AT305+AT306+AT307,"n/a")</f>
        <v>-3.5820000000000141</v>
      </c>
      <c r="AU308" s="125">
        <f t="shared" ref="AU308" si="1497">+IFERROR(AU299+AU300+AU301+AU302+AU303+AU304+AU305+AU306+AU307,"n/a")</f>
        <v>3.7840000000000087</v>
      </c>
      <c r="AV308" s="125">
        <f t="shared" ref="AV308" si="1498">+IFERROR(AV299+AV300+AV301+AV302+AV303+AV304+AV305+AV306+AV307,"n/a")</f>
        <v>-10.423999999999998</v>
      </c>
      <c r="AW308" s="125">
        <f t="shared" ref="AW308" si="1499">+IFERROR(AW299+AW300+AW301+AW302+AW303+AW304+AW305+AW306+AW307,"n/a")</f>
        <v>16.246000000000027</v>
      </c>
    </row>
    <row r="310" spans="1:49" x14ac:dyDescent="0.2">
      <c r="B310" s="25" t="s">
        <v>210</v>
      </c>
    </row>
    <row r="311" spans="1:49" x14ac:dyDescent="0.2">
      <c r="B311" t="s">
        <v>100</v>
      </c>
      <c r="D311" s="112" t="s">
        <v>91</v>
      </c>
      <c r="E311" s="112" t="s">
        <v>91</v>
      </c>
      <c r="F311" s="112" t="s">
        <v>91</v>
      </c>
      <c r="G311" s="112" t="s">
        <v>91</v>
      </c>
      <c r="H311" s="112" t="s">
        <v>91</v>
      </c>
      <c r="I311" s="112" t="s">
        <v>91</v>
      </c>
      <c r="J311" s="112" t="s">
        <v>91</v>
      </c>
      <c r="K311" s="112" t="s">
        <v>91</v>
      </c>
      <c r="L311" s="11">
        <v>0</v>
      </c>
      <c r="M311" s="11">
        <v>0</v>
      </c>
      <c r="N311" s="11">
        <v>0</v>
      </c>
      <c r="O311" s="11">
        <v>8.9999999999999993E-3</v>
      </c>
      <c r="P311" s="11">
        <v>5.0000000000000001E-3</v>
      </c>
      <c r="Q311" s="11">
        <v>5.0000000000000001E-3</v>
      </c>
      <c r="R311" s="11">
        <v>5.0000000000000001E-3</v>
      </c>
      <c r="S311" s="11">
        <v>3.0000000000000001E-3</v>
      </c>
      <c r="T311" s="11">
        <v>7.0000000000000001E-3</v>
      </c>
      <c r="U311" s="11">
        <v>7.0000000000000001E-3</v>
      </c>
      <c r="V311" s="11">
        <v>7.0000000000000001E-3</v>
      </c>
      <c r="W311" s="11">
        <v>1.4999999999999999E-2</v>
      </c>
      <c r="X311" s="11">
        <v>1.0999999999999999E-2</v>
      </c>
      <c r="Y311" s="11">
        <v>2.1000000000000001E-2</v>
      </c>
      <c r="Z311" s="11">
        <v>0.02</v>
      </c>
      <c r="AA311" s="11">
        <v>2.1999999999999999E-2</v>
      </c>
      <c r="AB311" s="11">
        <v>1.7000000000000001E-2</v>
      </c>
      <c r="AC311" s="11">
        <v>3.2000000000000001E-2</v>
      </c>
      <c r="AD311" s="11">
        <v>3.3000000000000002E-2</v>
      </c>
      <c r="AE311" s="11">
        <v>4.8000000000000001E-2</v>
      </c>
      <c r="AF311" s="11">
        <v>3.9E-2</v>
      </c>
      <c r="AG311" s="11">
        <v>5.8999999999999997E-2</v>
      </c>
      <c r="AH311" s="11"/>
      <c r="AI311" s="11"/>
      <c r="AJ311" s="11"/>
      <c r="AK311" s="11"/>
      <c r="AL311" s="11"/>
      <c r="AM311" s="11"/>
      <c r="AQ311" s="11">
        <v>0</v>
      </c>
      <c r="AR311" s="11">
        <v>0</v>
      </c>
      <c r="AS311" s="10">
        <f>+SUM(L311:O311)</f>
        <v>8.9999999999999993E-3</v>
      </c>
      <c r="AT311" s="10">
        <f>+SUM(P311:S311)</f>
        <v>1.7999999999999999E-2</v>
      </c>
      <c r="AU311" s="10">
        <f t="shared" ref="AU311:AU315" si="1500">+SUM(T311:W311)</f>
        <v>3.6000000000000004E-2</v>
      </c>
      <c r="AV311" s="10">
        <f t="shared" ref="AV311:AV315" si="1501">+SUM(X311:AA311)</f>
        <v>7.400000000000001E-2</v>
      </c>
      <c r="AW311" s="10">
        <f>+SUM(AB311:AE311)</f>
        <v>0.13</v>
      </c>
    </row>
    <row r="312" spans="1:49" x14ac:dyDescent="0.2">
      <c r="B312" t="s">
        <v>103</v>
      </c>
      <c r="D312" s="112" t="s">
        <v>91</v>
      </c>
      <c r="E312" s="112" t="s">
        <v>91</v>
      </c>
      <c r="F312" s="112" t="s">
        <v>91</v>
      </c>
      <c r="G312" s="112" t="s">
        <v>91</v>
      </c>
      <c r="H312" s="112" t="s">
        <v>91</v>
      </c>
      <c r="I312" s="112" t="s">
        <v>91</v>
      </c>
      <c r="J312" s="112" t="s">
        <v>91</v>
      </c>
      <c r="K312" s="112" t="s">
        <v>91</v>
      </c>
      <c r="L312" s="11">
        <v>0</v>
      </c>
      <c r="M312" s="11">
        <v>0</v>
      </c>
      <c r="N312" s="11">
        <v>0</v>
      </c>
      <c r="O312" s="11">
        <v>5.2999999999999999E-2</v>
      </c>
      <c r="P312" s="11">
        <v>2.7E-2</v>
      </c>
      <c r="Q312" s="11">
        <v>2.7E-2</v>
      </c>
      <c r="R312" s="11">
        <v>3.5999999999999997E-2</v>
      </c>
      <c r="S312" s="11">
        <v>7.5999999999999998E-2</v>
      </c>
      <c r="T312" s="11">
        <v>0.19</v>
      </c>
      <c r="U312" s="11">
        <v>5.1999999999999998E-2</v>
      </c>
      <c r="V312" s="11">
        <v>0.1</v>
      </c>
      <c r="W312" s="11">
        <v>0.16</v>
      </c>
      <c r="X312" s="11">
        <v>0.13300000000000001</v>
      </c>
      <c r="Y312" s="11">
        <v>0.27700000000000002</v>
      </c>
      <c r="Z312" s="11">
        <v>0.189</v>
      </c>
      <c r="AA312" s="11">
        <v>1.6359999999999999</v>
      </c>
      <c r="AB312" s="11">
        <v>0.52800000000000002</v>
      </c>
      <c r="AC312" s="11">
        <v>0.84</v>
      </c>
      <c r="AD312" s="11">
        <v>0.82199999999999995</v>
      </c>
      <c r="AE312" s="11">
        <v>0.88700000000000001</v>
      </c>
      <c r="AF312" s="11">
        <v>0.77</v>
      </c>
      <c r="AG312" s="11">
        <v>1.2090000000000001</v>
      </c>
      <c r="AH312" s="11"/>
      <c r="AI312" s="11"/>
      <c r="AJ312" s="11"/>
      <c r="AK312" s="11"/>
      <c r="AL312" s="11"/>
      <c r="AM312" s="11"/>
      <c r="AQ312" s="11">
        <v>0</v>
      </c>
      <c r="AR312" s="11">
        <v>0</v>
      </c>
      <c r="AS312" s="10">
        <f>+SUM(L312:O312)</f>
        <v>5.2999999999999999E-2</v>
      </c>
      <c r="AT312" s="10">
        <f>+SUM(P312:S312)</f>
        <v>0.16599999999999998</v>
      </c>
      <c r="AU312" s="10">
        <f t="shared" si="1500"/>
        <v>0.502</v>
      </c>
      <c r="AV312" s="10">
        <f t="shared" si="1501"/>
        <v>2.2349999999999999</v>
      </c>
      <c r="AW312" s="10">
        <f>+SUM(AB312:AE312)</f>
        <v>3.077</v>
      </c>
    </row>
    <row r="313" spans="1:49" x14ac:dyDescent="0.2">
      <c r="B313" t="s">
        <v>104</v>
      </c>
      <c r="D313" s="112" t="s">
        <v>91</v>
      </c>
      <c r="E313" s="112" t="s">
        <v>91</v>
      </c>
      <c r="F313" s="112" t="s">
        <v>91</v>
      </c>
      <c r="G313" s="112" t="s">
        <v>91</v>
      </c>
      <c r="H313" s="112" t="s">
        <v>91</v>
      </c>
      <c r="I313" s="112" t="s">
        <v>91</v>
      </c>
      <c r="J313" s="112" t="s">
        <v>91</v>
      </c>
      <c r="K313" s="112" t="s">
        <v>91</v>
      </c>
      <c r="L313" s="11">
        <v>0</v>
      </c>
      <c r="M313" s="11">
        <v>0</v>
      </c>
      <c r="N313" s="11">
        <v>0</v>
      </c>
      <c r="O313" s="11">
        <v>5.8000000000000003E-2</v>
      </c>
      <c r="P313" s="11">
        <v>2.9000000000000001E-2</v>
      </c>
      <c r="Q313" s="11">
        <v>2.9000000000000001E-2</v>
      </c>
      <c r="R313" s="11">
        <v>2.9000000000000001E-2</v>
      </c>
      <c r="S313" s="11">
        <v>2.5999999999999999E-2</v>
      </c>
      <c r="T313" s="11">
        <v>6.7000000000000004E-2</v>
      </c>
      <c r="U313" s="11">
        <v>6.8000000000000005E-2</v>
      </c>
      <c r="V313" s="11">
        <v>6.8000000000000005E-2</v>
      </c>
      <c r="W313" s="11">
        <v>0.14399999999999999</v>
      </c>
      <c r="X313" s="11">
        <v>0.14899999999999999</v>
      </c>
      <c r="Y313" s="11">
        <v>0.35799999999999998</v>
      </c>
      <c r="Z313" s="11">
        <v>0.32900000000000001</v>
      </c>
      <c r="AA313" s="11">
        <v>0.28699999999999998</v>
      </c>
      <c r="AB313" s="11">
        <v>0.34300000000000003</v>
      </c>
      <c r="AC313" s="11">
        <v>0.54200000000000004</v>
      </c>
      <c r="AD313" s="11">
        <v>0.57899999999999996</v>
      </c>
      <c r="AE313" s="11">
        <v>0.749</v>
      </c>
      <c r="AF313" s="11">
        <v>0.63600000000000001</v>
      </c>
      <c r="AG313" s="11">
        <v>1.371</v>
      </c>
      <c r="AH313" s="11"/>
      <c r="AI313" s="11"/>
      <c r="AJ313" s="11"/>
      <c r="AK313" s="11"/>
      <c r="AL313" s="11"/>
      <c r="AM313" s="11"/>
      <c r="AQ313" s="11">
        <v>0</v>
      </c>
      <c r="AR313" s="11">
        <v>0</v>
      </c>
      <c r="AS313" s="10">
        <f>+SUM(L313:O313)</f>
        <v>5.8000000000000003E-2</v>
      </c>
      <c r="AT313" s="10">
        <f>+SUM(P313:S313)</f>
        <v>0.113</v>
      </c>
      <c r="AU313" s="10">
        <f t="shared" si="1500"/>
        <v>0.34699999999999998</v>
      </c>
      <c r="AV313" s="10">
        <f t="shared" si="1501"/>
        <v>1.123</v>
      </c>
      <c r="AW313" s="10">
        <f>+SUM(AB313:AE313)</f>
        <v>2.2130000000000001</v>
      </c>
    </row>
    <row r="314" spans="1:49" ht="13.5" x14ac:dyDescent="0.35">
      <c r="B314" t="s">
        <v>105</v>
      </c>
      <c r="D314" s="110" t="s">
        <v>91</v>
      </c>
      <c r="E314" s="110" t="s">
        <v>91</v>
      </c>
      <c r="F314" s="110" t="s">
        <v>91</v>
      </c>
      <c r="G314" s="110" t="s">
        <v>91</v>
      </c>
      <c r="H314" s="110" t="s">
        <v>91</v>
      </c>
      <c r="I314" s="110" t="s">
        <v>91</v>
      </c>
      <c r="J314" s="110" t="s">
        <v>91</v>
      </c>
      <c r="K314" s="110" t="s">
        <v>91</v>
      </c>
      <c r="L314" s="17">
        <v>5.6000000000000001E-2</v>
      </c>
      <c r="M314" s="17">
        <v>8.6999999999999994E-2</v>
      </c>
      <c r="N314" s="17">
        <v>9.9000000000000005E-2</v>
      </c>
      <c r="O314" s="17">
        <v>0.14099999999999999</v>
      </c>
      <c r="P314" s="17">
        <v>0.14399999999999999</v>
      </c>
      <c r="Q314" s="17">
        <v>0.14799999999999999</v>
      </c>
      <c r="R314" s="17">
        <v>0.188</v>
      </c>
      <c r="S314" s="17">
        <v>0.30199999999999999</v>
      </c>
      <c r="T314" s="17">
        <v>0.32900000000000001</v>
      </c>
      <c r="U314" s="17">
        <v>0.442</v>
      </c>
      <c r="V314" s="17">
        <v>0.45200000000000001</v>
      </c>
      <c r="W314" s="17">
        <v>0.63400000000000001</v>
      </c>
      <c r="X314" s="17">
        <v>0.63900000000000001</v>
      </c>
      <c r="Y314" s="17">
        <v>1.548</v>
      </c>
      <c r="Z314" s="17">
        <v>1.4419999999999999</v>
      </c>
      <c r="AA314" s="17">
        <v>0.33200000000000002</v>
      </c>
      <c r="AB314" s="17">
        <v>1.9079999999999999</v>
      </c>
      <c r="AC314" s="17">
        <v>2.351</v>
      </c>
      <c r="AD314" s="17">
        <v>2.7690000000000001</v>
      </c>
      <c r="AE314" s="17">
        <v>2.8889999999999998</v>
      </c>
      <c r="AF314" s="17">
        <v>3.67</v>
      </c>
      <c r="AG314" s="17">
        <v>4.5270000000000001</v>
      </c>
      <c r="AH314" s="17"/>
      <c r="AI314" s="17"/>
      <c r="AJ314" s="17"/>
      <c r="AK314" s="17"/>
      <c r="AL314" s="17"/>
      <c r="AM314" s="17"/>
      <c r="AQ314" s="17">
        <v>0.30199999999999999</v>
      </c>
      <c r="AR314" s="17">
        <v>0.224</v>
      </c>
      <c r="AS314" s="18">
        <f>+SUM(L314:O314)</f>
        <v>0.38300000000000001</v>
      </c>
      <c r="AT314" s="18">
        <f>+SUM(P314:S314)</f>
        <v>0.78200000000000003</v>
      </c>
      <c r="AU314" s="18">
        <f t="shared" si="1500"/>
        <v>1.8570000000000002</v>
      </c>
      <c r="AV314" s="18">
        <f t="shared" si="1501"/>
        <v>3.9610000000000003</v>
      </c>
      <c r="AW314" s="18">
        <f>+SUM(AB314:AE314)</f>
        <v>9.9169999999999998</v>
      </c>
    </row>
    <row r="315" spans="1:49" x14ac:dyDescent="0.2">
      <c r="B315" s="12" t="s">
        <v>111</v>
      </c>
      <c r="D315" s="113" t="str">
        <f t="shared" ref="D315:G315" si="1502">+IFERROR(D311+D312+D313+D314,"n/a")</f>
        <v>n/a</v>
      </c>
      <c r="E315" s="113" t="str">
        <f t="shared" si="1502"/>
        <v>n/a</v>
      </c>
      <c r="F315" s="113" t="str">
        <f t="shared" si="1502"/>
        <v>n/a</v>
      </c>
      <c r="G315" s="113" t="str">
        <f t="shared" si="1502"/>
        <v>n/a</v>
      </c>
      <c r="H315" s="113" t="str">
        <f>+IFERROR(H311+H312+H313+H314,"n/a")</f>
        <v>n/a</v>
      </c>
      <c r="I315" s="113" t="str">
        <f t="shared" ref="I315:K315" si="1503">+IFERROR(I311+I312+I313+I314,"n/a")</f>
        <v>n/a</v>
      </c>
      <c r="J315" s="113" t="str">
        <f t="shared" si="1503"/>
        <v>n/a</v>
      </c>
      <c r="K315" s="113" t="str">
        <f t="shared" si="1503"/>
        <v>n/a</v>
      </c>
      <c r="L315" s="10">
        <f>SUM(L311:L314)</f>
        <v>5.6000000000000001E-2</v>
      </c>
      <c r="M315" s="10">
        <f t="shared" ref="M315:S315" si="1504">SUM(M311:M314)</f>
        <v>8.6999999999999994E-2</v>
      </c>
      <c r="N315" s="10">
        <f t="shared" si="1504"/>
        <v>9.9000000000000005E-2</v>
      </c>
      <c r="O315" s="10">
        <f t="shared" si="1504"/>
        <v>0.26100000000000001</v>
      </c>
      <c r="P315" s="10">
        <f t="shared" si="1504"/>
        <v>0.20499999999999999</v>
      </c>
      <c r="Q315" s="10">
        <f t="shared" si="1504"/>
        <v>0.20899999999999999</v>
      </c>
      <c r="R315" s="10">
        <f t="shared" si="1504"/>
        <v>0.25800000000000001</v>
      </c>
      <c r="S315" s="10">
        <f t="shared" si="1504"/>
        <v>0.40699999999999997</v>
      </c>
      <c r="T315" s="10">
        <f t="shared" ref="T315:U315" si="1505">SUM(T311:T314)</f>
        <v>0.59299999999999997</v>
      </c>
      <c r="U315" s="10">
        <f t="shared" si="1505"/>
        <v>0.56899999999999995</v>
      </c>
      <c r="V315" s="10">
        <f t="shared" ref="V315:W315" si="1506">SUM(V311:V314)</f>
        <v>0.627</v>
      </c>
      <c r="W315" s="10">
        <f t="shared" si="1506"/>
        <v>0.95299999999999996</v>
      </c>
      <c r="X315" s="10">
        <f t="shared" ref="X315:Y315" si="1507">SUM(X311:X314)</f>
        <v>0.93200000000000005</v>
      </c>
      <c r="Y315" s="10">
        <f t="shared" si="1507"/>
        <v>2.2040000000000002</v>
      </c>
      <c r="Z315" s="10">
        <f t="shared" ref="Z315:AA315" si="1508">SUM(Z311:Z314)</f>
        <v>1.98</v>
      </c>
      <c r="AA315" s="10">
        <f t="shared" si="1508"/>
        <v>2.2769999999999997</v>
      </c>
      <c r="AB315" s="10">
        <f t="shared" ref="AB315:AC315" si="1509">SUM(AB311:AB314)</f>
        <v>2.7960000000000003</v>
      </c>
      <c r="AC315" s="10">
        <f t="shared" si="1509"/>
        <v>3.7650000000000001</v>
      </c>
      <c r="AD315" s="10">
        <f t="shared" ref="AD315:AE315" si="1510">SUM(AD311:AD314)</f>
        <v>4.2030000000000003</v>
      </c>
      <c r="AE315" s="10">
        <f t="shared" si="1510"/>
        <v>4.5730000000000004</v>
      </c>
      <c r="AF315" s="10">
        <f t="shared" ref="AF315:AG315" si="1511">SUM(AF311:AF314)</f>
        <v>5.1150000000000002</v>
      </c>
      <c r="AG315" s="10">
        <f t="shared" si="1511"/>
        <v>7.1660000000000004</v>
      </c>
      <c r="AH315" s="10"/>
      <c r="AI315" s="10"/>
      <c r="AJ315" s="10"/>
      <c r="AK315" s="10"/>
      <c r="AL315" s="10"/>
      <c r="AM315" s="10"/>
      <c r="AQ315" s="10">
        <f>SUM(AQ311:AQ314)</f>
        <v>0.30199999999999999</v>
      </c>
      <c r="AR315" s="10">
        <f>SUM(AR311:AR314)</f>
        <v>0.224</v>
      </c>
      <c r="AS315" s="10">
        <f>+SUM(L315:O315)</f>
        <v>0.503</v>
      </c>
      <c r="AT315" s="10">
        <f>+SUM(P315:S315)</f>
        <v>1.079</v>
      </c>
      <c r="AU315" s="10">
        <f t="shared" si="1500"/>
        <v>2.742</v>
      </c>
      <c r="AV315" s="10">
        <f t="shared" si="1501"/>
        <v>7.3929999999999989</v>
      </c>
      <c r="AW315" s="10">
        <f>+SUM(AB315:AE315)</f>
        <v>15.337</v>
      </c>
    </row>
    <row r="316" spans="1:49" x14ac:dyDescent="0.2">
      <c r="B316" s="12"/>
      <c r="D316" s="113"/>
      <c r="E316" s="113"/>
      <c r="F316" s="113"/>
      <c r="G316" s="113"/>
      <c r="H316" s="113"/>
      <c r="I316" s="113"/>
      <c r="J316" s="113"/>
      <c r="K316" s="113"/>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Q316" s="10"/>
      <c r="AR316" s="10"/>
      <c r="AS316" s="10"/>
      <c r="AT316" s="10"/>
      <c r="AU316" s="10"/>
      <c r="AV316" s="10"/>
      <c r="AW316" s="10"/>
    </row>
    <row r="317" spans="1:49" x14ac:dyDescent="0.2">
      <c r="B317" s="25" t="s">
        <v>365</v>
      </c>
      <c r="D317" s="113"/>
      <c r="E317" s="113"/>
      <c r="F317" s="113"/>
      <c r="G317" s="113"/>
      <c r="H317" s="113"/>
      <c r="I317" s="113"/>
      <c r="J317" s="113"/>
      <c r="K317" s="113"/>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Q317" s="10"/>
      <c r="AR317" s="10"/>
      <c r="AS317" s="10"/>
      <c r="AT317" s="10"/>
      <c r="AU317" s="10"/>
      <c r="AV317" s="10"/>
      <c r="AW317" s="10"/>
    </row>
    <row r="318" spans="1:49" x14ac:dyDescent="0.2">
      <c r="B318" t="s">
        <v>100</v>
      </c>
      <c r="D318" s="11">
        <v>0</v>
      </c>
      <c r="E318" s="11">
        <v>0</v>
      </c>
      <c r="F318" s="11">
        <v>0</v>
      </c>
      <c r="G318" s="11">
        <v>0</v>
      </c>
      <c r="H318" s="11">
        <v>0</v>
      </c>
      <c r="I318" s="11">
        <v>0</v>
      </c>
      <c r="J318" s="11">
        <v>0</v>
      </c>
      <c r="K318" s="11">
        <v>0</v>
      </c>
      <c r="L318" s="11">
        <v>0</v>
      </c>
      <c r="M318" s="11">
        <v>0</v>
      </c>
      <c r="N318" s="11">
        <v>0</v>
      </c>
      <c r="O318" s="11">
        <v>0</v>
      </c>
      <c r="P318" s="11">
        <v>0</v>
      </c>
      <c r="Q318" s="11">
        <v>0</v>
      </c>
      <c r="R318" s="11">
        <v>0</v>
      </c>
      <c r="S318" s="11">
        <v>6.9000000000000006E-2</v>
      </c>
      <c r="T318" s="11">
        <f>0.116-U318</f>
        <v>6.1000000000000006E-2</v>
      </c>
      <c r="U318" s="11">
        <v>5.5E-2</v>
      </c>
      <c r="V318" s="11">
        <v>5.5E-2</v>
      </c>
      <c r="W318" s="11">
        <f>0.227-SUM(T318:V318)</f>
        <v>5.5999999999999994E-2</v>
      </c>
      <c r="X318" s="11">
        <f>1.345-Y318-Z318</f>
        <v>0.28899999999999992</v>
      </c>
      <c r="Y318" s="11">
        <v>0.52800000000000002</v>
      </c>
      <c r="Z318" s="11">
        <v>0.52800000000000002</v>
      </c>
      <c r="AA318" s="11">
        <v>0.53500000000000003</v>
      </c>
      <c r="AB318" s="11">
        <v>0.52200000000000002</v>
      </c>
      <c r="AC318" s="11">
        <v>0.54800000000000004</v>
      </c>
      <c r="AD318" s="11">
        <v>0.55700000000000005</v>
      </c>
      <c r="AE318" s="11">
        <v>0.68</v>
      </c>
      <c r="AF318" s="11">
        <v>0.69199999999999995</v>
      </c>
      <c r="AG318" s="11">
        <v>0.89</v>
      </c>
      <c r="AH318" s="11"/>
      <c r="AI318" s="11"/>
      <c r="AJ318" s="11"/>
      <c r="AK318" s="11"/>
      <c r="AL318" s="11"/>
      <c r="AM318" s="11"/>
      <c r="AQ318" s="11">
        <v>0</v>
      </c>
      <c r="AR318" s="11">
        <v>0</v>
      </c>
      <c r="AS318" s="10">
        <f>+SUM(L318:O318)</f>
        <v>0</v>
      </c>
      <c r="AT318" s="10">
        <f>+SUM(P318:S318)</f>
        <v>6.9000000000000006E-2</v>
      </c>
      <c r="AU318" s="10">
        <f t="shared" ref="AU318:AU322" si="1512">+SUM(T318:W318)</f>
        <v>0.22700000000000001</v>
      </c>
      <c r="AV318" s="10">
        <f t="shared" ref="AV318:AV322" si="1513">+SUM(X318:AA318)</f>
        <v>1.88</v>
      </c>
      <c r="AW318" s="10">
        <f>+SUM(AB318:AE318)</f>
        <v>2.3070000000000004</v>
      </c>
    </row>
    <row r="319" spans="1:49" x14ac:dyDescent="0.2">
      <c r="B319" t="s">
        <v>103</v>
      </c>
      <c r="D319" s="11">
        <v>0</v>
      </c>
      <c r="E319" s="11">
        <v>0</v>
      </c>
      <c r="F319" s="11">
        <v>0</v>
      </c>
      <c r="G319" s="11">
        <v>0</v>
      </c>
      <c r="H319" s="11">
        <v>0</v>
      </c>
      <c r="I319" s="11">
        <v>0</v>
      </c>
      <c r="J319" s="11">
        <v>0</v>
      </c>
      <c r="K319" s="11">
        <v>0</v>
      </c>
      <c r="L319" s="11">
        <v>0</v>
      </c>
      <c r="M319" s="11">
        <v>0</v>
      </c>
      <c r="N319" s="11">
        <v>0</v>
      </c>
      <c r="O319" s="11">
        <v>0</v>
      </c>
      <c r="P319" s="11">
        <v>0</v>
      </c>
      <c r="Q319" s="11">
        <v>0</v>
      </c>
      <c r="R319" s="11">
        <v>0</v>
      </c>
      <c r="S319" s="11">
        <v>0</v>
      </c>
      <c r="T319" s="11">
        <v>0</v>
      </c>
      <c r="U319" s="11">
        <v>0</v>
      </c>
      <c r="V319" s="11">
        <v>0</v>
      </c>
      <c r="W319" s="11">
        <v>0</v>
      </c>
      <c r="X319" s="11">
        <v>0</v>
      </c>
      <c r="Y319" s="11">
        <v>0</v>
      </c>
      <c r="Z319" s="11">
        <v>0</v>
      </c>
      <c r="AA319" s="11">
        <v>0</v>
      </c>
      <c r="AB319" s="11">
        <v>0</v>
      </c>
      <c r="AC319" s="11">
        <v>0</v>
      </c>
      <c r="AD319" s="11">
        <v>0</v>
      </c>
      <c r="AE319" s="11">
        <v>0</v>
      </c>
      <c r="AF319" s="11">
        <v>0</v>
      </c>
      <c r="AG319" s="11">
        <v>0</v>
      </c>
      <c r="AH319" s="11"/>
      <c r="AI319" s="11"/>
      <c r="AJ319" s="11"/>
      <c r="AK319" s="11"/>
      <c r="AL319" s="11"/>
      <c r="AM319" s="11"/>
      <c r="AQ319" s="11">
        <v>0</v>
      </c>
      <c r="AR319" s="11">
        <v>0</v>
      </c>
      <c r="AS319" s="10">
        <f>+SUM(L319:O319)</f>
        <v>0</v>
      </c>
      <c r="AT319" s="10">
        <f>+SUM(P319:S319)</f>
        <v>0</v>
      </c>
      <c r="AU319" s="10">
        <f t="shared" si="1512"/>
        <v>0</v>
      </c>
      <c r="AV319" s="10">
        <f t="shared" si="1513"/>
        <v>0</v>
      </c>
      <c r="AW319" s="10">
        <f>+SUM(AB319:AE319)</f>
        <v>0</v>
      </c>
    </row>
    <row r="320" spans="1:49" x14ac:dyDescent="0.2">
      <c r="B320" t="s">
        <v>104</v>
      </c>
      <c r="D320" s="11">
        <v>0</v>
      </c>
      <c r="E320" s="11">
        <v>0</v>
      </c>
      <c r="F320" s="11">
        <v>0</v>
      </c>
      <c r="G320" s="11">
        <v>0</v>
      </c>
      <c r="H320" s="11">
        <v>0</v>
      </c>
      <c r="I320" s="11">
        <v>0</v>
      </c>
      <c r="J320" s="11">
        <v>0</v>
      </c>
      <c r="K320" s="11">
        <v>0</v>
      </c>
      <c r="L320" s="11">
        <v>0</v>
      </c>
      <c r="M320" s="11">
        <v>0</v>
      </c>
      <c r="N320" s="11">
        <v>0</v>
      </c>
      <c r="O320" s="11">
        <v>0</v>
      </c>
      <c r="P320" s="11">
        <v>0</v>
      </c>
      <c r="Q320" s="11">
        <v>0</v>
      </c>
      <c r="R320" s="11">
        <v>0</v>
      </c>
      <c r="S320" s="11">
        <v>0</v>
      </c>
      <c r="T320" s="11">
        <v>0</v>
      </c>
      <c r="U320" s="11">
        <v>0</v>
      </c>
      <c r="V320" s="11">
        <v>0</v>
      </c>
      <c r="W320" s="11">
        <v>0</v>
      </c>
      <c r="X320" s="11">
        <v>0</v>
      </c>
      <c r="Y320" s="11">
        <v>0</v>
      </c>
      <c r="Z320" s="11">
        <v>0</v>
      </c>
      <c r="AA320" s="11">
        <v>0</v>
      </c>
      <c r="AB320" s="11">
        <v>0</v>
      </c>
      <c r="AC320" s="11">
        <v>0</v>
      </c>
      <c r="AD320" s="11">
        <v>0</v>
      </c>
      <c r="AE320" s="11">
        <v>0</v>
      </c>
      <c r="AF320" s="11">
        <v>0</v>
      </c>
      <c r="AG320" s="11">
        <v>0</v>
      </c>
      <c r="AH320" s="11"/>
      <c r="AI320" s="11"/>
      <c r="AJ320" s="11"/>
      <c r="AK320" s="11"/>
      <c r="AL320" s="11"/>
      <c r="AM320" s="11"/>
      <c r="AQ320" s="11">
        <v>0</v>
      </c>
      <c r="AR320" s="11">
        <v>0</v>
      </c>
      <c r="AS320" s="10">
        <f>+SUM(L320:O320)</f>
        <v>0</v>
      </c>
      <c r="AT320" s="10">
        <f>+SUM(P320:S320)</f>
        <v>0</v>
      </c>
      <c r="AU320" s="10">
        <f t="shared" si="1512"/>
        <v>0</v>
      </c>
      <c r="AV320" s="10">
        <f t="shared" si="1513"/>
        <v>0</v>
      </c>
      <c r="AW320" s="10">
        <f>+SUM(AB320:AE320)</f>
        <v>0</v>
      </c>
    </row>
    <row r="321" spans="2:49" ht="13.5" x14ac:dyDescent="0.35">
      <c r="B321" t="s">
        <v>105</v>
      </c>
      <c r="D321" s="17">
        <v>0</v>
      </c>
      <c r="E321" s="17">
        <v>0</v>
      </c>
      <c r="F321" s="17">
        <v>0</v>
      </c>
      <c r="G321" s="17">
        <v>0</v>
      </c>
      <c r="H321" s="17">
        <v>0</v>
      </c>
      <c r="I321" s="17">
        <v>0</v>
      </c>
      <c r="J321" s="17">
        <v>0</v>
      </c>
      <c r="K321" s="17">
        <v>0</v>
      </c>
      <c r="L321" s="17">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7">
        <v>0</v>
      </c>
      <c r="AE321" s="17">
        <v>0</v>
      </c>
      <c r="AF321" s="17">
        <v>0</v>
      </c>
      <c r="AG321" s="17">
        <v>0</v>
      </c>
      <c r="AH321" s="17"/>
      <c r="AI321" s="17"/>
      <c r="AJ321" s="17"/>
      <c r="AK321" s="17"/>
      <c r="AL321" s="17"/>
      <c r="AM321" s="17"/>
      <c r="AQ321" s="17">
        <v>0</v>
      </c>
      <c r="AR321" s="17">
        <v>0</v>
      </c>
      <c r="AS321" s="18">
        <f>+SUM(L321:O321)</f>
        <v>0</v>
      </c>
      <c r="AT321" s="18">
        <f>+SUM(P321:S321)</f>
        <v>0</v>
      </c>
      <c r="AU321" s="18">
        <f t="shared" si="1512"/>
        <v>0</v>
      </c>
      <c r="AV321" s="18">
        <f t="shared" si="1513"/>
        <v>0</v>
      </c>
      <c r="AW321" s="18">
        <f>+SUM(AB321:AE321)</f>
        <v>0</v>
      </c>
    </row>
    <row r="322" spans="2:49" x14ac:dyDescent="0.2">
      <c r="B322" s="12" t="s">
        <v>366</v>
      </c>
      <c r="D322" s="10">
        <f t="shared" ref="D322:K322" si="1514">SUM(D318:D321)</f>
        <v>0</v>
      </c>
      <c r="E322" s="10">
        <f t="shared" si="1514"/>
        <v>0</v>
      </c>
      <c r="F322" s="10">
        <f t="shared" si="1514"/>
        <v>0</v>
      </c>
      <c r="G322" s="10">
        <f t="shared" si="1514"/>
        <v>0</v>
      </c>
      <c r="H322" s="10">
        <f t="shared" si="1514"/>
        <v>0</v>
      </c>
      <c r="I322" s="10">
        <f t="shared" si="1514"/>
        <v>0</v>
      </c>
      <c r="J322" s="10">
        <f t="shared" si="1514"/>
        <v>0</v>
      </c>
      <c r="K322" s="10">
        <f t="shared" si="1514"/>
        <v>0</v>
      </c>
      <c r="L322" s="10">
        <f>SUM(L318:L321)</f>
        <v>0</v>
      </c>
      <c r="M322" s="10">
        <f t="shared" ref="M322:AF322" si="1515">SUM(M318:M321)</f>
        <v>0</v>
      </c>
      <c r="N322" s="10">
        <f t="shared" si="1515"/>
        <v>0</v>
      </c>
      <c r="O322" s="10">
        <f t="shared" si="1515"/>
        <v>0</v>
      </c>
      <c r="P322" s="10">
        <f t="shared" si="1515"/>
        <v>0</v>
      </c>
      <c r="Q322" s="10">
        <f t="shared" si="1515"/>
        <v>0</v>
      </c>
      <c r="R322" s="10">
        <f t="shared" si="1515"/>
        <v>0</v>
      </c>
      <c r="S322" s="10">
        <f t="shared" si="1515"/>
        <v>6.9000000000000006E-2</v>
      </c>
      <c r="T322" s="10">
        <f t="shared" si="1515"/>
        <v>6.1000000000000006E-2</v>
      </c>
      <c r="U322" s="10">
        <f t="shared" si="1515"/>
        <v>5.5E-2</v>
      </c>
      <c r="V322" s="10">
        <f t="shared" si="1515"/>
        <v>5.5E-2</v>
      </c>
      <c r="W322" s="10">
        <f t="shared" si="1515"/>
        <v>5.5999999999999994E-2</v>
      </c>
      <c r="X322" s="10">
        <f t="shared" si="1515"/>
        <v>0.28899999999999992</v>
      </c>
      <c r="Y322" s="10">
        <f t="shared" si="1515"/>
        <v>0.52800000000000002</v>
      </c>
      <c r="Z322" s="10">
        <f t="shared" si="1515"/>
        <v>0.52800000000000002</v>
      </c>
      <c r="AA322" s="10">
        <f t="shared" si="1515"/>
        <v>0.53500000000000003</v>
      </c>
      <c r="AB322" s="10">
        <f t="shared" si="1515"/>
        <v>0.52200000000000002</v>
      </c>
      <c r="AC322" s="10">
        <f t="shared" si="1515"/>
        <v>0.54800000000000004</v>
      </c>
      <c r="AD322" s="10">
        <f t="shared" si="1515"/>
        <v>0.55700000000000005</v>
      </c>
      <c r="AE322" s="10">
        <f t="shared" si="1515"/>
        <v>0.68</v>
      </c>
      <c r="AF322" s="10">
        <f t="shared" si="1515"/>
        <v>0.69199999999999995</v>
      </c>
      <c r="AG322" s="10">
        <f t="shared" ref="AG322" si="1516">SUM(AG318:AG321)</f>
        <v>0.89</v>
      </c>
      <c r="AH322" s="10"/>
      <c r="AI322" s="10"/>
      <c r="AJ322" s="10"/>
      <c r="AK322" s="10"/>
      <c r="AL322" s="10"/>
      <c r="AM322" s="10"/>
      <c r="AQ322" s="10">
        <f>SUM(AQ318:AQ321)</f>
        <v>0</v>
      </c>
      <c r="AR322" s="10">
        <f>SUM(AR318:AR321)</f>
        <v>0</v>
      </c>
      <c r="AS322" s="10">
        <f>+SUM(L322:O322)</f>
        <v>0</v>
      </c>
      <c r="AT322" s="10">
        <f>+SUM(P322:S322)</f>
        <v>6.9000000000000006E-2</v>
      </c>
      <c r="AU322" s="10">
        <f t="shared" si="1512"/>
        <v>0.22700000000000001</v>
      </c>
      <c r="AV322" s="10">
        <f t="shared" si="1513"/>
        <v>1.88</v>
      </c>
      <c r="AW322" s="10">
        <f>+SUM(AB322:AE322)</f>
        <v>2.3070000000000004</v>
      </c>
    </row>
    <row r="323" spans="2:49" x14ac:dyDescent="0.2">
      <c r="B323" s="1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Q323" s="10"/>
      <c r="AR323" s="10"/>
      <c r="AS323" s="10"/>
      <c r="AT323" s="10"/>
      <c r="AU323" s="10"/>
      <c r="AV323" s="10"/>
      <c r="AW323" s="10"/>
    </row>
    <row r="324" spans="2:49" x14ac:dyDescent="0.2">
      <c r="B324" s="25" t="s">
        <v>340</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Q324" s="10"/>
      <c r="AR324" s="10"/>
      <c r="AS324" s="10"/>
      <c r="AT324" s="10"/>
      <c r="AU324" s="10"/>
      <c r="AV324" s="10"/>
      <c r="AW324" s="10"/>
    </row>
    <row r="325" spans="2:49" x14ac:dyDescent="0.2">
      <c r="B325" t="s">
        <v>100</v>
      </c>
      <c r="D325" s="11">
        <v>0</v>
      </c>
      <c r="E325" s="11">
        <v>0</v>
      </c>
      <c r="F325" s="11">
        <v>0</v>
      </c>
      <c r="G325" s="11">
        <v>0</v>
      </c>
      <c r="H325" s="11">
        <v>0</v>
      </c>
      <c r="I325" s="11">
        <v>0</v>
      </c>
      <c r="J325" s="11">
        <v>0</v>
      </c>
      <c r="K325" s="11">
        <v>0</v>
      </c>
      <c r="L325" s="11">
        <v>0</v>
      </c>
      <c r="M325" s="11">
        <v>0</v>
      </c>
      <c r="N325" s="11">
        <v>0</v>
      </c>
      <c r="O325" s="11">
        <v>0</v>
      </c>
      <c r="P325" s="11">
        <v>0</v>
      </c>
      <c r="Q325" s="11">
        <v>0</v>
      </c>
      <c r="R325" s="11">
        <v>0</v>
      </c>
      <c r="S325" s="11">
        <v>0</v>
      </c>
      <c r="T325" s="11">
        <v>0</v>
      </c>
      <c r="U325" s="11">
        <v>0</v>
      </c>
      <c r="V325" s="11">
        <v>0</v>
      </c>
      <c r="W325" s="11">
        <v>0</v>
      </c>
      <c r="X325" s="11">
        <v>0</v>
      </c>
      <c r="Y325" s="11">
        <v>0</v>
      </c>
      <c r="Z325" s="11">
        <v>0</v>
      </c>
      <c r="AA325" s="11">
        <v>0</v>
      </c>
      <c r="AB325" s="11">
        <v>0</v>
      </c>
      <c r="AC325" s="11">
        <v>0</v>
      </c>
      <c r="AD325" s="11">
        <v>0</v>
      </c>
      <c r="AE325" s="11">
        <v>0</v>
      </c>
      <c r="AF325" s="11">
        <v>0</v>
      </c>
      <c r="AG325" s="11">
        <v>0</v>
      </c>
      <c r="AH325" s="11"/>
      <c r="AI325" s="11"/>
      <c r="AJ325" s="11"/>
      <c r="AK325" s="11"/>
      <c r="AL325" s="11"/>
      <c r="AM325" s="11"/>
      <c r="AQ325" s="11">
        <v>0</v>
      </c>
      <c r="AR325" s="11">
        <v>0</v>
      </c>
      <c r="AS325" s="10">
        <f>+SUM(L325:O325)</f>
        <v>0</v>
      </c>
      <c r="AT325" s="10">
        <f>+SUM(P325:S325)</f>
        <v>0</v>
      </c>
      <c r="AU325" s="10">
        <f t="shared" ref="AU325:AU329" si="1517">+SUM(T325:W325)</f>
        <v>0</v>
      </c>
      <c r="AV325" s="10">
        <f t="shared" ref="AV325:AV329" si="1518">+SUM(X325:AA325)</f>
        <v>0</v>
      </c>
      <c r="AW325" s="10">
        <f>+SUM(AB325:AE325)</f>
        <v>0</v>
      </c>
    </row>
    <row r="326" spans="2:49" x14ac:dyDescent="0.2">
      <c r="B326" t="s">
        <v>103</v>
      </c>
      <c r="D326" s="11">
        <v>0</v>
      </c>
      <c r="E326" s="11">
        <v>0</v>
      </c>
      <c r="F326" s="11">
        <v>0</v>
      </c>
      <c r="G326" s="11">
        <v>0</v>
      </c>
      <c r="H326" s="11">
        <v>0</v>
      </c>
      <c r="I326" s="11">
        <v>0</v>
      </c>
      <c r="J326" s="11">
        <v>0</v>
      </c>
      <c r="K326" s="11">
        <v>0</v>
      </c>
      <c r="L326" s="11">
        <v>0</v>
      </c>
      <c r="M326" s="11">
        <v>0</v>
      </c>
      <c r="N326" s="11">
        <v>0</v>
      </c>
      <c r="O326" s="11">
        <v>0</v>
      </c>
      <c r="P326" s="11">
        <v>0</v>
      </c>
      <c r="Q326" s="11">
        <v>0</v>
      </c>
      <c r="R326" s="11">
        <v>0</v>
      </c>
      <c r="S326" s="11">
        <v>0</v>
      </c>
      <c r="T326" s="11">
        <v>0</v>
      </c>
      <c r="U326" s="11">
        <v>0</v>
      </c>
      <c r="V326" s="11">
        <v>0</v>
      </c>
      <c r="W326" s="11">
        <v>0</v>
      </c>
      <c r="X326" s="11">
        <v>0</v>
      </c>
      <c r="Y326" s="11">
        <v>0</v>
      </c>
      <c r="Z326" s="11">
        <v>0</v>
      </c>
      <c r="AA326" s="11">
        <v>0</v>
      </c>
      <c r="AB326" s="11">
        <v>0</v>
      </c>
      <c r="AC326" s="11">
        <v>0</v>
      </c>
      <c r="AD326" s="11">
        <v>0</v>
      </c>
      <c r="AE326" s="11">
        <v>0</v>
      </c>
      <c r="AF326" s="11">
        <v>2.1240000000000001</v>
      </c>
      <c r="AG326" s="11">
        <v>0</v>
      </c>
      <c r="AH326" s="11"/>
      <c r="AI326" s="11"/>
      <c r="AJ326" s="11"/>
      <c r="AK326" s="11"/>
      <c r="AL326" s="11"/>
      <c r="AM326" s="11"/>
      <c r="AQ326" s="11">
        <v>0</v>
      </c>
      <c r="AR326" s="11">
        <v>0</v>
      </c>
      <c r="AS326" s="10">
        <f>+SUM(L326:O326)</f>
        <v>0</v>
      </c>
      <c r="AT326" s="10">
        <f>+SUM(P326:S326)</f>
        <v>0</v>
      </c>
      <c r="AU326" s="10">
        <f t="shared" si="1517"/>
        <v>0</v>
      </c>
      <c r="AV326" s="10">
        <f t="shared" si="1518"/>
        <v>0</v>
      </c>
      <c r="AW326" s="10">
        <f>+SUM(AB326:AE326)</f>
        <v>0</v>
      </c>
    </row>
    <row r="327" spans="2:49" x14ac:dyDescent="0.2">
      <c r="B327" t="s">
        <v>104</v>
      </c>
      <c r="D327" s="11">
        <v>0</v>
      </c>
      <c r="E327" s="11">
        <v>0</v>
      </c>
      <c r="F327" s="11">
        <v>0</v>
      </c>
      <c r="G327" s="11">
        <v>0</v>
      </c>
      <c r="H327" s="11">
        <v>0</v>
      </c>
      <c r="I327" s="11">
        <v>0</v>
      </c>
      <c r="J327" s="11">
        <v>0</v>
      </c>
      <c r="K327" s="11">
        <v>0</v>
      </c>
      <c r="L327" s="11">
        <v>0</v>
      </c>
      <c r="M327" s="11">
        <v>0</v>
      </c>
      <c r="N327" s="11">
        <v>0</v>
      </c>
      <c r="O327" s="11">
        <v>0</v>
      </c>
      <c r="P327" s="11">
        <v>0</v>
      </c>
      <c r="Q327" s="11">
        <v>0</v>
      </c>
      <c r="R327" s="11">
        <v>0</v>
      </c>
      <c r="S327" s="11">
        <v>0</v>
      </c>
      <c r="T327" s="11">
        <v>0</v>
      </c>
      <c r="U327" s="11">
        <v>0</v>
      </c>
      <c r="V327" s="11">
        <v>0</v>
      </c>
      <c r="W327" s="11">
        <v>0</v>
      </c>
      <c r="X327" s="11">
        <v>0</v>
      </c>
      <c r="Y327" s="11">
        <v>0</v>
      </c>
      <c r="Z327" s="11">
        <v>0</v>
      </c>
      <c r="AA327" s="11">
        <v>0</v>
      </c>
      <c r="AB327" s="11">
        <v>0</v>
      </c>
      <c r="AC327" s="11">
        <v>0</v>
      </c>
      <c r="AD327" s="11">
        <v>0</v>
      </c>
      <c r="AE327" s="11">
        <v>0</v>
      </c>
      <c r="AF327" s="11">
        <v>0</v>
      </c>
      <c r="AG327" s="11">
        <v>0</v>
      </c>
      <c r="AH327" s="11"/>
      <c r="AI327" s="11"/>
      <c r="AJ327" s="11"/>
      <c r="AK327" s="11"/>
      <c r="AL327" s="11"/>
      <c r="AM327" s="11"/>
      <c r="AQ327" s="11">
        <v>0</v>
      </c>
      <c r="AR327" s="11">
        <v>0</v>
      </c>
      <c r="AS327" s="10">
        <f>+SUM(L327:O327)</f>
        <v>0</v>
      </c>
      <c r="AT327" s="10">
        <f>+SUM(P327:S327)</f>
        <v>0</v>
      </c>
      <c r="AU327" s="10">
        <f t="shared" si="1517"/>
        <v>0</v>
      </c>
      <c r="AV327" s="10">
        <f t="shared" si="1518"/>
        <v>0</v>
      </c>
      <c r="AW327" s="10">
        <f>+SUM(AB327:AE327)</f>
        <v>0</v>
      </c>
    </row>
    <row r="328" spans="2:49" ht="13.5" x14ac:dyDescent="0.35">
      <c r="B328" t="s">
        <v>105</v>
      </c>
      <c r="D328" s="17">
        <v>0</v>
      </c>
      <c r="E328" s="17">
        <v>0</v>
      </c>
      <c r="F328" s="17">
        <v>0</v>
      </c>
      <c r="G328" s="17">
        <v>0</v>
      </c>
      <c r="H328" s="17">
        <v>0</v>
      </c>
      <c r="I328" s="17">
        <v>0</v>
      </c>
      <c r="J328" s="17">
        <v>0</v>
      </c>
      <c r="K328" s="17">
        <v>0</v>
      </c>
      <c r="L328" s="17">
        <v>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7">
        <v>0</v>
      </c>
      <c r="AE328" s="17">
        <v>0</v>
      </c>
      <c r="AF328" s="17">
        <v>0</v>
      </c>
      <c r="AG328" s="17">
        <v>0</v>
      </c>
      <c r="AH328" s="17"/>
      <c r="AI328" s="17"/>
      <c r="AJ328" s="17"/>
      <c r="AK328" s="17"/>
      <c r="AL328" s="17"/>
      <c r="AM328" s="17"/>
      <c r="AQ328" s="17">
        <v>0</v>
      </c>
      <c r="AR328" s="17">
        <v>0</v>
      </c>
      <c r="AS328" s="18">
        <f>+SUM(L328:O328)</f>
        <v>0</v>
      </c>
      <c r="AT328" s="18">
        <f>+SUM(P328:S328)</f>
        <v>0</v>
      </c>
      <c r="AU328" s="18">
        <f t="shared" si="1517"/>
        <v>0</v>
      </c>
      <c r="AV328" s="18">
        <f t="shared" si="1518"/>
        <v>0</v>
      </c>
      <c r="AW328" s="18">
        <f>+SUM(AB328:AE328)</f>
        <v>0</v>
      </c>
    </row>
    <row r="329" spans="2:49" x14ac:dyDescent="0.2">
      <c r="B329" s="12" t="s">
        <v>367</v>
      </c>
      <c r="D329" s="10">
        <f t="shared" ref="D329:K329" si="1519">SUM(D325:D328)</f>
        <v>0</v>
      </c>
      <c r="E329" s="10">
        <f t="shared" si="1519"/>
        <v>0</v>
      </c>
      <c r="F329" s="10">
        <f t="shared" si="1519"/>
        <v>0</v>
      </c>
      <c r="G329" s="10">
        <f t="shared" si="1519"/>
        <v>0</v>
      </c>
      <c r="H329" s="10">
        <f t="shared" si="1519"/>
        <v>0</v>
      </c>
      <c r="I329" s="10">
        <f t="shared" si="1519"/>
        <v>0</v>
      </c>
      <c r="J329" s="10">
        <f t="shared" si="1519"/>
        <v>0</v>
      </c>
      <c r="K329" s="10">
        <f t="shared" si="1519"/>
        <v>0</v>
      </c>
      <c r="L329" s="10">
        <f>SUM(L325:L328)</f>
        <v>0</v>
      </c>
      <c r="M329" s="10">
        <f t="shared" ref="M329:AF329" si="1520">SUM(M325:M328)</f>
        <v>0</v>
      </c>
      <c r="N329" s="10">
        <f t="shared" si="1520"/>
        <v>0</v>
      </c>
      <c r="O329" s="10">
        <f t="shared" si="1520"/>
        <v>0</v>
      </c>
      <c r="P329" s="10">
        <f t="shared" si="1520"/>
        <v>0</v>
      </c>
      <c r="Q329" s="10">
        <f t="shared" si="1520"/>
        <v>0</v>
      </c>
      <c r="R329" s="10">
        <f t="shared" si="1520"/>
        <v>0</v>
      </c>
      <c r="S329" s="10">
        <f t="shared" si="1520"/>
        <v>0</v>
      </c>
      <c r="T329" s="10">
        <f t="shared" si="1520"/>
        <v>0</v>
      </c>
      <c r="U329" s="10">
        <f t="shared" si="1520"/>
        <v>0</v>
      </c>
      <c r="V329" s="10">
        <f t="shared" si="1520"/>
        <v>0</v>
      </c>
      <c r="W329" s="10">
        <f t="shared" si="1520"/>
        <v>0</v>
      </c>
      <c r="X329" s="10">
        <f t="shared" si="1520"/>
        <v>0</v>
      </c>
      <c r="Y329" s="10">
        <f t="shared" si="1520"/>
        <v>0</v>
      </c>
      <c r="Z329" s="10">
        <f t="shared" si="1520"/>
        <v>0</v>
      </c>
      <c r="AA329" s="10">
        <f t="shared" si="1520"/>
        <v>0</v>
      </c>
      <c r="AB329" s="10">
        <f t="shared" si="1520"/>
        <v>0</v>
      </c>
      <c r="AC329" s="10">
        <f t="shared" si="1520"/>
        <v>0</v>
      </c>
      <c r="AD329" s="10">
        <f t="shared" si="1520"/>
        <v>0</v>
      </c>
      <c r="AE329" s="10">
        <f t="shared" si="1520"/>
        <v>0</v>
      </c>
      <c r="AF329" s="10">
        <f t="shared" si="1520"/>
        <v>2.1240000000000001</v>
      </c>
      <c r="AG329" s="10">
        <f t="shared" ref="AG329" si="1521">SUM(AG325:AG328)</f>
        <v>0</v>
      </c>
      <c r="AH329" s="10"/>
      <c r="AI329" s="10"/>
      <c r="AJ329" s="10"/>
      <c r="AK329" s="10"/>
      <c r="AL329" s="10"/>
      <c r="AM329" s="10"/>
      <c r="AQ329" s="10">
        <f>SUM(AQ325:AQ328)</f>
        <v>0</v>
      </c>
      <c r="AR329" s="10">
        <f>SUM(AR325:AR328)</f>
        <v>0</v>
      </c>
      <c r="AS329" s="10">
        <f>+SUM(L329:O329)</f>
        <v>0</v>
      </c>
      <c r="AT329" s="10">
        <f>+SUM(P329:S329)</f>
        <v>0</v>
      </c>
      <c r="AU329" s="10">
        <f t="shared" si="1517"/>
        <v>0</v>
      </c>
      <c r="AV329" s="10">
        <f t="shared" si="1518"/>
        <v>0</v>
      </c>
      <c r="AW329" s="10">
        <f>+SUM(AB329:AE329)</f>
        <v>0</v>
      </c>
    </row>
    <row r="330" spans="2:49" x14ac:dyDescent="0.2">
      <c r="B330" s="1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Q330" s="10"/>
      <c r="AR330" s="10"/>
      <c r="AS330" s="10"/>
      <c r="AT330" s="10"/>
      <c r="AU330" s="10"/>
      <c r="AV330" s="10"/>
      <c r="AW330" s="10"/>
    </row>
    <row r="331" spans="2:49" x14ac:dyDescent="0.2">
      <c r="B331" s="25" t="s">
        <v>341</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Q331" s="10"/>
      <c r="AR331" s="10"/>
      <c r="AS331" s="10"/>
      <c r="AT331" s="10"/>
      <c r="AU331" s="10"/>
      <c r="AV331" s="10"/>
      <c r="AW331" s="10"/>
    </row>
    <row r="332" spans="2:49" x14ac:dyDescent="0.2">
      <c r="B332" t="s">
        <v>100</v>
      </c>
      <c r="D332" s="11">
        <v>0</v>
      </c>
      <c r="E332" s="11">
        <v>0</v>
      </c>
      <c r="F332" s="11">
        <v>0</v>
      </c>
      <c r="G332" s="11">
        <v>0</v>
      </c>
      <c r="H332" s="11">
        <v>0</v>
      </c>
      <c r="I332" s="11">
        <v>0</v>
      </c>
      <c r="J332" s="11">
        <v>0</v>
      </c>
      <c r="K332" s="11">
        <v>0</v>
      </c>
      <c r="L332" s="11">
        <v>0</v>
      </c>
      <c r="M332" s="11">
        <v>0</v>
      </c>
      <c r="N332" s="11">
        <v>0</v>
      </c>
      <c r="O332" s="11">
        <v>0</v>
      </c>
      <c r="P332" s="11">
        <v>0</v>
      </c>
      <c r="Q332" s="11">
        <v>0</v>
      </c>
      <c r="R332" s="11">
        <v>0</v>
      </c>
      <c r="S332" s="11">
        <v>0</v>
      </c>
      <c r="T332" s="11">
        <v>0</v>
      </c>
      <c r="U332" s="11">
        <v>0</v>
      </c>
      <c r="V332" s="11">
        <v>0</v>
      </c>
      <c r="W332" s="11">
        <v>0</v>
      </c>
      <c r="X332" s="11">
        <v>0</v>
      </c>
      <c r="Y332" s="11">
        <v>0</v>
      </c>
      <c r="Z332" s="11">
        <v>0</v>
      </c>
      <c r="AA332" s="11">
        <v>0</v>
      </c>
      <c r="AB332" s="11">
        <v>0</v>
      </c>
      <c r="AC332" s="11">
        <v>0</v>
      </c>
      <c r="AD332" s="11">
        <v>0</v>
      </c>
      <c r="AE332" s="11">
        <v>0</v>
      </c>
      <c r="AF332" s="11">
        <v>0</v>
      </c>
      <c r="AG332" s="11">
        <v>0</v>
      </c>
      <c r="AH332" s="11"/>
      <c r="AI332" s="11"/>
      <c r="AJ332" s="11"/>
      <c r="AK332" s="11"/>
      <c r="AL332" s="11"/>
      <c r="AM332" s="11"/>
      <c r="AQ332" s="11">
        <v>0</v>
      </c>
      <c r="AR332" s="11">
        <v>0</v>
      </c>
      <c r="AS332" s="10">
        <f>+SUM(L332:O332)</f>
        <v>0</v>
      </c>
      <c r="AT332" s="10">
        <f>+SUM(P332:S332)</f>
        <v>0</v>
      </c>
      <c r="AU332" s="10">
        <f t="shared" ref="AU332:AU336" si="1522">+SUM(T332:W332)</f>
        <v>0</v>
      </c>
      <c r="AV332" s="10">
        <f t="shared" ref="AV332:AV336" si="1523">+SUM(X332:AA332)</f>
        <v>0</v>
      </c>
      <c r="AW332" s="10">
        <f>+SUM(AB332:AE332)</f>
        <v>0</v>
      </c>
    </row>
    <row r="333" spans="2:49" x14ac:dyDescent="0.2">
      <c r="B333" t="s">
        <v>103</v>
      </c>
      <c r="D333" s="11">
        <v>0</v>
      </c>
      <c r="E333" s="11">
        <v>0</v>
      </c>
      <c r="F333" s="11">
        <v>0</v>
      </c>
      <c r="G333" s="11">
        <v>0</v>
      </c>
      <c r="H333" s="11">
        <v>0</v>
      </c>
      <c r="I333" s="11">
        <v>0</v>
      </c>
      <c r="J333" s="11">
        <v>0</v>
      </c>
      <c r="K333" s="11">
        <v>0</v>
      </c>
      <c r="L333" s="11">
        <v>0</v>
      </c>
      <c r="M333" s="11">
        <v>0</v>
      </c>
      <c r="N333" s="11">
        <v>0</v>
      </c>
      <c r="O333" s="11">
        <v>0</v>
      </c>
      <c r="P333" s="11">
        <v>0</v>
      </c>
      <c r="Q333" s="11">
        <v>0</v>
      </c>
      <c r="R333" s="11">
        <v>0</v>
      </c>
      <c r="S333" s="11">
        <v>0</v>
      </c>
      <c r="T333" s="11">
        <v>0</v>
      </c>
      <c r="U333" s="11">
        <v>0</v>
      </c>
      <c r="V333" s="11">
        <v>0</v>
      </c>
      <c r="W333" s="11">
        <v>0</v>
      </c>
      <c r="X333" s="11">
        <v>0</v>
      </c>
      <c r="Y333" s="11">
        <v>0</v>
      </c>
      <c r="Z333" s="11">
        <v>0</v>
      </c>
      <c r="AA333" s="11">
        <v>0</v>
      </c>
      <c r="AB333" s="11">
        <v>0</v>
      </c>
      <c r="AC333" s="11">
        <v>0</v>
      </c>
      <c r="AD333" s="11">
        <v>0</v>
      </c>
      <c r="AE333" s="11">
        <v>0</v>
      </c>
      <c r="AF333" s="11">
        <v>0</v>
      </c>
      <c r="AG333" s="11">
        <v>0</v>
      </c>
      <c r="AH333" s="11"/>
      <c r="AI333" s="11"/>
      <c r="AJ333" s="11"/>
      <c r="AK333" s="11"/>
      <c r="AL333" s="11"/>
      <c r="AM333" s="11"/>
      <c r="AQ333" s="11">
        <v>0</v>
      </c>
      <c r="AR333" s="11">
        <v>0</v>
      </c>
      <c r="AS333" s="10">
        <f>+SUM(L333:O333)</f>
        <v>0</v>
      </c>
      <c r="AT333" s="10">
        <f>+SUM(P333:S333)</f>
        <v>0</v>
      </c>
      <c r="AU333" s="10">
        <f t="shared" si="1522"/>
        <v>0</v>
      </c>
      <c r="AV333" s="10">
        <f t="shared" si="1523"/>
        <v>0</v>
      </c>
      <c r="AW333" s="10">
        <f>+SUM(AB333:AE333)</f>
        <v>0</v>
      </c>
    </row>
    <row r="334" spans="2:49" x14ac:dyDescent="0.2">
      <c r="B334" t="s">
        <v>104</v>
      </c>
      <c r="D334" s="11">
        <v>0</v>
      </c>
      <c r="E334" s="11">
        <v>0</v>
      </c>
      <c r="F334" s="11">
        <v>0</v>
      </c>
      <c r="G334" s="11">
        <v>0</v>
      </c>
      <c r="H334" s="11">
        <v>0</v>
      </c>
      <c r="I334" s="11">
        <v>0</v>
      </c>
      <c r="J334" s="11">
        <v>0</v>
      </c>
      <c r="K334" s="11">
        <v>0</v>
      </c>
      <c r="L334" s="11">
        <v>0</v>
      </c>
      <c r="M334" s="11">
        <v>0</v>
      </c>
      <c r="N334" s="11">
        <v>0</v>
      </c>
      <c r="O334" s="11">
        <v>0</v>
      </c>
      <c r="P334" s="11">
        <v>0</v>
      </c>
      <c r="Q334" s="11">
        <v>0</v>
      </c>
      <c r="R334" s="11">
        <v>0</v>
      </c>
      <c r="S334" s="11">
        <v>0</v>
      </c>
      <c r="T334" s="11">
        <v>0</v>
      </c>
      <c r="U334" s="11">
        <v>0</v>
      </c>
      <c r="V334" s="11">
        <v>0</v>
      </c>
      <c r="W334" s="11">
        <v>0</v>
      </c>
      <c r="X334" s="11">
        <v>0</v>
      </c>
      <c r="Y334" s="11">
        <v>0</v>
      </c>
      <c r="Z334" s="11">
        <v>0</v>
      </c>
      <c r="AA334" s="11">
        <v>0</v>
      </c>
      <c r="AB334" s="11">
        <v>0</v>
      </c>
      <c r="AC334" s="11">
        <v>0</v>
      </c>
      <c r="AD334" s="11">
        <v>0</v>
      </c>
      <c r="AE334" s="11">
        <v>0</v>
      </c>
      <c r="AF334" s="11">
        <v>0</v>
      </c>
      <c r="AG334" s="11">
        <v>0</v>
      </c>
      <c r="AH334" s="11"/>
      <c r="AI334" s="11"/>
      <c r="AJ334" s="11"/>
      <c r="AK334" s="11"/>
      <c r="AL334" s="11"/>
      <c r="AM334" s="11"/>
      <c r="AQ334" s="11">
        <v>0</v>
      </c>
      <c r="AR334" s="11">
        <v>0</v>
      </c>
      <c r="AS334" s="10">
        <f>+SUM(L334:O334)</f>
        <v>0</v>
      </c>
      <c r="AT334" s="10">
        <f>+SUM(P334:S334)</f>
        <v>0</v>
      </c>
      <c r="AU334" s="10">
        <f t="shared" si="1522"/>
        <v>0</v>
      </c>
      <c r="AV334" s="10">
        <f t="shared" si="1523"/>
        <v>0</v>
      </c>
      <c r="AW334" s="10">
        <f>+SUM(AB334:AE334)</f>
        <v>0</v>
      </c>
    </row>
    <row r="335" spans="2:49" ht="13.5" x14ac:dyDescent="0.35">
      <c r="B335" t="s">
        <v>105</v>
      </c>
      <c r="D335" s="17">
        <v>0</v>
      </c>
      <c r="E335" s="17">
        <v>0</v>
      </c>
      <c r="F335" s="17">
        <v>0</v>
      </c>
      <c r="G335" s="17">
        <v>0</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7">
        <v>0</v>
      </c>
      <c r="AE335" s="17">
        <v>0.372</v>
      </c>
      <c r="AF335" s="17">
        <v>0.33800000000000002</v>
      </c>
      <c r="AG335" s="17">
        <v>0.73699999999999999</v>
      </c>
      <c r="AH335" s="17"/>
      <c r="AI335" s="17"/>
      <c r="AJ335" s="17"/>
      <c r="AK335" s="17"/>
      <c r="AL335" s="17"/>
      <c r="AM335" s="17"/>
      <c r="AQ335" s="17">
        <v>0</v>
      </c>
      <c r="AR335" s="17">
        <v>0</v>
      </c>
      <c r="AS335" s="18">
        <f>+SUM(L335:O335)</f>
        <v>0</v>
      </c>
      <c r="AT335" s="18">
        <f>+SUM(P335:S335)</f>
        <v>0</v>
      </c>
      <c r="AU335" s="18">
        <f t="shared" si="1522"/>
        <v>0</v>
      </c>
      <c r="AV335" s="18">
        <f t="shared" si="1523"/>
        <v>0</v>
      </c>
      <c r="AW335" s="18">
        <f>+SUM(AB335:AE335)</f>
        <v>0.372</v>
      </c>
    </row>
    <row r="336" spans="2:49" x14ac:dyDescent="0.2">
      <c r="B336" s="12" t="s">
        <v>368</v>
      </c>
      <c r="D336" s="10">
        <f t="shared" ref="D336:K336" si="1524">SUM(D332:D335)</f>
        <v>0</v>
      </c>
      <c r="E336" s="10">
        <f t="shared" si="1524"/>
        <v>0</v>
      </c>
      <c r="F336" s="10">
        <f t="shared" si="1524"/>
        <v>0</v>
      </c>
      <c r="G336" s="10">
        <f t="shared" si="1524"/>
        <v>0</v>
      </c>
      <c r="H336" s="10">
        <f t="shared" si="1524"/>
        <v>0</v>
      </c>
      <c r="I336" s="10">
        <f t="shared" si="1524"/>
        <v>0</v>
      </c>
      <c r="J336" s="10">
        <f t="shared" si="1524"/>
        <v>0</v>
      </c>
      <c r="K336" s="10">
        <f t="shared" si="1524"/>
        <v>0</v>
      </c>
      <c r="L336" s="10">
        <f>SUM(L332:L335)</f>
        <v>0</v>
      </c>
      <c r="M336" s="10">
        <f t="shared" ref="M336:AF336" si="1525">SUM(M332:M335)</f>
        <v>0</v>
      </c>
      <c r="N336" s="10">
        <f t="shared" si="1525"/>
        <v>0</v>
      </c>
      <c r="O336" s="10">
        <f t="shared" si="1525"/>
        <v>0</v>
      </c>
      <c r="P336" s="10">
        <f t="shared" si="1525"/>
        <v>0</v>
      </c>
      <c r="Q336" s="10">
        <f t="shared" si="1525"/>
        <v>0</v>
      </c>
      <c r="R336" s="10">
        <f t="shared" si="1525"/>
        <v>0</v>
      </c>
      <c r="S336" s="10">
        <f t="shared" si="1525"/>
        <v>0</v>
      </c>
      <c r="T336" s="10">
        <f t="shared" si="1525"/>
        <v>0</v>
      </c>
      <c r="U336" s="10">
        <f t="shared" si="1525"/>
        <v>0</v>
      </c>
      <c r="V336" s="10">
        <f t="shared" si="1525"/>
        <v>0</v>
      </c>
      <c r="W336" s="10">
        <f t="shared" si="1525"/>
        <v>0</v>
      </c>
      <c r="X336" s="10">
        <f t="shared" si="1525"/>
        <v>0</v>
      </c>
      <c r="Y336" s="10">
        <f t="shared" si="1525"/>
        <v>0</v>
      </c>
      <c r="Z336" s="10">
        <f t="shared" si="1525"/>
        <v>0</v>
      </c>
      <c r="AA336" s="10">
        <f t="shared" si="1525"/>
        <v>0</v>
      </c>
      <c r="AB336" s="10">
        <f t="shared" si="1525"/>
        <v>0</v>
      </c>
      <c r="AC336" s="10">
        <f t="shared" si="1525"/>
        <v>0</v>
      </c>
      <c r="AD336" s="10">
        <f t="shared" si="1525"/>
        <v>0</v>
      </c>
      <c r="AE336" s="10">
        <f t="shared" si="1525"/>
        <v>0.372</v>
      </c>
      <c r="AF336" s="10">
        <f t="shared" si="1525"/>
        <v>0.33800000000000002</v>
      </c>
      <c r="AG336" s="10">
        <f t="shared" ref="AG336" si="1526">SUM(AG332:AG335)</f>
        <v>0.73699999999999999</v>
      </c>
      <c r="AH336" s="10"/>
      <c r="AI336" s="10"/>
      <c r="AJ336" s="10"/>
      <c r="AK336" s="10"/>
      <c r="AL336" s="10"/>
      <c r="AM336" s="10"/>
      <c r="AQ336" s="10">
        <f>SUM(AQ332:AQ335)</f>
        <v>0</v>
      </c>
      <c r="AR336" s="10">
        <f>SUM(AR332:AR335)</f>
        <v>0</v>
      </c>
      <c r="AS336" s="10">
        <f>+SUM(L336:O336)</f>
        <v>0</v>
      </c>
      <c r="AT336" s="10">
        <f>+SUM(P336:S336)</f>
        <v>0</v>
      </c>
      <c r="AU336" s="10">
        <f t="shared" si="1522"/>
        <v>0</v>
      </c>
      <c r="AV336" s="10">
        <f t="shared" si="1523"/>
        <v>0</v>
      </c>
      <c r="AW336" s="10">
        <f>+SUM(AB336:AE336)</f>
        <v>0.372</v>
      </c>
    </row>
    <row r="337" spans="1:52" x14ac:dyDescent="0.2">
      <c r="B337" s="12"/>
      <c r="D337" s="113"/>
      <c r="E337" s="113"/>
      <c r="F337" s="113"/>
      <c r="G337" s="113"/>
      <c r="H337" s="113"/>
      <c r="I337" s="113"/>
      <c r="J337" s="113"/>
      <c r="K337" s="113"/>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Q337" s="10"/>
      <c r="AR337" s="10"/>
      <c r="AS337" s="10"/>
      <c r="AT337" s="10"/>
      <c r="AU337" s="10"/>
      <c r="AV337" s="10"/>
      <c r="AW337" s="10"/>
    </row>
    <row r="338" spans="1:52" s="5" customFormat="1" x14ac:dyDescent="0.2">
      <c r="A338" s="4"/>
      <c r="B338" s="5" t="s">
        <v>177</v>
      </c>
      <c r="AQ338" s="143"/>
      <c r="AR338" s="143"/>
      <c r="AS338" s="143"/>
      <c r="AT338" s="143"/>
    </row>
    <row r="339" spans="1:52" s="3" customFormat="1" x14ac:dyDescent="0.2">
      <c r="A339" s="2"/>
      <c r="B339" s="122" t="s">
        <v>183</v>
      </c>
      <c r="AQ339" s="23"/>
      <c r="AR339" s="23"/>
      <c r="AS339" s="23"/>
      <c r="AT339" s="23"/>
    </row>
    <row r="340" spans="1:52" s="3" customFormat="1" x14ac:dyDescent="0.2">
      <c r="A340" s="2"/>
      <c r="B340" s="122" t="s">
        <v>209</v>
      </c>
      <c r="AQ340" s="23"/>
      <c r="AR340" s="23"/>
      <c r="AS340" s="23"/>
      <c r="AT340" s="23"/>
    </row>
    <row r="342" spans="1:52" x14ac:dyDescent="0.2">
      <c r="B342" s="9" t="s">
        <v>176</v>
      </c>
      <c r="C342" s="8"/>
    </row>
    <row r="343" spans="1:52" x14ac:dyDescent="0.2">
      <c r="T343" s="16"/>
      <c r="U343" s="16"/>
      <c r="V343" s="16"/>
      <c r="W343" s="16"/>
      <c r="X343" s="16"/>
      <c r="Y343" s="16"/>
      <c r="Z343" s="16"/>
    </row>
    <row r="344" spans="1:52" x14ac:dyDescent="0.2">
      <c r="B344" t="s">
        <v>124</v>
      </c>
      <c r="P344" s="11">
        <v>-1.931</v>
      </c>
      <c r="Q344" s="11">
        <f>-4.039-P344</f>
        <v>-2.1079999999999997</v>
      </c>
      <c r="R344" s="11">
        <f>-5.075-SUM(P344:Q344)</f>
        <v>-1.0360000000000005</v>
      </c>
      <c r="S344" s="109">
        <f>+AT344-SUM(P344:R344)</f>
        <v>-1.9369999999999994</v>
      </c>
      <c r="T344" s="11">
        <v>1.4710000000000001</v>
      </c>
      <c r="U344" s="11">
        <f>1.192-T344</f>
        <v>-0.27900000000000014</v>
      </c>
      <c r="V344" s="11">
        <f>0.577-SUM(T344:U344)</f>
        <v>-0.61499999999999999</v>
      </c>
      <c r="W344" s="109">
        <f>+AU344-SUM(T344:V344)</f>
        <v>-3.8620000000000001</v>
      </c>
      <c r="X344" s="11">
        <v>-2.5710000000000002</v>
      </c>
      <c r="Y344" s="11">
        <f>-10.855-X344</f>
        <v>-8.2840000000000007</v>
      </c>
      <c r="Z344" s="11">
        <f>-19.947-SUM(X344:Y344)</f>
        <v>-9.0919999999999987</v>
      </c>
      <c r="AA344" s="109">
        <f t="shared" ref="AA344:AA358" si="1527">+AV344-SUM(X344:Z344)</f>
        <v>-13.901</v>
      </c>
      <c r="AB344" s="11">
        <v>-9.86</v>
      </c>
      <c r="AC344" s="11">
        <f>-10.139-AB344</f>
        <v>-0.27899999999999991</v>
      </c>
      <c r="AD344" s="11">
        <f>-5.924-AC344-AB344</f>
        <v>4.214999999999999</v>
      </c>
      <c r="AE344" s="109">
        <f t="shared" ref="AE344:AE359" si="1528">+AW344-SUM(AB344:AD344)</f>
        <v>6.8740000000000006</v>
      </c>
      <c r="AF344" s="11">
        <v>2.0030000000000001</v>
      </c>
      <c r="AG344" s="11">
        <f>3.364-AF344</f>
        <v>1.3609999999999998</v>
      </c>
      <c r="AQ344" s="11">
        <v>-4.4879999999999978</v>
      </c>
      <c r="AR344" s="11">
        <v>-10.695000000000002</v>
      </c>
      <c r="AS344" s="11">
        <v>-10.166</v>
      </c>
      <c r="AT344" s="11">
        <v>-7.0119999999999996</v>
      </c>
      <c r="AU344" s="11">
        <v>-3.2850000000000001</v>
      </c>
      <c r="AV344" s="11">
        <v>-33.847999999999999</v>
      </c>
      <c r="AW344" s="11">
        <v>0.95</v>
      </c>
    </row>
    <row r="345" spans="1:52" x14ac:dyDescent="0.2">
      <c r="B345" t="s">
        <v>125</v>
      </c>
      <c r="P345" s="11">
        <v>0.23200000000000001</v>
      </c>
      <c r="Q345" s="11">
        <f>0.474-P345</f>
        <v>0.24199999999999997</v>
      </c>
      <c r="R345" s="11">
        <f>0.848-SUM(P345:Q345)</f>
        <v>0.374</v>
      </c>
      <c r="S345" s="109">
        <f t="shared" ref="S345:S393" si="1529">+AT345-SUM(P345:R345)</f>
        <v>0.63600000000000001</v>
      </c>
      <c r="T345" s="11">
        <v>0.46</v>
      </c>
      <c r="U345" s="11">
        <f>1.447-T345</f>
        <v>0.9870000000000001</v>
      </c>
      <c r="V345" s="11">
        <f>2.438-SUM(T345:U345)</f>
        <v>0.9910000000000001</v>
      </c>
      <c r="W345" s="109">
        <f t="shared" ref="W345:W393" si="1530">+AU345-SUM(T345:V345)</f>
        <v>1.097</v>
      </c>
      <c r="X345" s="11">
        <v>1.4550000000000001</v>
      </c>
      <c r="Y345" s="11">
        <f>4.221-X345</f>
        <v>2.766</v>
      </c>
      <c r="Z345" s="11">
        <f>6.626-SUM(X345:Y345)</f>
        <v>2.4050000000000002</v>
      </c>
      <c r="AA345" s="109">
        <f t="shared" si="1527"/>
        <v>2.4000000000000021E-2</v>
      </c>
      <c r="AB345" s="11">
        <v>1.4870000000000001</v>
      </c>
      <c r="AC345" s="11">
        <f>3.135-AB345</f>
        <v>1.6479999999999997</v>
      </c>
      <c r="AD345" s="11">
        <f>4.807-AC345-AB345</f>
        <v>1.6720000000000006</v>
      </c>
      <c r="AE345" s="109">
        <f t="shared" si="1528"/>
        <v>1.9829999999999997</v>
      </c>
      <c r="AF345" s="11">
        <v>2.1829999999999998</v>
      </c>
      <c r="AG345" s="11">
        <f>4.269-AF345</f>
        <v>2.0860000000000003</v>
      </c>
      <c r="AQ345" s="11">
        <v>0.94300000000000006</v>
      </c>
      <c r="AR345" s="11">
        <v>1.266</v>
      </c>
      <c r="AS345" s="11">
        <v>1.05</v>
      </c>
      <c r="AT345" s="11">
        <v>1.484</v>
      </c>
      <c r="AU345" s="11">
        <v>3.5350000000000001</v>
      </c>
      <c r="AV345" s="11">
        <v>6.65</v>
      </c>
      <c r="AW345" s="11">
        <v>6.79</v>
      </c>
      <c r="AX345" s="244"/>
      <c r="AY345" s="244"/>
      <c r="AZ345" s="244"/>
    </row>
    <row r="346" spans="1:52" x14ac:dyDescent="0.2">
      <c r="B346" t="s">
        <v>298</v>
      </c>
      <c r="P346" s="11">
        <v>0</v>
      </c>
      <c r="Q346" s="11">
        <v>0</v>
      </c>
      <c r="R346" s="11">
        <v>0</v>
      </c>
      <c r="S346" s="109">
        <f t="shared" si="1529"/>
        <v>0</v>
      </c>
      <c r="T346" s="11">
        <v>0</v>
      </c>
      <c r="U346" s="11">
        <v>0</v>
      </c>
      <c r="V346" s="11">
        <v>0</v>
      </c>
      <c r="W346" s="109">
        <f t="shared" si="1530"/>
        <v>0</v>
      </c>
      <c r="X346" s="11">
        <v>0</v>
      </c>
      <c r="Y346" s="11">
        <v>0</v>
      </c>
      <c r="Z346" s="11">
        <v>0</v>
      </c>
      <c r="AA346" s="109">
        <f t="shared" si="1527"/>
        <v>0.64200000000000002</v>
      </c>
      <c r="AB346" s="11">
        <v>0</v>
      </c>
      <c r="AC346" s="11">
        <v>0</v>
      </c>
      <c r="AD346" s="11">
        <v>0</v>
      </c>
      <c r="AE346" s="109">
        <f t="shared" si="1528"/>
        <v>0.122</v>
      </c>
      <c r="AF346" s="11">
        <v>0</v>
      </c>
      <c r="AG346" s="11">
        <v>0</v>
      </c>
      <c r="AQ346" s="11">
        <v>0</v>
      </c>
      <c r="AR346" s="11">
        <v>0</v>
      </c>
      <c r="AS346" s="11">
        <v>0</v>
      </c>
      <c r="AT346" s="11">
        <v>0</v>
      </c>
      <c r="AU346" s="11">
        <v>0</v>
      </c>
      <c r="AV346" s="11">
        <v>0.64200000000000002</v>
      </c>
      <c r="AW346" s="11">
        <v>0.122</v>
      </c>
    </row>
    <row r="347" spans="1:52" x14ac:dyDescent="0.2">
      <c r="B347" t="s">
        <v>126</v>
      </c>
      <c r="P347" s="11">
        <v>1.1040000000000001</v>
      </c>
      <c r="Q347" s="11">
        <f>2.259-P347</f>
        <v>1.1549999999999998</v>
      </c>
      <c r="R347" s="11">
        <f>3.435-SUM(P347:Q347)</f>
        <v>1.1760000000000002</v>
      </c>
      <c r="S347" s="109">
        <f t="shared" si="1529"/>
        <v>1.1880000000000002</v>
      </c>
      <c r="T347" s="11">
        <v>1.3220000000000001</v>
      </c>
      <c r="U347" s="11">
        <f>2.95-T347</f>
        <v>1.6280000000000001</v>
      </c>
      <c r="V347" s="11">
        <f>4.578-SUM(T347:U347)</f>
        <v>1.6280000000000001</v>
      </c>
      <c r="W347" s="109">
        <f t="shared" si="1530"/>
        <v>1.9109999999999996</v>
      </c>
      <c r="X347" s="11">
        <v>2.0830000000000002</v>
      </c>
      <c r="Y347" s="11">
        <f>4.763-X347</f>
        <v>2.6799999999999997</v>
      </c>
      <c r="Z347" s="11">
        <f>7.145-SUM(X347:Y347)</f>
        <v>2.3819999999999997</v>
      </c>
      <c r="AA347" s="109">
        <f t="shared" si="1527"/>
        <v>1.843</v>
      </c>
      <c r="AB347" s="11">
        <v>2.3969999999999998</v>
      </c>
      <c r="AC347" s="11">
        <f>4.855-AB347</f>
        <v>2.4580000000000006</v>
      </c>
      <c r="AD347" s="11">
        <f>7.51-AC347-AB347</f>
        <v>2.6549999999999998</v>
      </c>
      <c r="AE347" s="109">
        <f t="shared" si="1528"/>
        <v>2.8689999999999998</v>
      </c>
      <c r="AF347" s="11">
        <v>3.016</v>
      </c>
      <c r="AG347" s="11">
        <f>6.054-AF347</f>
        <v>3.0380000000000003</v>
      </c>
      <c r="AQ347" s="11">
        <v>0</v>
      </c>
      <c r="AR347" s="11">
        <v>0.91800000000000004</v>
      </c>
      <c r="AS347" s="11">
        <v>3.1339999999999999</v>
      </c>
      <c r="AT347" s="11">
        <v>4.6230000000000002</v>
      </c>
      <c r="AU347" s="11">
        <v>6.4889999999999999</v>
      </c>
      <c r="AV347" s="11">
        <v>8.9879999999999995</v>
      </c>
      <c r="AW347" s="11">
        <v>10.379</v>
      </c>
    </row>
    <row r="348" spans="1:52" x14ac:dyDescent="0.2">
      <c r="B348" t="s">
        <v>265</v>
      </c>
      <c r="P348" s="11">
        <v>0</v>
      </c>
      <c r="Q348" s="11">
        <v>0</v>
      </c>
      <c r="R348" s="11">
        <v>0</v>
      </c>
      <c r="S348" s="109">
        <f t="shared" ref="S348:S349" si="1531">+AT348-SUM(P348:R348)</f>
        <v>0</v>
      </c>
      <c r="T348" s="11">
        <v>0</v>
      </c>
      <c r="U348" s="11">
        <v>0</v>
      </c>
      <c r="V348" s="11">
        <v>0</v>
      </c>
      <c r="W348" s="109">
        <f t="shared" ref="W348:W349" si="1532">+AU348-SUM(T348:V348)</f>
        <v>0</v>
      </c>
      <c r="X348" s="11">
        <v>0</v>
      </c>
      <c r="Y348" s="11">
        <v>0</v>
      </c>
      <c r="Z348" s="11">
        <f>0.053-SUM(X348:Y348)</f>
        <v>5.2999999999999999E-2</v>
      </c>
      <c r="AA348" s="109">
        <f t="shared" si="1527"/>
        <v>-5.2999999999999999E-2</v>
      </c>
      <c r="AB348" s="11">
        <v>0</v>
      </c>
      <c r="AC348" s="11">
        <v>0</v>
      </c>
      <c r="AD348" s="11">
        <v>0</v>
      </c>
      <c r="AE348" s="109">
        <f t="shared" si="1528"/>
        <v>0</v>
      </c>
      <c r="AF348" s="11">
        <v>0</v>
      </c>
      <c r="AG348" s="11">
        <v>0</v>
      </c>
      <c r="AQ348" s="11">
        <v>0</v>
      </c>
      <c r="AR348" s="11">
        <v>0</v>
      </c>
      <c r="AS348" s="11">
        <v>0</v>
      </c>
      <c r="AT348" s="11">
        <v>0</v>
      </c>
      <c r="AU348" s="11">
        <v>0</v>
      </c>
      <c r="AV348" s="11">
        <v>0</v>
      </c>
      <c r="AW348" s="11">
        <v>0</v>
      </c>
    </row>
    <row r="349" spans="1:52" x14ac:dyDescent="0.2">
      <c r="B349" t="s">
        <v>338</v>
      </c>
      <c r="P349" s="11">
        <v>0</v>
      </c>
      <c r="Q349" s="11">
        <v>0</v>
      </c>
      <c r="R349" s="11">
        <v>0</v>
      </c>
      <c r="S349" s="109">
        <f t="shared" si="1531"/>
        <v>0</v>
      </c>
      <c r="T349" s="11">
        <v>0</v>
      </c>
      <c r="U349" s="11">
        <v>0</v>
      </c>
      <c r="V349" s="11">
        <v>0</v>
      </c>
      <c r="W349" s="109">
        <f t="shared" si="1532"/>
        <v>0</v>
      </c>
      <c r="X349" s="11">
        <v>0</v>
      </c>
      <c r="Y349" s="11">
        <v>0</v>
      </c>
      <c r="Z349" s="11">
        <v>0</v>
      </c>
      <c r="AA349" s="109">
        <f t="shared" si="1527"/>
        <v>0</v>
      </c>
      <c r="AB349" s="11">
        <v>0</v>
      </c>
      <c r="AC349" s="11">
        <v>0</v>
      </c>
      <c r="AD349" s="11">
        <v>0</v>
      </c>
      <c r="AE349" s="109">
        <f t="shared" si="1528"/>
        <v>-6.0670000000000002</v>
      </c>
      <c r="AF349" s="11">
        <v>-1.071</v>
      </c>
      <c r="AG349" s="11">
        <f>-2.023-AF349</f>
        <v>-0.95200000000000018</v>
      </c>
      <c r="AQ349" s="11">
        <v>0</v>
      </c>
      <c r="AR349" s="11">
        <v>0</v>
      </c>
      <c r="AS349" s="11">
        <v>0</v>
      </c>
      <c r="AT349" s="11">
        <v>0</v>
      </c>
      <c r="AU349" s="11">
        <v>0</v>
      </c>
      <c r="AV349" s="11">
        <v>0</v>
      </c>
      <c r="AW349" s="11">
        <v>-6.0670000000000002</v>
      </c>
    </row>
    <row r="350" spans="1:52" x14ac:dyDescent="0.2">
      <c r="B350" t="s">
        <v>299</v>
      </c>
      <c r="P350" s="11">
        <v>0</v>
      </c>
      <c r="Q350" s="11">
        <v>0</v>
      </c>
      <c r="R350" s="11">
        <v>0</v>
      </c>
      <c r="S350" s="109">
        <f t="shared" ref="S350" si="1533">+AT350-SUM(P350:R350)</f>
        <v>0</v>
      </c>
      <c r="T350" s="11">
        <v>0</v>
      </c>
      <c r="U350" s="11">
        <v>0</v>
      </c>
      <c r="V350" s="11">
        <v>0</v>
      </c>
      <c r="W350" s="109">
        <f t="shared" ref="W350" si="1534">+AU350-SUM(T350:V350)</f>
        <v>0</v>
      </c>
      <c r="X350" s="11">
        <v>0</v>
      </c>
      <c r="Y350" s="11">
        <v>0</v>
      </c>
      <c r="Z350" s="11">
        <v>0</v>
      </c>
      <c r="AA350" s="109">
        <f t="shared" si="1527"/>
        <v>4.5199999999999996</v>
      </c>
      <c r="AB350" s="11">
        <v>0.89500000000000002</v>
      </c>
      <c r="AC350" s="11">
        <f>1.886-AB350</f>
        <v>0.99099999999999988</v>
      </c>
      <c r="AD350" s="11">
        <f>2.828-SUM(AB350:AC350)</f>
        <v>0.94199999999999995</v>
      </c>
      <c r="AE350" s="109">
        <f t="shared" si="1528"/>
        <v>1.1120000000000001</v>
      </c>
      <c r="AF350" s="11">
        <v>1.1639999999999999</v>
      </c>
      <c r="AG350" s="11">
        <f>2.233-AF350</f>
        <v>1.0690000000000002</v>
      </c>
      <c r="AQ350" s="11">
        <v>0</v>
      </c>
      <c r="AR350" s="11">
        <v>0</v>
      </c>
      <c r="AS350" s="11">
        <v>0</v>
      </c>
      <c r="AT350" s="11">
        <v>0</v>
      </c>
      <c r="AU350" s="11">
        <v>0</v>
      </c>
      <c r="AV350" s="11">
        <v>4.5199999999999996</v>
      </c>
      <c r="AW350" s="11">
        <v>3.94</v>
      </c>
    </row>
    <row r="351" spans="1:52" x14ac:dyDescent="0.2">
      <c r="B351" t="s">
        <v>266</v>
      </c>
      <c r="P351" s="11">
        <v>0</v>
      </c>
      <c r="Q351" s="11">
        <v>0</v>
      </c>
      <c r="R351" s="11">
        <v>0</v>
      </c>
      <c r="S351" s="109">
        <f t="shared" ref="S351" si="1535">+AT351-SUM(P351:R351)</f>
        <v>0</v>
      </c>
      <c r="T351" s="11">
        <v>0</v>
      </c>
      <c r="U351" s="11">
        <v>0</v>
      </c>
      <c r="V351" s="11">
        <v>0</v>
      </c>
      <c r="W351" s="109">
        <f t="shared" ref="W351" si="1536">+AU351-SUM(T351:V351)</f>
        <v>0</v>
      </c>
      <c r="X351" s="11">
        <v>0</v>
      </c>
      <c r="Y351" s="11">
        <v>0</v>
      </c>
      <c r="Z351" s="11">
        <v>1.738</v>
      </c>
      <c r="AA351" s="109">
        <f t="shared" si="1527"/>
        <v>0</v>
      </c>
      <c r="AB351" s="11">
        <v>0</v>
      </c>
      <c r="AC351" s="11">
        <v>0</v>
      </c>
      <c r="AD351" s="11">
        <v>0</v>
      </c>
      <c r="AE351" s="109">
        <f t="shared" si="1528"/>
        <v>0</v>
      </c>
      <c r="AF351" s="11">
        <v>0</v>
      </c>
      <c r="AG351" s="11">
        <v>0</v>
      </c>
      <c r="AQ351" s="11">
        <v>0</v>
      </c>
      <c r="AR351" s="11">
        <v>0</v>
      </c>
      <c r="AS351" s="11">
        <v>0</v>
      </c>
      <c r="AT351" s="11">
        <v>0</v>
      </c>
      <c r="AU351" s="11">
        <v>0</v>
      </c>
      <c r="AV351" s="11">
        <v>1.738</v>
      </c>
      <c r="AW351" s="11">
        <v>0</v>
      </c>
    </row>
    <row r="352" spans="1:52" x14ac:dyDescent="0.2">
      <c r="B352" t="s">
        <v>127</v>
      </c>
      <c r="P352" s="11">
        <v>0.20499999999999999</v>
      </c>
      <c r="Q352" s="11">
        <f>0.414-P352</f>
        <v>0.20899999999999999</v>
      </c>
      <c r="R352" s="11">
        <f>0.67-SUM(P352:Q352)</f>
        <v>0.25600000000000006</v>
      </c>
      <c r="S352" s="109">
        <f t="shared" si="1529"/>
        <v>0.40899999999999992</v>
      </c>
      <c r="T352" s="11">
        <v>0.59299999999999997</v>
      </c>
      <c r="U352" s="11">
        <f>1.162-T352</f>
        <v>0.56899999999999995</v>
      </c>
      <c r="V352" s="11">
        <f>1.789-SUM(T352:U352)</f>
        <v>0.627</v>
      </c>
      <c r="W352" s="109">
        <f t="shared" si="1530"/>
        <v>0.95300000000000007</v>
      </c>
      <c r="X352" s="11">
        <v>0.93200000000000005</v>
      </c>
      <c r="Y352" s="11">
        <f>3.136-X352</f>
        <v>2.2040000000000002</v>
      </c>
      <c r="Z352" s="11">
        <f>5.116-SUM(X352:Y352)</f>
        <v>1.9799999999999995</v>
      </c>
      <c r="AA352" s="109">
        <f t="shared" si="1527"/>
        <v>2.2770000000000001</v>
      </c>
      <c r="AB352" s="11">
        <v>2.7959999999999998</v>
      </c>
      <c r="AC352" s="11">
        <f>6.561-AB352</f>
        <v>3.7650000000000001</v>
      </c>
      <c r="AD352" s="11">
        <f>10.764-AC352-AB352</f>
        <v>4.2029999999999994</v>
      </c>
      <c r="AE352" s="109">
        <f t="shared" si="1528"/>
        <v>4.5730000000000004</v>
      </c>
      <c r="AF352" s="11">
        <v>5.1150000000000002</v>
      </c>
      <c r="AG352" s="11">
        <f>12.281-AF352</f>
        <v>7.1660000000000004</v>
      </c>
      <c r="AQ352" s="11">
        <v>0.30199999999999999</v>
      </c>
      <c r="AR352" s="11">
        <v>0.224</v>
      </c>
      <c r="AS352" s="11">
        <v>0.504</v>
      </c>
      <c r="AT352" s="11">
        <v>1.079</v>
      </c>
      <c r="AU352" s="11">
        <v>2.742</v>
      </c>
      <c r="AV352" s="11">
        <v>7.3929999999999998</v>
      </c>
      <c r="AW352" s="11">
        <v>15.337</v>
      </c>
    </row>
    <row r="353" spans="2:49" x14ac:dyDescent="0.2">
      <c r="B353" t="s">
        <v>188</v>
      </c>
      <c r="P353" s="11">
        <v>0</v>
      </c>
      <c r="Q353" s="11">
        <v>0</v>
      </c>
      <c r="R353" s="11">
        <v>0</v>
      </c>
      <c r="S353" s="109">
        <f t="shared" si="1529"/>
        <v>0</v>
      </c>
      <c r="T353" s="11">
        <v>0</v>
      </c>
      <c r="U353" s="11">
        <v>0</v>
      </c>
      <c r="V353" s="11">
        <f>0.158-SUM(T353:U353)</f>
        <v>0.158</v>
      </c>
      <c r="W353" s="109">
        <f t="shared" si="1530"/>
        <v>5.2999999999999992E-2</v>
      </c>
      <c r="X353" s="11">
        <v>0</v>
      </c>
      <c r="Y353" s="11">
        <f>0.053-X353</f>
        <v>5.2999999999999999E-2</v>
      </c>
      <c r="Z353" s="11">
        <f>0.096-SUM(X353:Y353)</f>
        <v>4.3000000000000003E-2</v>
      </c>
      <c r="AA353" s="109">
        <f t="shared" si="1527"/>
        <v>0.14599999999999999</v>
      </c>
      <c r="AB353" s="11">
        <v>5.2999999999999999E-2</v>
      </c>
      <c r="AC353" s="11">
        <f>0.105-AB353</f>
        <v>5.1999999999999998E-2</v>
      </c>
      <c r="AD353" s="11">
        <f>0.158-AC353-AB353</f>
        <v>5.3000000000000012E-2</v>
      </c>
      <c r="AE353" s="109">
        <f t="shared" si="1528"/>
        <v>5.099999999999999E-2</v>
      </c>
      <c r="AF353" s="11">
        <v>0</v>
      </c>
      <c r="AG353" s="11">
        <v>0</v>
      </c>
      <c r="AQ353" s="11">
        <v>0</v>
      </c>
      <c r="AR353" s="11">
        <v>0</v>
      </c>
      <c r="AS353" s="11">
        <v>0</v>
      </c>
      <c r="AT353" s="11">
        <v>0</v>
      </c>
      <c r="AU353" s="11">
        <v>0.21099999999999999</v>
      </c>
      <c r="AV353" s="11">
        <v>0.24199999999999999</v>
      </c>
      <c r="AW353" s="11">
        <v>0.20899999999999999</v>
      </c>
    </row>
    <row r="354" spans="2:49" x14ac:dyDescent="0.2">
      <c r="B354" t="s">
        <v>314</v>
      </c>
      <c r="P354" s="11">
        <v>0</v>
      </c>
      <c r="Q354" s="11">
        <v>0</v>
      </c>
      <c r="R354" s="11">
        <v>0</v>
      </c>
      <c r="S354" s="109">
        <f t="shared" ref="S354" si="1537">+AT354-SUM(P354:R354)</f>
        <v>0</v>
      </c>
      <c r="T354" s="11">
        <v>0</v>
      </c>
      <c r="U354" s="11">
        <v>0</v>
      </c>
      <c r="V354" s="11">
        <v>0</v>
      </c>
      <c r="W354" s="109">
        <f t="shared" ref="W354" si="1538">+AU354-SUM(T354:V354)</f>
        <v>0</v>
      </c>
      <c r="X354" s="11">
        <v>0</v>
      </c>
      <c r="Y354" s="11">
        <v>0</v>
      </c>
      <c r="Z354" s="11">
        <v>0</v>
      </c>
      <c r="AA354" s="109">
        <f t="shared" ref="AA354" si="1539">+AV354-SUM(X354:Z354)</f>
        <v>0</v>
      </c>
      <c r="AB354" s="11">
        <v>-1.716</v>
      </c>
      <c r="AC354" s="11">
        <f>-3.201-AB354</f>
        <v>-1.4850000000000001</v>
      </c>
      <c r="AD354" s="11">
        <f>-4.667-SUM(AB354:AC354)</f>
        <v>-1.4659999999999997</v>
      </c>
      <c r="AE354" s="109">
        <f t="shared" si="1528"/>
        <v>4.6669999999999998</v>
      </c>
      <c r="AF354" s="11">
        <v>0</v>
      </c>
      <c r="AG354" s="11">
        <v>0</v>
      </c>
      <c r="AQ354" s="11">
        <v>0</v>
      </c>
      <c r="AR354" s="11">
        <v>0</v>
      </c>
      <c r="AS354" s="11">
        <v>0</v>
      </c>
      <c r="AT354" s="11">
        <v>0</v>
      </c>
      <c r="AU354" s="11">
        <v>0</v>
      </c>
      <c r="AV354" s="11">
        <v>0</v>
      </c>
      <c r="AW354" s="11">
        <v>0</v>
      </c>
    </row>
    <row r="355" spans="2:49" x14ac:dyDescent="0.2">
      <c r="B355" t="s">
        <v>192</v>
      </c>
      <c r="P355" s="11">
        <v>0</v>
      </c>
      <c r="Q355" s="11">
        <v>0</v>
      </c>
      <c r="R355" s="11">
        <v>0</v>
      </c>
      <c r="S355" s="109">
        <f t="shared" si="1529"/>
        <v>0</v>
      </c>
      <c r="T355" s="11">
        <v>0</v>
      </c>
      <c r="U355" s="11">
        <v>0</v>
      </c>
      <c r="V355" s="11">
        <f>0.088-SUM(T355:U355)</f>
        <v>8.7999999999999995E-2</v>
      </c>
      <c r="W355" s="109">
        <f t="shared" si="1530"/>
        <v>-8.7999999999999995E-2</v>
      </c>
      <c r="X355" s="11">
        <v>0</v>
      </c>
      <c r="Y355" s="11">
        <v>0</v>
      </c>
      <c r="Z355" s="11">
        <v>0</v>
      </c>
      <c r="AA355" s="109">
        <f t="shared" si="1527"/>
        <v>0</v>
      </c>
      <c r="AB355" s="11">
        <v>0</v>
      </c>
      <c r="AC355" s="11">
        <v>0</v>
      </c>
      <c r="AD355" s="11">
        <v>0</v>
      </c>
      <c r="AE355" s="109">
        <f t="shared" si="1528"/>
        <v>0</v>
      </c>
      <c r="AF355" s="11">
        <v>0</v>
      </c>
      <c r="AG355" s="11">
        <v>0</v>
      </c>
      <c r="AQ355" s="11">
        <v>0</v>
      </c>
      <c r="AR355" s="11">
        <v>0</v>
      </c>
      <c r="AS355" s="11">
        <v>0</v>
      </c>
      <c r="AT355" s="11">
        <v>0</v>
      </c>
      <c r="AU355" s="11">
        <v>0</v>
      </c>
      <c r="AV355" s="11">
        <v>0</v>
      </c>
      <c r="AW355" s="11">
        <v>0</v>
      </c>
    </row>
    <row r="356" spans="2:49" x14ac:dyDescent="0.2">
      <c r="B356" t="s">
        <v>128</v>
      </c>
      <c r="P356" s="11">
        <v>-5.7000000000000002E-2</v>
      </c>
      <c r="Q356" s="11">
        <f>-0.108-P356</f>
        <v>-5.0999999999999997E-2</v>
      </c>
      <c r="R356" s="11">
        <f>-0.095-SUM(P356:Q356)</f>
        <v>1.2999999999999998E-2</v>
      </c>
      <c r="S356" s="109">
        <f t="shared" si="1529"/>
        <v>5.0000000000000044E-3</v>
      </c>
      <c r="T356" s="11">
        <v>-5.6000000000000001E-2</v>
      </c>
      <c r="U356" s="11">
        <f>-0.083-T356</f>
        <v>-2.7000000000000003E-2</v>
      </c>
      <c r="V356" s="11">
        <f>-0.083-SUM(T356:U356)</f>
        <v>0</v>
      </c>
      <c r="W356" s="109">
        <f t="shared" si="1530"/>
        <v>0.14200000000000002</v>
      </c>
      <c r="X356" s="11">
        <v>0.28299999999999997</v>
      </c>
      <c r="Y356" s="11">
        <f>0.202-X356</f>
        <v>-8.0999999999999961E-2</v>
      </c>
      <c r="Z356" s="11">
        <f>0.29-SUM(X356:Y356)</f>
        <v>8.7999999999999967E-2</v>
      </c>
      <c r="AA356" s="109">
        <f t="shared" si="1527"/>
        <v>-0.54299999999999993</v>
      </c>
      <c r="AB356" s="11">
        <v>4.0000000000000001E-3</v>
      </c>
      <c r="AC356" s="11">
        <f>0.081-AB356</f>
        <v>7.6999999999999999E-2</v>
      </c>
      <c r="AD356" s="11">
        <f>0.012-AC356-AB356</f>
        <v>-6.9000000000000006E-2</v>
      </c>
      <c r="AE356" s="109">
        <f t="shared" si="1528"/>
        <v>0.28899999999999998</v>
      </c>
      <c r="AF356" s="11">
        <v>-0.1</v>
      </c>
      <c r="AG356" s="11">
        <f>-0.217-AF356</f>
        <v>-0.11699999999999999</v>
      </c>
      <c r="AQ356" s="11">
        <v>-1.9E-2</v>
      </c>
      <c r="AR356" s="11">
        <v>0.33800000000000002</v>
      </c>
      <c r="AS356" s="11">
        <v>8.3000000000000004E-2</v>
      </c>
      <c r="AT356" s="11">
        <v>-0.09</v>
      </c>
      <c r="AU356" s="11">
        <v>5.8999999999999997E-2</v>
      </c>
      <c r="AV356" s="11">
        <v>-0.253</v>
      </c>
      <c r="AW356" s="11">
        <v>0.30099999999999999</v>
      </c>
    </row>
    <row r="357" spans="2:49" x14ac:dyDescent="0.2">
      <c r="B357" t="s">
        <v>247</v>
      </c>
      <c r="P357" s="11">
        <v>0</v>
      </c>
      <c r="Q357" s="11">
        <v>0</v>
      </c>
      <c r="R357" s="11">
        <v>0</v>
      </c>
      <c r="S357" s="109">
        <f t="shared" si="1529"/>
        <v>0</v>
      </c>
      <c r="T357" s="11">
        <v>0</v>
      </c>
      <c r="U357" s="11">
        <v>0</v>
      </c>
      <c r="V357" s="11">
        <v>0</v>
      </c>
      <c r="W357" s="109">
        <f t="shared" si="1530"/>
        <v>0</v>
      </c>
      <c r="X357" s="11">
        <v>-0.66100000000000003</v>
      </c>
      <c r="Y357" s="11">
        <f>-1.028-X357</f>
        <v>-0.36699999999999999</v>
      </c>
      <c r="Z357" s="11">
        <f>-0.889-SUM(X357:Y357)</f>
        <v>0.13900000000000001</v>
      </c>
      <c r="AA357" s="109">
        <f t="shared" si="1527"/>
        <v>-0.2629999999999999</v>
      </c>
      <c r="AB357" s="11">
        <v>-0.13400000000000001</v>
      </c>
      <c r="AC357" s="11">
        <f>-0.38-AB357</f>
        <v>-0.246</v>
      </c>
      <c r="AD357" s="11">
        <f>-0.335-AC357-AB357</f>
        <v>4.4999999999999984E-2</v>
      </c>
      <c r="AE357" s="109">
        <f t="shared" si="1528"/>
        <v>-3.2170000000000001</v>
      </c>
      <c r="AF357" s="11">
        <v>0.84399999999999997</v>
      </c>
      <c r="AG357" s="11">
        <f>1.4-AF357</f>
        <v>0.55599999999999994</v>
      </c>
      <c r="AQ357" s="11">
        <v>1.0409999999999999</v>
      </c>
      <c r="AR357" s="11">
        <v>3.3260000000000001</v>
      </c>
      <c r="AS357" s="11">
        <v>0.90300000000000002</v>
      </c>
      <c r="AT357" s="11">
        <v>0</v>
      </c>
      <c r="AU357" s="11">
        <v>0</v>
      </c>
      <c r="AV357" s="11">
        <v>-1.1519999999999999</v>
      </c>
      <c r="AW357" s="11">
        <v>-3.552</v>
      </c>
    </row>
    <row r="358" spans="2:49" x14ac:dyDescent="0.2">
      <c r="B358" t="s">
        <v>175</v>
      </c>
      <c r="P358" s="11">
        <v>0</v>
      </c>
      <c r="Q358" s="11">
        <v>0</v>
      </c>
      <c r="R358" s="11">
        <v>0</v>
      </c>
      <c r="S358" s="109">
        <f t="shared" si="1529"/>
        <v>0</v>
      </c>
      <c r="T358" s="11">
        <v>0</v>
      </c>
      <c r="U358" s="11">
        <v>0</v>
      </c>
      <c r="V358" s="11">
        <v>0</v>
      </c>
      <c r="W358" s="109">
        <f t="shared" si="1530"/>
        <v>0</v>
      </c>
      <c r="X358" s="11">
        <v>0</v>
      </c>
      <c r="Y358" s="11">
        <v>0</v>
      </c>
      <c r="Z358" s="11">
        <v>0</v>
      </c>
      <c r="AA358" s="109">
        <f t="shared" si="1527"/>
        <v>0</v>
      </c>
      <c r="AB358" s="11">
        <v>0</v>
      </c>
      <c r="AC358" s="11">
        <v>0</v>
      </c>
      <c r="AD358" s="11">
        <v>0</v>
      </c>
      <c r="AE358" s="109">
        <f t="shared" si="1528"/>
        <v>0</v>
      </c>
      <c r="AF358" s="11">
        <v>0</v>
      </c>
      <c r="AG358" s="11">
        <v>0</v>
      </c>
      <c r="AQ358" s="11">
        <v>-1.9E-2</v>
      </c>
      <c r="AR358" s="11">
        <v>0.33800000000000002</v>
      </c>
      <c r="AS358" s="11">
        <v>0</v>
      </c>
      <c r="AT358" s="11">
        <v>0</v>
      </c>
      <c r="AU358" s="11">
        <v>0</v>
      </c>
      <c r="AV358" s="11">
        <v>0</v>
      </c>
      <c r="AW358" s="11">
        <v>0</v>
      </c>
    </row>
    <row r="359" spans="2:49" x14ac:dyDescent="0.2">
      <c r="B359" t="s">
        <v>315</v>
      </c>
      <c r="P359" s="11">
        <v>0</v>
      </c>
      <c r="Q359" s="11">
        <v>0</v>
      </c>
      <c r="R359" s="11">
        <v>0</v>
      </c>
      <c r="S359" s="109">
        <f t="shared" ref="S359" si="1540">+AT359-SUM(P359:R359)</f>
        <v>0</v>
      </c>
      <c r="T359" s="11">
        <v>0</v>
      </c>
      <c r="U359" s="11">
        <v>0</v>
      </c>
      <c r="V359" s="11">
        <v>0</v>
      </c>
      <c r="W359" s="109">
        <f t="shared" ref="W359" si="1541">+AU359-SUM(T359:V359)</f>
        <v>0</v>
      </c>
      <c r="X359" s="11">
        <v>0</v>
      </c>
      <c r="Y359" s="11">
        <v>0</v>
      </c>
      <c r="Z359" s="11">
        <v>0</v>
      </c>
      <c r="AA359" s="109">
        <f t="shared" ref="AA359" si="1542">+AV359-SUM(X359:Z359)</f>
        <v>0</v>
      </c>
      <c r="AB359" s="11">
        <v>0</v>
      </c>
      <c r="AC359" s="11">
        <f>0.649-AB359</f>
        <v>0.64900000000000002</v>
      </c>
      <c r="AD359" s="11">
        <f>0.771-AC359-AB359</f>
        <v>0.122</v>
      </c>
      <c r="AE359" s="109">
        <f t="shared" si="1528"/>
        <v>8.6999999999999966E-2</v>
      </c>
      <c r="AF359" s="11">
        <v>0</v>
      </c>
      <c r="AG359" s="11">
        <v>0</v>
      </c>
      <c r="AQ359" s="11">
        <v>0</v>
      </c>
      <c r="AR359" s="11">
        <v>0</v>
      </c>
      <c r="AS359" s="11">
        <v>0</v>
      </c>
      <c r="AT359" s="11">
        <v>0</v>
      </c>
      <c r="AU359" s="11">
        <v>0</v>
      </c>
      <c r="AV359" s="11">
        <v>0</v>
      </c>
      <c r="AW359" s="11">
        <v>0.85799999999999998</v>
      </c>
    </row>
    <row r="360" spans="2:49" x14ac:dyDescent="0.2">
      <c r="B360" t="s">
        <v>129</v>
      </c>
      <c r="P360" s="11"/>
      <c r="Q360" s="11"/>
      <c r="S360" s="109"/>
      <c r="T360" s="11"/>
      <c r="U360" s="11"/>
      <c r="V360" s="11"/>
      <c r="W360" s="109"/>
      <c r="X360" s="11"/>
      <c r="AA360" s="109"/>
      <c r="AB360" s="11"/>
      <c r="AE360" s="109"/>
      <c r="AF360" s="11"/>
      <c r="AG360" s="11"/>
      <c r="AQ360" s="11"/>
      <c r="AR360" s="11"/>
      <c r="AS360" s="11"/>
      <c r="AT360" s="11"/>
    </row>
    <row r="361" spans="2:49" x14ac:dyDescent="0.2">
      <c r="B361" s="12" t="s">
        <v>130</v>
      </c>
      <c r="P361" s="11">
        <v>0.745</v>
      </c>
      <c r="Q361" s="11">
        <f>0.603-P361</f>
        <v>-0.14200000000000002</v>
      </c>
      <c r="R361" s="11">
        <f>0.553-SUM(P361:Q361)</f>
        <v>-4.9999999999999933E-2</v>
      </c>
      <c r="S361" s="109">
        <f t="shared" si="1529"/>
        <v>0.18499999999999994</v>
      </c>
      <c r="T361" s="11">
        <v>-0.98499999999999999</v>
      </c>
      <c r="U361" s="11">
        <f>-1.324-T361</f>
        <v>-0.33900000000000008</v>
      </c>
      <c r="V361" s="11">
        <f>-0.741-SUM(T361:U361)</f>
        <v>0.58300000000000007</v>
      </c>
      <c r="W361" s="109">
        <f t="shared" si="1530"/>
        <v>-5.0000000000000044E-2</v>
      </c>
      <c r="X361" s="11">
        <v>-0.35299999999999998</v>
      </c>
      <c r="Y361" s="11">
        <f>0.109-X361</f>
        <v>0.46199999999999997</v>
      </c>
      <c r="Z361" s="11">
        <f>-0.344-SUM(X361:Y361)</f>
        <v>-0.45299999999999996</v>
      </c>
      <c r="AA361" s="109">
        <f t="shared" ref="AA361:AA370" si="1543">+AV361-SUM(X361:Z361)</f>
        <v>-2.9730000000000003</v>
      </c>
      <c r="AB361" s="11">
        <v>-1.1040000000000001</v>
      </c>
      <c r="AC361" s="11">
        <f>-0.422-AB361</f>
        <v>0.68200000000000016</v>
      </c>
      <c r="AD361" s="11">
        <f>-2.261-SUM(AB361:AC361)</f>
        <v>-1.8390000000000002</v>
      </c>
      <c r="AE361" s="109">
        <f t="shared" ref="AE361:AE370" si="1544">+AW361-SUM(AB361:AD361)</f>
        <v>-1.528</v>
      </c>
      <c r="AF361" s="11">
        <v>0.78200000000000003</v>
      </c>
      <c r="AG361" s="11">
        <f>-0.774-AF361</f>
        <v>-1.556</v>
      </c>
      <c r="AQ361" s="11">
        <v>-1.4999999999999999E-2</v>
      </c>
      <c r="AR361" s="11">
        <v>-0.93100000000000005</v>
      </c>
      <c r="AS361" s="11">
        <v>-0.74399999999999999</v>
      </c>
      <c r="AT361" s="11">
        <v>0.73799999999999999</v>
      </c>
      <c r="AU361" s="11">
        <v>-0.79100000000000004</v>
      </c>
      <c r="AV361" s="11">
        <v>-3.3170000000000002</v>
      </c>
      <c r="AW361" s="11">
        <v>-3.7890000000000001</v>
      </c>
    </row>
    <row r="362" spans="2:49" x14ac:dyDescent="0.2">
      <c r="B362" s="12" t="s">
        <v>131</v>
      </c>
      <c r="P362" s="11">
        <v>-1.704</v>
      </c>
      <c r="Q362" s="11">
        <f>-3.114-P362</f>
        <v>-1.41</v>
      </c>
      <c r="R362" s="11">
        <f>-4.7-SUM(P362:Q362)</f>
        <v>-1.5860000000000003</v>
      </c>
      <c r="S362" s="109">
        <f t="shared" si="1529"/>
        <v>-1.9369999999999994</v>
      </c>
      <c r="T362" s="11">
        <v>-2.42</v>
      </c>
      <c r="U362" s="11">
        <f>-4.789-T362</f>
        <v>-2.3689999999999998</v>
      </c>
      <c r="V362" s="11">
        <f>-6.964-SUM(T362:U362)</f>
        <v>-2.1750000000000007</v>
      </c>
      <c r="W362" s="109">
        <f t="shared" si="1530"/>
        <v>-2.3979999999999997</v>
      </c>
      <c r="X362" s="11">
        <v>-2.8530000000000002</v>
      </c>
      <c r="Y362" s="11">
        <f>-6.033-X362</f>
        <v>-3.18</v>
      </c>
      <c r="Z362" s="11">
        <f>-8.358-SUM(X362:Y362)</f>
        <v>-2.3250000000000002</v>
      </c>
      <c r="AA362" s="109">
        <f t="shared" si="1543"/>
        <v>-1.0939999999999994</v>
      </c>
      <c r="AB362" s="11">
        <v>-2.5870000000000002</v>
      </c>
      <c r="AC362" s="11">
        <f>-5.768-AB362</f>
        <v>-3.1809999999999996</v>
      </c>
      <c r="AD362" s="11">
        <f>-9.835-SUM(AB362:AC362)</f>
        <v>-4.0670000000000011</v>
      </c>
      <c r="AE362" s="109">
        <f t="shared" si="1544"/>
        <v>-4.1469999999999985</v>
      </c>
      <c r="AF362" s="11">
        <v>-3.4550000000000001</v>
      </c>
      <c r="AG362" s="11">
        <f>-6.129-AF362</f>
        <v>-2.6739999999999995</v>
      </c>
      <c r="AQ362" s="11">
        <v>0</v>
      </c>
      <c r="AR362" s="11">
        <v>-2.8639999999999999</v>
      </c>
      <c r="AS362" s="11">
        <v>-4.7679999999999998</v>
      </c>
      <c r="AT362" s="11">
        <v>-6.6369999999999996</v>
      </c>
      <c r="AU362" s="11">
        <v>-9.3620000000000001</v>
      </c>
      <c r="AV362" s="11">
        <v>-9.452</v>
      </c>
      <c r="AW362" s="11">
        <v>-13.981999999999999</v>
      </c>
    </row>
    <row r="363" spans="2:49" x14ac:dyDescent="0.2">
      <c r="B363" s="12" t="s">
        <v>132</v>
      </c>
      <c r="P363" s="11">
        <v>-0.747</v>
      </c>
      <c r="Q363" s="11">
        <f>-0.788-P363</f>
        <v>-4.1000000000000036E-2</v>
      </c>
      <c r="R363" s="11">
        <f>-0.761-SUM(P363:Q363)</f>
        <v>2.7000000000000024E-2</v>
      </c>
      <c r="S363" s="109">
        <f t="shared" si="1529"/>
        <v>0.69100000000000006</v>
      </c>
      <c r="T363" s="11">
        <v>-0.97599999999999998</v>
      </c>
      <c r="U363" s="11">
        <f>-4.53-T363</f>
        <v>-3.5540000000000003</v>
      </c>
      <c r="V363" s="11">
        <f>-3.924-SUM(T363:U363)</f>
        <v>0.60600000000000032</v>
      </c>
      <c r="W363" s="109">
        <f t="shared" si="1530"/>
        <v>1.1400000000000001</v>
      </c>
      <c r="X363" s="11">
        <v>1.24</v>
      </c>
      <c r="Y363" s="11">
        <f>-4.874-X363</f>
        <v>-6.1139999999999999</v>
      </c>
      <c r="Z363" s="11">
        <f>-1.395-SUM(X363:Y363)</f>
        <v>3.4789999999999996</v>
      </c>
      <c r="AA363" s="109">
        <f t="shared" si="1543"/>
        <v>-1.0510000000000002</v>
      </c>
      <c r="AB363" s="11">
        <v>-0.65100000000000002</v>
      </c>
      <c r="AC363" s="11">
        <f>-5.869-AB363</f>
        <v>-5.218</v>
      </c>
      <c r="AD363" s="11">
        <f>-5.411-SUM(AB363:AC363)</f>
        <v>0.45800000000000018</v>
      </c>
      <c r="AE363" s="109">
        <f t="shared" si="1544"/>
        <v>3.0639999999999996</v>
      </c>
      <c r="AF363" s="11">
        <v>-2.2749999999999999</v>
      </c>
      <c r="AG363" s="11">
        <f>-4.017-AF363</f>
        <v>-1.7420000000000004</v>
      </c>
      <c r="AQ363" s="11">
        <v>0.27400000000000002</v>
      </c>
      <c r="AR363" s="11">
        <v>6.8000000000000005E-2</v>
      </c>
      <c r="AS363" s="11">
        <v>-1.47</v>
      </c>
      <c r="AT363" s="11">
        <v>-7.0000000000000007E-2</v>
      </c>
      <c r="AU363" s="11">
        <v>-2.7839999999999998</v>
      </c>
      <c r="AV363" s="11">
        <v>-2.4460000000000002</v>
      </c>
      <c r="AW363" s="11">
        <v>-2.347</v>
      </c>
    </row>
    <row r="364" spans="2:49" x14ac:dyDescent="0.2">
      <c r="B364" s="12" t="s">
        <v>172</v>
      </c>
      <c r="P364" s="11">
        <v>5.8000000000000003E-2</v>
      </c>
      <c r="Q364" s="11">
        <f>0.438-P364</f>
        <v>0.38</v>
      </c>
      <c r="R364" s="11">
        <f>0.273-SUM(P364:Q364)</f>
        <v>-0.16499999999999998</v>
      </c>
      <c r="S364" s="109">
        <f t="shared" si="1529"/>
        <v>1.552</v>
      </c>
      <c r="T364" s="11">
        <v>1.579</v>
      </c>
      <c r="U364" s="11">
        <f>0.72-T364</f>
        <v>-0.85899999999999999</v>
      </c>
      <c r="V364" s="11">
        <f>-3.219-SUM(T364:U364)</f>
        <v>-3.9390000000000001</v>
      </c>
      <c r="W364" s="109">
        <f t="shared" si="1530"/>
        <v>4.7460000000000004</v>
      </c>
      <c r="X364" s="11">
        <v>2.3170000000000002</v>
      </c>
      <c r="Y364" s="11">
        <f>-2.714-X364</f>
        <v>-5.0310000000000006</v>
      </c>
      <c r="Z364" s="11">
        <f>4.824-SUM(X364:Y364)</f>
        <v>7.5380000000000003</v>
      </c>
      <c r="AA364" s="109">
        <f t="shared" si="1543"/>
        <v>1.9690000000000003</v>
      </c>
      <c r="AB364" s="11">
        <v>-4.226</v>
      </c>
      <c r="AC364" s="11">
        <f>-5.184-AB364</f>
        <v>-0.95800000000000018</v>
      </c>
      <c r="AD364" s="11">
        <f>-5.57-SUM(AB364:AC364)</f>
        <v>-0.38600000000000012</v>
      </c>
      <c r="AE364" s="109">
        <f t="shared" si="1544"/>
        <v>-1.8239999999999998</v>
      </c>
      <c r="AF364" s="11">
        <v>1.012</v>
      </c>
      <c r="AG364" s="11">
        <f>1.906-AF364</f>
        <v>0.89399999999999991</v>
      </c>
      <c r="AQ364" s="11">
        <v>0.85599999999999998</v>
      </c>
      <c r="AR364" s="11">
        <v>1.8120000000000001</v>
      </c>
      <c r="AS364" s="11">
        <v>1.5960000000000001</v>
      </c>
      <c r="AT364" s="11">
        <v>1.825</v>
      </c>
      <c r="AU364" s="11">
        <v>1.5269999999999999</v>
      </c>
      <c r="AV364" s="11">
        <v>6.7930000000000001</v>
      </c>
      <c r="AW364" s="11">
        <v>-7.3940000000000001</v>
      </c>
    </row>
    <row r="365" spans="2:49" x14ac:dyDescent="0.2">
      <c r="B365" s="12" t="s">
        <v>134</v>
      </c>
      <c r="P365" s="11">
        <v>1.002</v>
      </c>
      <c r="Q365" s="11">
        <f>2.589-P365</f>
        <v>1.587</v>
      </c>
      <c r="R365" s="11">
        <f>2.304-SUM(P365:Q365)</f>
        <v>-0.28500000000000014</v>
      </c>
      <c r="S365" s="109">
        <f t="shared" si="1529"/>
        <v>0.69400000000000039</v>
      </c>
      <c r="T365" s="11">
        <v>2.42</v>
      </c>
      <c r="U365" s="11">
        <f>4.981-T365</f>
        <v>2.5609999999999999</v>
      </c>
      <c r="V365" s="11">
        <f>14.419-SUM(T365:U365)</f>
        <v>9.4380000000000006</v>
      </c>
      <c r="W365" s="109">
        <f t="shared" si="1530"/>
        <v>-2.8060000000000009</v>
      </c>
      <c r="X365" s="11">
        <v>-0.94</v>
      </c>
      <c r="Y365" s="11">
        <f>4.818-X365</f>
        <v>5.7579999999999991</v>
      </c>
      <c r="Z365" s="11">
        <f>-2.772-SUM(X365:Y365)</f>
        <v>-7.59</v>
      </c>
      <c r="AA365" s="109">
        <f t="shared" si="1543"/>
        <v>1.9240000000000004</v>
      </c>
      <c r="AB365" s="11">
        <v>2.4689999999999999</v>
      </c>
      <c r="AC365" s="11">
        <f>-1.39-AB365</f>
        <v>-3.859</v>
      </c>
      <c r="AD365" s="11">
        <f>0.174-SUM(AB365:AC365)</f>
        <v>1.5640000000000001</v>
      </c>
      <c r="AE365" s="109">
        <f t="shared" si="1544"/>
        <v>1.4530000000000001</v>
      </c>
      <c r="AF365" s="11">
        <v>1.4139999999999999</v>
      </c>
      <c r="AG365" s="11">
        <f>2.917-AF365</f>
        <v>1.5029999999999999</v>
      </c>
      <c r="AQ365" s="11">
        <v>0</v>
      </c>
      <c r="AR365" s="11">
        <v>0</v>
      </c>
      <c r="AS365" s="11">
        <v>4.1070000000000002</v>
      </c>
      <c r="AT365" s="11">
        <v>2.9980000000000002</v>
      </c>
      <c r="AU365" s="11">
        <v>11.613</v>
      </c>
      <c r="AV365" s="11">
        <v>-0.84799999999999998</v>
      </c>
      <c r="AW365" s="11">
        <v>1.627</v>
      </c>
    </row>
    <row r="366" spans="2:49" x14ac:dyDescent="0.2">
      <c r="B366" s="12" t="s">
        <v>190</v>
      </c>
      <c r="P366" s="11">
        <v>0</v>
      </c>
      <c r="Q366" s="11">
        <v>0</v>
      </c>
      <c r="R366" s="11">
        <v>0</v>
      </c>
      <c r="S366" s="109">
        <f t="shared" si="1529"/>
        <v>0</v>
      </c>
      <c r="T366" s="11">
        <v>0</v>
      </c>
      <c r="U366" s="11">
        <v>0</v>
      </c>
      <c r="V366" s="11">
        <v>0</v>
      </c>
      <c r="W366" s="109">
        <f t="shared" ref="W366" si="1545">+AU366-SUM(T366:V366)</f>
        <v>0</v>
      </c>
      <c r="X366" s="11">
        <v>0</v>
      </c>
      <c r="Y366" s="11">
        <v>1.589</v>
      </c>
      <c r="Z366" s="11">
        <f>1.562-SUM(X366:Y366)</f>
        <v>-2.6999999999999913E-2</v>
      </c>
      <c r="AA366" s="109">
        <f t="shared" si="1543"/>
        <v>-1.956</v>
      </c>
      <c r="AB366" s="11">
        <v>4.0000000000000001E-3</v>
      </c>
      <c r="AC366" s="11">
        <f>0-AB366</f>
        <v>-4.0000000000000001E-3</v>
      </c>
      <c r="AD366" s="11">
        <f>0-SUM(AB366:AC366)</f>
        <v>0</v>
      </c>
      <c r="AE366" s="109">
        <f t="shared" si="1544"/>
        <v>-0.23799999999999999</v>
      </c>
      <c r="AF366" s="11">
        <v>-0.39</v>
      </c>
      <c r="AG366" s="11">
        <f>0.36-AF366</f>
        <v>0.75</v>
      </c>
      <c r="AQ366" s="11">
        <v>0</v>
      </c>
      <c r="AR366" s="11">
        <v>0</v>
      </c>
      <c r="AS366" s="11">
        <v>0</v>
      </c>
      <c r="AT366" s="11">
        <v>0</v>
      </c>
      <c r="AU366" s="11">
        <v>0</v>
      </c>
      <c r="AV366" s="11">
        <v>-0.39400000000000002</v>
      </c>
      <c r="AW366" s="11">
        <v>-0.23799999999999999</v>
      </c>
    </row>
    <row r="367" spans="2:49" x14ac:dyDescent="0.2">
      <c r="B367" s="12" t="s">
        <v>267</v>
      </c>
      <c r="P367" s="11">
        <v>0</v>
      </c>
      <c r="Q367" s="11">
        <v>0</v>
      </c>
      <c r="R367" s="11">
        <f>0.497-SUM(P367:Q367)</f>
        <v>0.497</v>
      </c>
      <c r="S367" s="109">
        <f t="shared" ref="S367" si="1546">+AT367-SUM(P367:R367)</f>
        <v>-0.497</v>
      </c>
      <c r="T367" s="11">
        <v>0</v>
      </c>
      <c r="U367" s="11">
        <v>0</v>
      </c>
      <c r="V367" s="11">
        <v>0</v>
      </c>
      <c r="W367" s="109">
        <f t="shared" ref="W367" si="1547">+AU367-SUM(T367:V367)</f>
        <v>0</v>
      </c>
      <c r="X367" s="11">
        <v>0.51</v>
      </c>
      <c r="Y367" s="11">
        <f>-0.038-X367</f>
        <v>-0.54800000000000004</v>
      </c>
      <c r="Z367" s="11">
        <f>-0.038-SUM(X367:Y367)</f>
        <v>0</v>
      </c>
      <c r="AA367" s="109">
        <f t="shared" si="1543"/>
        <v>0.13200000000000003</v>
      </c>
      <c r="AB367" s="11">
        <v>0</v>
      </c>
      <c r="AC367" s="11">
        <f>0-AB367</f>
        <v>0</v>
      </c>
      <c r="AD367" s="11">
        <f>0-AC367</f>
        <v>0</v>
      </c>
      <c r="AE367" s="109">
        <f t="shared" si="1544"/>
        <v>0</v>
      </c>
      <c r="AF367" s="11">
        <v>0</v>
      </c>
      <c r="AG367" s="11">
        <v>0</v>
      </c>
      <c r="AQ367" s="11">
        <v>0</v>
      </c>
      <c r="AR367" s="11">
        <v>0</v>
      </c>
      <c r="AS367" s="11">
        <v>0</v>
      </c>
      <c r="AT367" s="11">
        <v>0</v>
      </c>
      <c r="AU367" s="11">
        <v>0</v>
      </c>
      <c r="AV367" s="11">
        <v>9.4E-2</v>
      </c>
      <c r="AW367" s="11">
        <v>0</v>
      </c>
    </row>
    <row r="368" spans="2:49" x14ac:dyDescent="0.2">
      <c r="B368" s="12" t="s">
        <v>300</v>
      </c>
      <c r="P368" s="11">
        <v>0</v>
      </c>
      <c r="Q368" s="11">
        <v>0</v>
      </c>
      <c r="R368" s="11">
        <v>0</v>
      </c>
      <c r="S368" s="109">
        <f t="shared" ref="S368" si="1548">+AT368-SUM(P368:R368)</f>
        <v>0</v>
      </c>
      <c r="T368" s="11">
        <v>0</v>
      </c>
      <c r="U368" s="11">
        <v>0</v>
      </c>
      <c r="V368" s="11">
        <v>0</v>
      </c>
      <c r="W368" s="109">
        <f t="shared" ref="W368" si="1549">+AU368-SUM(T368:V368)</f>
        <v>0</v>
      </c>
      <c r="X368" s="11">
        <v>0</v>
      </c>
      <c r="Y368" s="11">
        <v>0</v>
      </c>
      <c r="Z368" s="11">
        <v>0</v>
      </c>
      <c r="AA368" s="109">
        <f t="shared" si="1543"/>
        <v>-4.1070000000000002</v>
      </c>
      <c r="AB368" s="11">
        <v>-1.0089999999999999</v>
      </c>
      <c r="AC368" s="11">
        <f>-1.8-AB368</f>
        <v>-0.79100000000000015</v>
      </c>
      <c r="AD368" s="11">
        <f>-2.786-SUM(AB368:AC368)</f>
        <v>-0.98599999999999999</v>
      </c>
      <c r="AE368" s="109">
        <f t="shared" si="1544"/>
        <v>-1.1269999999999998</v>
      </c>
      <c r="AF368" s="11">
        <v>-1.121</v>
      </c>
      <c r="AG368" s="11">
        <f>-2.147-AF368</f>
        <v>-1.0259999999999998</v>
      </c>
      <c r="AQ368" s="11">
        <v>0</v>
      </c>
      <c r="AR368" s="11">
        <v>0</v>
      </c>
      <c r="AS368" s="11">
        <v>0</v>
      </c>
      <c r="AT368" s="11">
        <v>0</v>
      </c>
      <c r="AU368" s="11">
        <v>0</v>
      </c>
      <c r="AV368" s="11">
        <v>-4.1070000000000002</v>
      </c>
      <c r="AW368" s="11">
        <v>-3.9129999999999998</v>
      </c>
    </row>
    <row r="369" spans="1:49" ht="13.5" x14ac:dyDescent="0.35">
      <c r="B369" s="12" t="s">
        <v>135</v>
      </c>
      <c r="P369" s="17">
        <v>1.6539999999999999</v>
      </c>
      <c r="Q369" s="17">
        <f>2.233-P369</f>
        <v>0.57900000000000018</v>
      </c>
      <c r="R369" s="17">
        <f>3.825-SUM(P369:Q369)</f>
        <v>1.5920000000000001</v>
      </c>
      <c r="S369" s="29">
        <f t="shared" si="1529"/>
        <v>3.0889999999999995</v>
      </c>
      <c r="T369" s="17">
        <v>5.5990000000000002</v>
      </c>
      <c r="U369" s="17">
        <f>8.229-T369</f>
        <v>2.629999999999999</v>
      </c>
      <c r="V369" s="17">
        <f>9.634-SUM(T369:U369)</f>
        <v>1.4050000000000011</v>
      </c>
      <c r="W369" s="29">
        <f t="shared" si="1530"/>
        <v>4.173</v>
      </c>
      <c r="X369" s="17">
        <v>6.5839999999999996</v>
      </c>
      <c r="Y369" s="17">
        <f>7.24-X369</f>
        <v>0.65600000000000058</v>
      </c>
      <c r="Z369" s="17">
        <f>6.299-SUM(X369:Y369)</f>
        <v>-0.94099999999999984</v>
      </c>
      <c r="AA369" s="29">
        <f t="shared" si="1543"/>
        <v>2.8339999999999987</v>
      </c>
      <c r="AB369" s="17">
        <v>7.0049999999999999</v>
      </c>
      <c r="AC369" s="17">
        <f>6.958-AB369</f>
        <v>-4.6999999999999709E-2</v>
      </c>
      <c r="AD369" s="17">
        <f>6.198-SUM(AB369:AC369)</f>
        <v>-0.75999999999999979</v>
      </c>
      <c r="AE369" s="29">
        <f t="shared" si="1544"/>
        <v>2.5570000000000004</v>
      </c>
      <c r="AF369" s="17">
        <v>5.6580000000000004</v>
      </c>
      <c r="AG369" s="17">
        <f>7.353-AF369</f>
        <v>1.6949999999999994</v>
      </c>
      <c r="AQ369" s="17">
        <v>3.669</v>
      </c>
      <c r="AR369" s="17">
        <v>4.3620000000000001</v>
      </c>
      <c r="AS369" s="17">
        <v>7.6459999999999999</v>
      </c>
      <c r="AT369" s="17">
        <v>6.9139999999999997</v>
      </c>
      <c r="AU369" s="17">
        <v>13.807</v>
      </c>
      <c r="AV369" s="17">
        <v>9.1329999999999991</v>
      </c>
      <c r="AW369" s="17">
        <v>8.7550000000000008</v>
      </c>
    </row>
    <row r="370" spans="1:49" s="3" customFormat="1" x14ac:dyDescent="0.2">
      <c r="A370" s="2"/>
      <c r="B370" s="134" t="s">
        <v>136</v>
      </c>
      <c r="P370" s="23">
        <f>+SUM(P344:P369)</f>
        <v>0.56099999999999972</v>
      </c>
      <c r="Q370" s="23">
        <f>+SUM(Q344:Q369)</f>
        <v>0.40000000000000013</v>
      </c>
      <c r="R370" s="23">
        <f>+SUM(R344:R369)</f>
        <v>0.81299999999999961</v>
      </c>
      <c r="S370" s="98">
        <f t="shared" si="1529"/>
        <v>4.0780000000000012</v>
      </c>
      <c r="T370" s="23">
        <f>+SUM(T344:T369)</f>
        <v>9.0070000000000014</v>
      </c>
      <c r="U370" s="23">
        <f>+SUM(U344:U369)</f>
        <v>0.94799999999999862</v>
      </c>
      <c r="V370" s="23">
        <f>+SUM(V344:V369)</f>
        <v>8.7950000000000017</v>
      </c>
      <c r="W370" s="98">
        <f t="shared" si="1530"/>
        <v>5.0109999999999992</v>
      </c>
      <c r="X370" s="23">
        <f>+SUM(X344:X369)</f>
        <v>8.0259999999999998</v>
      </c>
      <c r="Y370" s="23">
        <f>+SUM(Y344:Y369)</f>
        <v>-7.4370000000000012</v>
      </c>
      <c r="Z370" s="23">
        <f>+SUM(Z344:Z369)</f>
        <v>-0.58299999999999996</v>
      </c>
      <c r="AA370" s="98">
        <f t="shared" si="1543"/>
        <v>-9.6300000000000079</v>
      </c>
      <c r="AB370" s="23">
        <f>+SUM(AB344:AB369)</f>
        <v>-4.1770000000000023</v>
      </c>
      <c r="AC370" s="23">
        <f>+SUM(AC344:AC369)</f>
        <v>-5.7459999999999996</v>
      </c>
      <c r="AD370" s="23">
        <f>+SUM(AD344:AD369)</f>
        <v>6.355999999999999</v>
      </c>
      <c r="AE370" s="98">
        <f t="shared" si="1544"/>
        <v>11.553000000000003</v>
      </c>
      <c r="AF370" s="23">
        <f>+SUM(AF344:AF369)</f>
        <v>14.779</v>
      </c>
      <c r="AG370" s="23">
        <f>+SUM(AG344:AG369)</f>
        <v>12.050999999999998</v>
      </c>
      <c r="AQ370" s="23">
        <f t="shared" ref="AQ370:AV370" si="1550">+SUM(AQ344:AQ369)</f>
        <v>2.5440000000000018</v>
      </c>
      <c r="AR370" s="23">
        <f t="shared" si="1550"/>
        <v>-1.8380000000000019</v>
      </c>
      <c r="AS370" s="23">
        <f t="shared" si="1550"/>
        <v>1.8750000000000018</v>
      </c>
      <c r="AT370" s="23">
        <f t="shared" si="1550"/>
        <v>5.8520000000000012</v>
      </c>
      <c r="AU370" s="23">
        <f t="shared" si="1550"/>
        <v>23.760999999999999</v>
      </c>
      <c r="AV370" s="23">
        <f t="shared" si="1550"/>
        <v>-9.6240000000000094</v>
      </c>
      <c r="AW370" s="23">
        <f t="shared" ref="AW370" si="1551">+SUM(AW344:AW369)</f>
        <v>7.9859999999999998</v>
      </c>
    </row>
    <row r="372" spans="1:49" x14ac:dyDescent="0.2">
      <c r="B372" t="s">
        <v>137</v>
      </c>
      <c r="P372" s="11">
        <v>-1.0840000000000001</v>
      </c>
      <c r="Q372" s="11">
        <f>-1.792-P372</f>
        <v>-0.70799999999999996</v>
      </c>
      <c r="R372" s="11">
        <f>-1.911-SUM(P372:Q372)</f>
        <v>-0.11899999999999999</v>
      </c>
      <c r="S372" s="109">
        <f t="shared" si="1529"/>
        <v>-0.45599999999999996</v>
      </c>
      <c r="T372" s="11">
        <v>-0.16600000000000001</v>
      </c>
      <c r="U372" s="11">
        <f>-0.75-T372</f>
        <v>-0.58399999999999996</v>
      </c>
      <c r="V372" s="11">
        <f>-1.558-SUM(T372:U372)</f>
        <v>-0.80800000000000005</v>
      </c>
      <c r="W372" s="109">
        <f t="shared" si="1530"/>
        <v>-0.82199999999999984</v>
      </c>
      <c r="X372" s="11">
        <v>-0.37</v>
      </c>
      <c r="Y372" s="11">
        <f>-2.798-X372</f>
        <v>-2.4279999999999999</v>
      </c>
      <c r="Z372" s="11">
        <f>-4.016-SUM(X372:Y372)</f>
        <v>-1.218</v>
      </c>
      <c r="AA372" s="109">
        <f t="shared" ref="AA372:AA379" si="1552">+AV372-SUM(X372:Z372)</f>
        <v>-0.21799999999999997</v>
      </c>
      <c r="AB372" s="11">
        <v>-0.26800000000000002</v>
      </c>
      <c r="AC372" s="11">
        <f>-0.957-AB372</f>
        <v>-0.68899999999999995</v>
      </c>
      <c r="AD372" s="11">
        <f>-1.065-AC372-AB372</f>
        <v>-0.10799999999999998</v>
      </c>
      <c r="AE372" s="109">
        <f t="shared" ref="AE372:AE379" si="1553">+AW372-SUM(AB372:AD372)</f>
        <v>-1.4210000000000003</v>
      </c>
      <c r="AF372" s="11">
        <v>-0.75900000000000001</v>
      </c>
      <c r="AG372" s="11">
        <f>-2.906-AF372</f>
        <v>-2.1470000000000002</v>
      </c>
      <c r="AQ372" s="11">
        <v>-1.2270000000000001</v>
      </c>
      <c r="AR372" s="11">
        <v>-0.73499999999999999</v>
      </c>
      <c r="AS372" s="11">
        <v>-1.0009999999999999</v>
      </c>
      <c r="AT372" s="11">
        <v>-2.367</v>
      </c>
      <c r="AU372" s="11">
        <v>-2.38</v>
      </c>
      <c r="AV372" s="11">
        <v>-4.234</v>
      </c>
      <c r="AW372" s="11">
        <v>-2.4860000000000002</v>
      </c>
    </row>
    <row r="373" spans="1:49" x14ac:dyDescent="0.2">
      <c r="B373" t="s">
        <v>301</v>
      </c>
      <c r="P373" s="11">
        <v>0</v>
      </c>
      <c r="Q373" s="11">
        <v>0</v>
      </c>
      <c r="R373" s="11">
        <v>0</v>
      </c>
      <c r="S373" s="109">
        <f t="shared" ref="S373" si="1554">+AT373-SUM(P373:R373)</f>
        <v>0</v>
      </c>
      <c r="T373" s="11">
        <v>0</v>
      </c>
      <c r="U373" s="11">
        <v>0</v>
      </c>
      <c r="V373" s="11">
        <v>0</v>
      </c>
      <c r="W373" s="109">
        <f t="shared" ref="W373" si="1555">+AU373-SUM(T373:V373)</f>
        <v>0</v>
      </c>
      <c r="X373" s="11">
        <v>0</v>
      </c>
      <c r="Y373" s="11">
        <v>0</v>
      </c>
      <c r="Z373" s="11">
        <v>0</v>
      </c>
      <c r="AA373" s="109">
        <f t="shared" si="1552"/>
        <v>-157.899</v>
      </c>
      <c r="AB373" s="11">
        <v>-103.751</v>
      </c>
      <c r="AC373" s="11">
        <f>-172.687-AB373</f>
        <v>-68.936000000000007</v>
      </c>
      <c r="AD373" s="11">
        <f>-182.381-SUM(AB373:AC373)</f>
        <v>-9.6939999999999884</v>
      </c>
      <c r="AE373" s="109">
        <f t="shared" si="1553"/>
        <v>-75.135000000000019</v>
      </c>
      <c r="AF373" s="11">
        <v>-46.706000000000003</v>
      </c>
      <c r="AG373" s="11">
        <f>-83.605-AF373</f>
        <v>-36.899000000000001</v>
      </c>
      <c r="AQ373" s="11">
        <v>0</v>
      </c>
      <c r="AR373" s="11">
        <v>0</v>
      </c>
      <c r="AS373" s="11">
        <v>0</v>
      </c>
      <c r="AT373" s="11">
        <v>0</v>
      </c>
      <c r="AU373" s="11">
        <v>0</v>
      </c>
      <c r="AV373" s="11">
        <v>-157.899</v>
      </c>
      <c r="AW373" s="11">
        <v>-257.51600000000002</v>
      </c>
    </row>
    <row r="374" spans="1:49" x14ac:dyDescent="0.2">
      <c r="B374" t="s">
        <v>316</v>
      </c>
      <c r="P374" s="11">
        <v>0</v>
      </c>
      <c r="Q374" s="11">
        <v>0</v>
      </c>
      <c r="R374" s="11">
        <v>0</v>
      </c>
      <c r="S374" s="109">
        <f t="shared" ref="S374" si="1556">+AT374-SUM(P374:R374)</f>
        <v>0</v>
      </c>
      <c r="T374" s="11">
        <v>0</v>
      </c>
      <c r="U374" s="11">
        <v>0</v>
      </c>
      <c r="V374" s="11">
        <v>0</v>
      </c>
      <c r="W374" s="109">
        <f t="shared" ref="W374" si="1557">+AU374-SUM(T374:V374)</f>
        <v>0</v>
      </c>
      <c r="X374" s="11">
        <v>0</v>
      </c>
      <c r="Y374" s="11">
        <v>0</v>
      </c>
      <c r="Z374" s="11">
        <v>0</v>
      </c>
      <c r="AA374" s="109">
        <f t="shared" ref="AA374" si="1558">+AV374-SUM(X374:Z374)</f>
        <v>0</v>
      </c>
      <c r="AB374" s="11">
        <v>87.741</v>
      </c>
      <c r="AC374" s="11">
        <f>132.741-AB374</f>
        <v>45.000000000000014</v>
      </c>
      <c r="AD374" s="11">
        <f>154.741-SUM(AB374:AC374)</f>
        <v>22</v>
      </c>
      <c r="AE374" s="109">
        <f t="shared" si="1553"/>
        <v>86.899999999999977</v>
      </c>
      <c r="AF374" s="11">
        <v>25</v>
      </c>
      <c r="AG374" s="11">
        <f>102.5-AF374</f>
        <v>77.5</v>
      </c>
      <c r="AQ374" s="11">
        <v>0</v>
      </c>
      <c r="AR374" s="11">
        <v>0</v>
      </c>
      <c r="AS374" s="11">
        <v>0</v>
      </c>
      <c r="AT374" s="11">
        <v>0</v>
      </c>
      <c r="AU374" s="11">
        <v>0</v>
      </c>
      <c r="AV374" s="11">
        <v>0</v>
      </c>
      <c r="AW374" s="11">
        <v>241.64099999999999</v>
      </c>
    </row>
    <row r="375" spans="1:49" x14ac:dyDescent="0.2">
      <c r="B375" t="s">
        <v>184</v>
      </c>
      <c r="P375" s="11">
        <v>0</v>
      </c>
      <c r="Q375" s="11">
        <v>0</v>
      </c>
      <c r="R375" s="11">
        <v>0</v>
      </c>
      <c r="S375" s="109">
        <f t="shared" si="1529"/>
        <v>0</v>
      </c>
      <c r="T375" s="11">
        <v>-0.5</v>
      </c>
      <c r="U375" s="11">
        <f>-0.5-T375</f>
        <v>0</v>
      </c>
      <c r="V375" s="11">
        <f>-0.5-SUM(T375:U375)</f>
        <v>0</v>
      </c>
      <c r="W375" s="109">
        <f t="shared" si="1530"/>
        <v>0</v>
      </c>
      <c r="X375" s="11">
        <v>-2</v>
      </c>
      <c r="Y375" s="11">
        <f>-2-X375</f>
        <v>0</v>
      </c>
      <c r="Z375" s="11">
        <f>-2-SUM(X375:Y375)</f>
        <v>0</v>
      </c>
      <c r="AA375" s="109">
        <f t="shared" si="1552"/>
        <v>0</v>
      </c>
      <c r="AB375" s="11">
        <v>-0.32300000000000001</v>
      </c>
      <c r="AC375" s="11">
        <f>-0.323-AB375</f>
        <v>0</v>
      </c>
      <c r="AD375" s="11">
        <f>-0.319-SUM(AB375:AC375)</f>
        <v>4.0000000000000036E-3</v>
      </c>
      <c r="AE375" s="109">
        <f t="shared" si="1553"/>
        <v>-7.0000000000000062E-3</v>
      </c>
      <c r="AF375" s="11">
        <v>0</v>
      </c>
      <c r="AG375" s="11">
        <v>0</v>
      </c>
      <c r="AQ375" s="11">
        <v>0</v>
      </c>
      <c r="AR375" s="11">
        <v>0</v>
      </c>
      <c r="AS375" s="11">
        <v>0</v>
      </c>
      <c r="AT375" s="11">
        <v>0</v>
      </c>
      <c r="AU375" s="11">
        <v>-0.5</v>
      </c>
      <c r="AV375" s="11">
        <v>-2</v>
      </c>
      <c r="AW375" s="11">
        <v>-0.32600000000000001</v>
      </c>
    </row>
    <row r="376" spans="1:49" x14ac:dyDescent="0.2">
      <c r="B376" t="s">
        <v>138</v>
      </c>
      <c r="P376" s="11">
        <v>-0.29699999999999999</v>
      </c>
      <c r="Q376" s="11">
        <f>-0.7-P376</f>
        <v>-0.40299999999999997</v>
      </c>
      <c r="R376" s="11">
        <f>-0.992-SUM(P376:Q376)</f>
        <v>-0.29200000000000004</v>
      </c>
      <c r="S376" s="109">
        <f t="shared" si="1529"/>
        <v>-4.0000000000000036E-2</v>
      </c>
      <c r="T376" s="11">
        <v>-0.123</v>
      </c>
      <c r="U376" s="11">
        <f>-0.271-T376</f>
        <v>-0.14800000000000002</v>
      </c>
      <c r="V376" s="11">
        <f>-0.433-SUM(T376:U376)</f>
        <v>-0.16199999999999998</v>
      </c>
      <c r="W376" s="109">
        <f t="shared" si="1530"/>
        <v>-0.97</v>
      </c>
      <c r="X376" s="11">
        <v>-0.28599999999999998</v>
      </c>
      <c r="Y376" s="11">
        <f>-0.782-X376</f>
        <v>-0.49600000000000005</v>
      </c>
      <c r="Z376" s="11">
        <f>-1.273-SUM(X376:Y376)</f>
        <v>-0.49099999999999988</v>
      </c>
      <c r="AA376" s="109">
        <f t="shared" si="1552"/>
        <v>-0.43300000000000005</v>
      </c>
      <c r="AB376" s="11">
        <v>-1.056</v>
      </c>
      <c r="AC376" s="11">
        <f>-2.63-AB376</f>
        <v>-1.5739999999999998</v>
      </c>
      <c r="AD376" s="11">
        <f>-3.913-AC376-AB376</f>
        <v>-1.2829999999999999</v>
      </c>
      <c r="AE376" s="109">
        <f t="shared" si="1553"/>
        <v>-1.2520000000000002</v>
      </c>
      <c r="AF376" s="11">
        <v>-2.0150000000000001</v>
      </c>
      <c r="AG376" s="11">
        <f>-4.369-AF376</f>
        <v>-2.3539999999999996</v>
      </c>
      <c r="AQ376" s="11">
        <v>-0.14799999999999999</v>
      </c>
      <c r="AR376" s="11">
        <v>-0.316</v>
      </c>
      <c r="AS376" s="11">
        <v>-0.16200000000000001</v>
      </c>
      <c r="AT376" s="11">
        <v>-1.032</v>
      </c>
      <c r="AU376" s="11">
        <v>-1.403</v>
      </c>
      <c r="AV376" s="11">
        <v>-1.706</v>
      </c>
      <c r="AW376" s="11">
        <v>-5.165</v>
      </c>
    </row>
    <row r="377" spans="1:49" x14ac:dyDescent="0.2">
      <c r="B377" t="s">
        <v>331</v>
      </c>
      <c r="P377" s="11">
        <v>0</v>
      </c>
      <c r="Q377" s="11">
        <v>0</v>
      </c>
      <c r="R377" s="11">
        <v>0</v>
      </c>
      <c r="S377" s="109">
        <f t="shared" ref="S377" si="1559">+AT377-SUM(P377:R377)</f>
        <v>0</v>
      </c>
      <c r="T377" s="11">
        <v>0</v>
      </c>
      <c r="U377" s="11">
        <v>0</v>
      </c>
      <c r="V377" s="11">
        <v>0</v>
      </c>
      <c r="W377" s="109">
        <f t="shared" ref="W377" si="1560">+AU377-SUM(T377:V377)</f>
        <v>0</v>
      </c>
      <c r="X377" s="11">
        <v>0</v>
      </c>
      <c r="Y377" s="11">
        <v>0</v>
      </c>
      <c r="Z377" s="11">
        <v>0</v>
      </c>
      <c r="AA377" s="109">
        <f t="shared" ref="AA377" si="1561">+AV377-SUM(X377:Z377)</f>
        <v>0</v>
      </c>
      <c r="AB377" s="11">
        <v>0</v>
      </c>
      <c r="AC377" s="11">
        <v>-0.15</v>
      </c>
      <c r="AD377" s="11">
        <f>-0.15-SUM(AB377:AC377)</f>
        <v>0</v>
      </c>
      <c r="AE377" s="109">
        <f t="shared" si="1553"/>
        <v>0</v>
      </c>
      <c r="AF377" s="11">
        <v>-7</v>
      </c>
      <c r="AG377" s="11">
        <f>-0.65-0.131-AF377-7</f>
        <v>-0.78099999999999969</v>
      </c>
      <c r="AQ377" s="11">
        <v>0</v>
      </c>
      <c r="AR377" s="11">
        <v>0</v>
      </c>
      <c r="AS377" s="11">
        <v>0</v>
      </c>
      <c r="AT377" s="11">
        <v>0</v>
      </c>
      <c r="AU377" s="11">
        <v>0</v>
      </c>
      <c r="AV377" s="11">
        <v>0</v>
      </c>
      <c r="AW377" s="11">
        <v>-0.15</v>
      </c>
    </row>
    <row r="378" spans="1:49" ht="13.5" x14ac:dyDescent="0.35">
      <c r="B378" t="s">
        <v>139</v>
      </c>
      <c r="P378" s="17">
        <v>0</v>
      </c>
      <c r="Q378" s="17">
        <v>0</v>
      </c>
      <c r="R378" s="17">
        <f>-3.181-SUM(P378:Q378)</f>
        <v>-3.181</v>
      </c>
      <c r="S378" s="29">
        <f t="shared" si="1529"/>
        <v>0.496</v>
      </c>
      <c r="T378" s="17">
        <v>-0.35</v>
      </c>
      <c r="U378" s="17">
        <f>-0.35-T378</f>
        <v>0</v>
      </c>
      <c r="V378" s="17">
        <f>-0.35-SUM(T378:U378)</f>
        <v>0</v>
      </c>
      <c r="W378" s="29">
        <f t="shared" si="1530"/>
        <v>0</v>
      </c>
      <c r="X378" s="17">
        <v>-14</v>
      </c>
      <c r="Y378" s="17">
        <f>-13.993-X378</f>
        <v>6.9999999999996732E-3</v>
      </c>
      <c r="Z378" s="17">
        <f>-13.993-SUM(X378:Y378)</f>
        <v>0</v>
      </c>
      <c r="AA378" s="29">
        <f t="shared" si="1552"/>
        <v>0</v>
      </c>
      <c r="AB378" s="17">
        <v>-1.0820000000000001</v>
      </c>
      <c r="AC378" s="17">
        <f>-1.082-AB378</f>
        <v>0</v>
      </c>
      <c r="AD378" s="17">
        <f>-1.232-SUM(AB378:AC378)</f>
        <v>-0.14999999999999991</v>
      </c>
      <c r="AE378" s="29">
        <f t="shared" si="1553"/>
        <v>-3.8339999999999996</v>
      </c>
      <c r="AF378" s="17">
        <v>-0.501</v>
      </c>
      <c r="AG378" s="17">
        <f>-10.026-AF378</f>
        <v>-9.5250000000000004</v>
      </c>
      <c r="AQ378" s="17">
        <v>0</v>
      </c>
      <c r="AR378" s="17">
        <v>0</v>
      </c>
      <c r="AS378" s="17">
        <v>0</v>
      </c>
      <c r="AT378" s="17">
        <v>-2.6850000000000001</v>
      </c>
      <c r="AU378" s="17">
        <v>-0.35</v>
      </c>
      <c r="AV378" s="17">
        <v>-13.993</v>
      </c>
      <c r="AW378" s="17">
        <v>-5.0659999999999998</v>
      </c>
    </row>
    <row r="379" spans="1:49" s="3" customFormat="1" x14ac:dyDescent="0.2">
      <c r="A379" s="2"/>
      <c r="B379" s="24" t="s">
        <v>140</v>
      </c>
      <c r="P379" s="23">
        <f>SUM(P372:P378)</f>
        <v>-1.381</v>
      </c>
      <c r="Q379" s="23">
        <f>SUM(Q372:Q378)</f>
        <v>-1.111</v>
      </c>
      <c r="R379" s="23">
        <f>SUM(R372:R378)</f>
        <v>-3.5920000000000001</v>
      </c>
      <c r="S379" s="98">
        <f t="shared" si="1529"/>
        <v>0</v>
      </c>
      <c r="T379" s="23">
        <f>SUM(T372:T378)</f>
        <v>-1.139</v>
      </c>
      <c r="U379" s="23">
        <f>SUM(U372:U378)</f>
        <v>-0.73199999999999998</v>
      </c>
      <c r="V379" s="23">
        <f>SUM(V372:V378)</f>
        <v>-0.97</v>
      </c>
      <c r="W379" s="98">
        <f t="shared" si="1530"/>
        <v>-1.7919999999999989</v>
      </c>
      <c r="X379" s="23">
        <f>SUM(X372:X378)</f>
        <v>-16.655999999999999</v>
      </c>
      <c r="Y379" s="23">
        <f>SUM(Y372:Y378)</f>
        <v>-2.9170000000000003</v>
      </c>
      <c r="Z379" s="23">
        <f>SUM(Z372:Z378)</f>
        <v>-1.7089999999999999</v>
      </c>
      <c r="AA379" s="98">
        <f t="shared" si="1552"/>
        <v>-158.54999999999998</v>
      </c>
      <c r="AB379" s="23">
        <f>SUM(AB372:AB378)</f>
        <v>-18.739000000000008</v>
      </c>
      <c r="AC379" s="23">
        <f>SUM(AC372:AC378)</f>
        <v>-26.348999999999982</v>
      </c>
      <c r="AD379" s="23">
        <f>SUM(AD372:AD378)</f>
        <v>10.769000000000011</v>
      </c>
      <c r="AE379" s="98">
        <f t="shared" si="1553"/>
        <v>5.2509999999999657</v>
      </c>
      <c r="AF379" s="23">
        <f>SUM(AF372:AF378)</f>
        <v>-31.981000000000005</v>
      </c>
      <c r="AG379" s="23">
        <f>SUM(AG372:AG378)</f>
        <v>25.794000000000004</v>
      </c>
      <c r="AQ379" s="23">
        <f t="shared" ref="AQ379:AV379" si="1562">SUM(AQ372:AQ378)</f>
        <v>-1.375</v>
      </c>
      <c r="AR379" s="23">
        <f t="shared" si="1562"/>
        <v>-1.0509999999999999</v>
      </c>
      <c r="AS379" s="23">
        <f t="shared" si="1562"/>
        <v>-1.1629999999999998</v>
      </c>
      <c r="AT379" s="23">
        <f t="shared" si="1562"/>
        <v>-6.0839999999999996</v>
      </c>
      <c r="AU379" s="23">
        <f t="shared" si="1562"/>
        <v>-4.6329999999999991</v>
      </c>
      <c r="AV379" s="23">
        <f t="shared" si="1562"/>
        <v>-179.83199999999999</v>
      </c>
      <c r="AW379" s="23">
        <f t="shared" ref="AW379" si="1563">SUM(AW372:AW378)</f>
        <v>-29.068000000000016</v>
      </c>
    </row>
    <row r="381" spans="1:49" x14ac:dyDescent="0.2">
      <c r="B381" t="s">
        <v>141</v>
      </c>
      <c r="P381" s="11">
        <v>0</v>
      </c>
      <c r="Q381" s="11">
        <v>0</v>
      </c>
      <c r="R381" s="11">
        <f>0.245-SUM(P381:Q381)</f>
        <v>0.245</v>
      </c>
      <c r="S381" s="109">
        <f t="shared" si="1529"/>
        <v>7.0000000000000062E-3</v>
      </c>
      <c r="T381" s="11">
        <v>7.0000000000000001E-3</v>
      </c>
      <c r="U381" s="11">
        <f>0.026-T381</f>
        <v>1.9E-2</v>
      </c>
      <c r="V381" s="11">
        <f>0.604-SUM(T381:U381)</f>
        <v>0.57799999999999996</v>
      </c>
      <c r="W381" s="109">
        <f t="shared" si="1530"/>
        <v>0.72299999999999998</v>
      </c>
      <c r="X381" s="11">
        <v>0.92400000000000004</v>
      </c>
      <c r="Y381" s="11">
        <f>1.194-X381</f>
        <v>0.26999999999999991</v>
      </c>
      <c r="Z381" s="11">
        <f>1.539-SUM(X381:Y381)</f>
        <v>0.34499999999999997</v>
      </c>
      <c r="AA381" s="109">
        <f t="shared" ref="AA381:AA389" si="1564">+AV381-SUM(X381:Z381)</f>
        <v>-0.55799999999999994</v>
      </c>
      <c r="AB381" s="11">
        <v>6.7000000000000004E-2</v>
      </c>
      <c r="AC381" s="11">
        <f>0.302-AB381</f>
        <v>0.23499999999999999</v>
      </c>
      <c r="AD381" s="11">
        <f>0.746-SUM(AB381:AC381)</f>
        <v>0.44400000000000001</v>
      </c>
      <c r="AE381" s="109">
        <f t="shared" ref="AE381:AE389" si="1565">+AW381-SUM(AB381:AD381)</f>
        <v>1.4940000000000002</v>
      </c>
      <c r="AF381" s="11">
        <v>0.84399999999999997</v>
      </c>
      <c r="AG381" s="11">
        <f>3.053-AF381</f>
        <v>2.2090000000000001</v>
      </c>
      <c r="AQ381" s="11">
        <v>0</v>
      </c>
      <c r="AR381" s="11">
        <v>0</v>
      </c>
      <c r="AS381" s="11">
        <v>9.7000000000000003E-2</v>
      </c>
      <c r="AT381" s="11">
        <v>0.252</v>
      </c>
      <c r="AU381" s="11">
        <v>1.327</v>
      </c>
      <c r="AV381" s="11">
        <v>0.98099999999999998</v>
      </c>
      <c r="AW381" s="11">
        <v>2.2400000000000002</v>
      </c>
    </row>
    <row r="382" spans="1:49" x14ac:dyDescent="0.2">
      <c r="B382" t="s">
        <v>185</v>
      </c>
      <c r="P382" s="11">
        <v>0</v>
      </c>
      <c r="Q382" s="11">
        <v>0</v>
      </c>
      <c r="R382" s="11">
        <v>0</v>
      </c>
      <c r="S382" s="109">
        <f t="shared" si="1529"/>
        <v>0</v>
      </c>
      <c r="T382" s="11">
        <v>128.46100000000001</v>
      </c>
      <c r="U382" s="11">
        <f>137.467-T382</f>
        <v>9.0060000000000002</v>
      </c>
      <c r="V382" s="11">
        <f>137.467-SUM(T382:U382)</f>
        <v>0</v>
      </c>
      <c r="W382" s="109">
        <f t="shared" si="1530"/>
        <v>77.902999999999992</v>
      </c>
      <c r="X382" s="11">
        <v>0</v>
      </c>
      <c r="Y382" s="11">
        <v>0</v>
      </c>
      <c r="Z382" s="11">
        <v>0</v>
      </c>
      <c r="AA382" s="109">
        <f t="shared" si="1564"/>
        <v>0</v>
      </c>
      <c r="AB382" s="11">
        <v>0</v>
      </c>
      <c r="AC382" s="11">
        <v>0</v>
      </c>
      <c r="AD382" s="11">
        <v>0</v>
      </c>
      <c r="AE382" s="109">
        <f t="shared" si="1565"/>
        <v>0</v>
      </c>
      <c r="AF382" s="11">
        <v>0</v>
      </c>
      <c r="AG382" s="11">
        <v>0</v>
      </c>
      <c r="AQ382" s="11">
        <v>0</v>
      </c>
      <c r="AR382" s="11">
        <v>0</v>
      </c>
      <c r="AS382" s="11">
        <v>0</v>
      </c>
      <c r="AT382" s="11">
        <v>0</v>
      </c>
      <c r="AU382" s="11">
        <v>215.37</v>
      </c>
      <c r="AV382" s="11">
        <v>0</v>
      </c>
      <c r="AW382" s="11">
        <v>0</v>
      </c>
    </row>
    <row r="383" spans="1:49" x14ac:dyDescent="0.2">
      <c r="B383" t="s">
        <v>189</v>
      </c>
      <c r="P383" s="11">
        <v>0</v>
      </c>
      <c r="Q383" s="11">
        <v>0</v>
      </c>
      <c r="R383" s="11">
        <v>0</v>
      </c>
      <c r="S383" s="109">
        <f t="shared" si="1529"/>
        <v>0</v>
      </c>
      <c r="T383" s="11">
        <v>0</v>
      </c>
      <c r="U383" s="11">
        <f>-0.453-T383</f>
        <v>-0.45300000000000001</v>
      </c>
      <c r="V383" s="11">
        <f>-0.913-SUM(T383:U383)</f>
        <v>-0.46</v>
      </c>
      <c r="W383" s="109">
        <f t="shared" si="1530"/>
        <v>-0.45999999999999996</v>
      </c>
      <c r="X383" s="11">
        <v>-0.93700000000000006</v>
      </c>
      <c r="Y383" s="11">
        <f>-1.445-X383</f>
        <v>-0.50800000000000001</v>
      </c>
      <c r="Z383" s="11">
        <f>-1.967-SUM(X383:Y383)</f>
        <v>-0.52200000000000002</v>
      </c>
      <c r="AA383" s="109">
        <f t="shared" si="1564"/>
        <v>-0.11699999999999999</v>
      </c>
      <c r="AB383" s="11">
        <v>-0.78200000000000003</v>
      </c>
      <c r="AC383" s="11">
        <f>-1.209-AB383</f>
        <v>-0.42700000000000005</v>
      </c>
      <c r="AD383" s="11">
        <f>-1.938-SUM(AB383:AC383)</f>
        <v>-0.72899999999999987</v>
      </c>
      <c r="AE383" s="109">
        <f t="shared" si="1565"/>
        <v>-0.58500000000000019</v>
      </c>
      <c r="AF383" s="11">
        <v>-0.41</v>
      </c>
      <c r="AG383" s="11">
        <f>-0.493-AF383</f>
        <v>-8.3000000000000018E-2</v>
      </c>
      <c r="AQ383" s="11">
        <v>0</v>
      </c>
      <c r="AR383" s="11">
        <v>0</v>
      </c>
      <c r="AS383" s="11">
        <v>0</v>
      </c>
      <c r="AT383" s="11">
        <v>0</v>
      </c>
      <c r="AU383" s="11">
        <v>-1.373</v>
      </c>
      <c r="AV383" s="11">
        <v>-2.0840000000000001</v>
      </c>
      <c r="AW383" s="11">
        <v>-2.5230000000000001</v>
      </c>
    </row>
    <row r="384" spans="1:49" x14ac:dyDescent="0.2">
      <c r="B384" t="s">
        <v>173</v>
      </c>
      <c r="P384" s="11">
        <v>0</v>
      </c>
      <c r="Q384" s="11">
        <v>0</v>
      </c>
      <c r="R384" s="11">
        <v>0</v>
      </c>
      <c r="S384" s="109">
        <f t="shared" si="1529"/>
        <v>0</v>
      </c>
      <c r="T384" s="11">
        <v>0</v>
      </c>
      <c r="U384" s="11">
        <v>0</v>
      </c>
      <c r="V384" s="11">
        <v>0</v>
      </c>
      <c r="W384" s="109">
        <f t="shared" si="1530"/>
        <v>0</v>
      </c>
      <c r="X384" s="11">
        <v>0</v>
      </c>
      <c r="Y384" s="11">
        <v>0</v>
      </c>
      <c r="Z384" s="11">
        <v>0</v>
      </c>
      <c r="AA384" s="109">
        <f t="shared" si="1564"/>
        <v>0</v>
      </c>
      <c r="AB384" s="11">
        <v>0</v>
      </c>
      <c r="AC384" s="11">
        <v>0</v>
      </c>
      <c r="AD384" s="11">
        <v>0</v>
      </c>
      <c r="AE384" s="109">
        <f t="shared" si="1565"/>
        <v>0</v>
      </c>
      <c r="AF384" s="11">
        <v>0</v>
      </c>
      <c r="AG384" s="11">
        <v>0</v>
      </c>
      <c r="AQ384" s="11">
        <v>7.7889999999999997</v>
      </c>
      <c r="AR384" s="11">
        <v>24</v>
      </c>
      <c r="AS384" s="11">
        <v>0</v>
      </c>
      <c r="AT384" s="11">
        <v>0</v>
      </c>
      <c r="AU384" s="11">
        <v>0</v>
      </c>
      <c r="AV384" s="11">
        <v>0</v>
      </c>
      <c r="AW384" s="11">
        <v>0</v>
      </c>
    </row>
    <row r="385" spans="1:49" x14ac:dyDescent="0.2">
      <c r="B385" t="s">
        <v>142</v>
      </c>
      <c r="P385" s="11">
        <v>0</v>
      </c>
      <c r="Q385" s="11">
        <v>0</v>
      </c>
      <c r="R385" s="11">
        <v>0</v>
      </c>
      <c r="S385" s="109">
        <f t="shared" si="1529"/>
        <v>0</v>
      </c>
      <c r="T385" s="11">
        <v>0</v>
      </c>
      <c r="U385" s="11">
        <v>0</v>
      </c>
      <c r="V385" s="11">
        <v>0</v>
      </c>
      <c r="W385" s="109">
        <f t="shared" si="1530"/>
        <v>0</v>
      </c>
      <c r="X385" s="11">
        <v>0</v>
      </c>
      <c r="Y385" s="11">
        <v>0</v>
      </c>
      <c r="Z385" s="11">
        <v>0</v>
      </c>
      <c r="AA385" s="109">
        <f t="shared" si="1564"/>
        <v>0</v>
      </c>
      <c r="AB385" s="11">
        <v>0</v>
      </c>
      <c r="AC385" s="11">
        <v>0</v>
      </c>
      <c r="AD385" s="11">
        <v>0</v>
      </c>
      <c r="AE385" s="109">
        <f t="shared" si="1565"/>
        <v>0</v>
      </c>
      <c r="AF385" s="11">
        <v>0</v>
      </c>
      <c r="AG385" s="11">
        <v>0</v>
      </c>
      <c r="AQ385" s="11">
        <v>0</v>
      </c>
      <c r="AR385" s="11">
        <v>0</v>
      </c>
      <c r="AS385" s="11">
        <v>5</v>
      </c>
      <c r="AT385" s="11">
        <v>0</v>
      </c>
      <c r="AU385" s="11">
        <v>0</v>
      </c>
      <c r="AV385" s="11">
        <v>0</v>
      </c>
      <c r="AW385" s="11">
        <v>0</v>
      </c>
    </row>
    <row r="386" spans="1:49" x14ac:dyDescent="0.2">
      <c r="B386" t="s">
        <v>268</v>
      </c>
      <c r="P386" s="11">
        <v>0</v>
      </c>
      <c r="Q386" s="11">
        <v>0</v>
      </c>
      <c r="R386" s="11">
        <v>0</v>
      </c>
      <c r="S386" s="109">
        <f t="shared" ref="S386" si="1566">+AT386-SUM(P386:R386)</f>
        <v>0</v>
      </c>
      <c r="T386" s="11">
        <v>0</v>
      </c>
      <c r="U386" s="11">
        <v>0</v>
      </c>
      <c r="V386" s="11">
        <v>0</v>
      </c>
      <c r="W386" s="109">
        <f t="shared" ref="W386" si="1567">+AU386-SUM(T386:V386)</f>
        <v>0</v>
      </c>
      <c r="X386" s="11">
        <v>0</v>
      </c>
      <c r="Y386" s="11">
        <v>0</v>
      </c>
      <c r="Z386" s="11">
        <f>0.257-SUM(X386:Y386)</f>
        <v>0.25700000000000001</v>
      </c>
      <c r="AA386" s="109">
        <f t="shared" si="1564"/>
        <v>0.501</v>
      </c>
      <c r="AB386" s="11">
        <v>0.26400000000000001</v>
      </c>
      <c r="AC386" s="11">
        <f>0.264-AB386</f>
        <v>0</v>
      </c>
      <c r="AD386" s="11">
        <f>0.264-SUM(AB386:AC386)</f>
        <v>0</v>
      </c>
      <c r="AE386" s="109">
        <f t="shared" si="1565"/>
        <v>0</v>
      </c>
      <c r="AF386" s="11">
        <v>0</v>
      </c>
      <c r="AG386" s="11">
        <v>0</v>
      </c>
      <c r="AQ386" s="11">
        <v>0</v>
      </c>
      <c r="AR386" s="11">
        <v>0</v>
      </c>
      <c r="AS386" s="11">
        <v>0</v>
      </c>
      <c r="AT386" s="11">
        <v>0</v>
      </c>
      <c r="AU386" s="11">
        <v>0</v>
      </c>
      <c r="AV386" s="11">
        <v>0.75800000000000001</v>
      </c>
      <c r="AW386" s="11">
        <v>0.26400000000000001</v>
      </c>
    </row>
    <row r="387" spans="1:49" x14ac:dyDescent="0.2">
      <c r="B387" t="s">
        <v>143</v>
      </c>
      <c r="P387" s="11">
        <v>0</v>
      </c>
      <c r="Q387" s="11">
        <v>0</v>
      </c>
      <c r="R387" s="11">
        <v>0</v>
      </c>
      <c r="S387" s="109">
        <f t="shared" si="1529"/>
        <v>-0.32400000000000001</v>
      </c>
      <c r="T387" s="11">
        <v>0</v>
      </c>
      <c r="U387" s="11">
        <v>0</v>
      </c>
      <c r="V387" s="11">
        <v>0</v>
      </c>
      <c r="W387" s="109">
        <f t="shared" si="1530"/>
        <v>0</v>
      </c>
      <c r="X387" s="11">
        <v>0</v>
      </c>
      <c r="Y387" s="11">
        <v>0</v>
      </c>
      <c r="Z387" s="11">
        <v>0</v>
      </c>
      <c r="AA387" s="109">
        <f t="shared" si="1564"/>
        <v>0</v>
      </c>
      <c r="AB387" s="11">
        <v>0</v>
      </c>
      <c r="AC387" s="11">
        <v>0</v>
      </c>
      <c r="AD387" s="11">
        <v>0</v>
      </c>
      <c r="AE387" s="109">
        <f t="shared" si="1565"/>
        <v>0</v>
      </c>
      <c r="AF387" s="11">
        <v>0</v>
      </c>
      <c r="AG387" s="11">
        <v>0</v>
      </c>
      <c r="AQ387" s="11">
        <v>0</v>
      </c>
      <c r="AR387" s="11">
        <v>0</v>
      </c>
      <c r="AS387" s="11">
        <v>0</v>
      </c>
      <c r="AT387" s="11">
        <v>-0.32400000000000001</v>
      </c>
      <c r="AU387" s="11">
        <v>0</v>
      </c>
      <c r="AV387" s="11">
        <v>0</v>
      </c>
      <c r="AW387" s="11">
        <v>0</v>
      </c>
    </row>
    <row r="388" spans="1:49" ht="13.5" x14ac:dyDescent="0.35">
      <c r="B388" t="s">
        <v>144</v>
      </c>
      <c r="P388" s="17">
        <v>-1.6E-2</v>
      </c>
      <c r="Q388" s="17">
        <f>-0.038-P388</f>
        <v>-2.1999999999999999E-2</v>
      </c>
      <c r="R388" s="17">
        <f>-0.658-SUM(P388:Q388)</f>
        <v>-0.62</v>
      </c>
      <c r="S388" s="29">
        <f t="shared" si="1529"/>
        <v>-0.94200000000000006</v>
      </c>
      <c r="T388" s="17">
        <v>0</v>
      </c>
      <c r="U388" s="17">
        <v>0</v>
      </c>
      <c r="V388" s="17">
        <v>0</v>
      </c>
      <c r="W388" s="29">
        <f t="shared" si="1530"/>
        <v>0</v>
      </c>
      <c r="X388" s="17">
        <v>0</v>
      </c>
      <c r="Y388" s="17">
        <v>0</v>
      </c>
      <c r="Z388" s="17">
        <v>0</v>
      </c>
      <c r="AA388" s="29">
        <f t="shared" si="1564"/>
        <v>0</v>
      </c>
      <c r="AB388" s="17">
        <v>0</v>
      </c>
      <c r="AC388" s="17">
        <v>0</v>
      </c>
      <c r="AD388" s="17">
        <v>0</v>
      </c>
      <c r="AE388" s="29">
        <f t="shared" si="1565"/>
        <v>0</v>
      </c>
      <c r="AF388" s="17">
        <v>0</v>
      </c>
      <c r="AG388" s="17">
        <v>0</v>
      </c>
      <c r="AQ388" s="17">
        <v>0</v>
      </c>
      <c r="AR388" s="17">
        <v>0</v>
      </c>
      <c r="AS388" s="17">
        <v>0</v>
      </c>
      <c r="AT388" s="17">
        <v>-1.6</v>
      </c>
      <c r="AU388" s="17">
        <v>0</v>
      </c>
      <c r="AV388" s="17">
        <v>0</v>
      </c>
      <c r="AW388" s="17">
        <v>0</v>
      </c>
    </row>
    <row r="389" spans="1:49" s="3" customFormat="1" x14ac:dyDescent="0.2">
      <c r="A389" s="2"/>
      <c r="B389" s="24" t="s">
        <v>145</v>
      </c>
      <c r="P389" s="23">
        <f>SUM(P381:P388)</f>
        <v>-1.6E-2</v>
      </c>
      <c r="Q389" s="23">
        <f>SUM(Q381:Q388)</f>
        <v>-2.1999999999999999E-2</v>
      </c>
      <c r="R389" s="23">
        <f>SUM(R381:R388)</f>
        <v>-0.375</v>
      </c>
      <c r="S389" s="98">
        <f t="shared" si="1529"/>
        <v>-1.2590000000000001</v>
      </c>
      <c r="T389" s="23">
        <f>SUM(T381:T388)</f>
        <v>128.46800000000002</v>
      </c>
      <c r="U389" s="23">
        <f>SUM(U381:U388)</f>
        <v>8.572000000000001</v>
      </c>
      <c r="V389" s="23">
        <f>SUM(V381:V388)</f>
        <v>0.11799999999999994</v>
      </c>
      <c r="W389" s="98">
        <f t="shared" si="1530"/>
        <v>78.165999999999997</v>
      </c>
      <c r="X389" s="23">
        <f>SUM(X381:X388)</f>
        <v>-1.3000000000000012E-2</v>
      </c>
      <c r="Y389" s="23">
        <f>SUM(Y381:Y388)</f>
        <v>-0.2380000000000001</v>
      </c>
      <c r="Z389" s="23">
        <f>SUM(Z381:Z388)</f>
        <v>7.999999999999996E-2</v>
      </c>
      <c r="AA389" s="98">
        <f t="shared" si="1564"/>
        <v>-0.17400000000000004</v>
      </c>
      <c r="AB389" s="23">
        <f>SUM(AB381:AB388)</f>
        <v>-0.45100000000000007</v>
      </c>
      <c r="AC389" s="23">
        <f>SUM(AC381:AC388)</f>
        <v>-0.19200000000000006</v>
      </c>
      <c r="AD389" s="23">
        <f>SUM(AD381:AD388)</f>
        <v>-0.28499999999999986</v>
      </c>
      <c r="AE389" s="98">
        <f t="shared" si="1565"/>
        <v>0.90900000000000003</v>
      </c>
      <c r="AF389" s="23">
        <f>SUM(AF381:AF388)</f>
        <v>0.434</v>
      </c>
      <c r="AG389" s="23">
        <f>SUM(AG381:AG388)</f>
        <v>2.1259999999999999</v>
      </c>
      <c r="AQ389" s="23">
        <f t="shared" ref="AQ389:AV389" si="1568">SUM(AQ381:AQ388)</f>
        <v>7.7889999999999997</v>
      </c>
      <c r="AR389" s="23">
        <f t="shared" si="1568"/>
        <v>24</v>
      </c>
      <c r="AS389" s="23">
        <f t="shared" si="1568"/>
        <v>5.0970000000000004</v>
      </c>
      <c r="AT389" s="23">
        <f t="shared" si="1568"/>
        <v>-1.6720000000000002</v>
      </c>
      <c r="AU389" s="23">
        <f t="shared" si="1568"/>
        <v>215.32400000000001</v>
      </c>
      <c r="AV389" s="23">
        <f t="shared" si="1568"/>
        <v>-0.3450000000000002</v>
      </c>
      <c r="AW389" s="23">
        <f t="shared" ref="AW389" si="1569">SUM(AW381:AW388)</f>
        <v>-1.8999999999999906E-2</v>
      </c>
    </row>
    <row r="390" spans="1:49" x14ac:dyDescent="0.2">
      <c r="B390" s="12"/>
    </row>
    <row r="391" spans="1:49" x14ac:dyDescent="0.2">
      <c r="B391" t="s">
        <v>174</v>
      </c>
      <c r="P391" s="11">
        <v>0</v>
      </c>
      <c r="Q391" s="11">
        <v>0</v>
      </c>
      <c r="R391" s="11">
        <v>0</v>
      </c>
      <c r="S391" s="109">
        <f t="shared" si="1529"/>
        <v>0</v>
      </c>
      <c r="T391" s="11">
        <v>0</v>
      </c>
      <c r="U391" s="11">
        <v>0</v>
      </c>
      <c r="V391" s="11">
        <v>0</v>
      </c>
      <c r="W391" s="109">
        <f t="shared" si="1530"/>
        <v>-0.23</v>
      </c>
      <c r="X391" s="11">
        <v>-1.2589999999999999</v>
      </c>
      <c r="Y391" s="11">
        <f>-1.513-X391</f>
        <v>-0.254</v>
      </c>
      <c r="Z391" s="11">
        <f>-1.664-SUM(X391:Y391)</f>
        <v>-0.15100000000000002</v>
      </c>
      <c r="AA391" s="109">
        <f>+AV391-SUM(X391:Z391)</f>
        <v>1.3889999999999998</v>
      </c>
      <c r="AB391" s="11">
        <v>7.2999999999999995E-2</v>
      </c>
      <c r="AC391" s="11">
        <f>-0.039-AB391</f>
        <v>-0.11199999999999999</v>
      </c>
      <c r="AD391" s="11">
        <f>0.238-SUM(AB391:AC391)</f>
        <v>0.27699999999999997</v>
      </c>
      <c r="AE391" s="109">
        <f>+AW391-SUM(AB391:AD391)</f>
        <v>-5.3999999999999992E-2</v>
      </c>
      <c r="AF391" s="11">
        <v>-0.50700000000000001</v>
      </c>
      <c r="AG391" s="11">
        <f>-0.614-AF391</f>
        <v>-0.10699999999999998</v>
      </c>
      <c r="AQ391" s="11">
        <v>-2.5999999999999999E-2</v>
      </c>
      <c r="AR391" s="11">
        <v>0.109</v>
      </c>
      <c r="AS391" s="11">
        <v>0</v>
      </c>
      <c r="AT391" s="11">
        <v>0</v>
      </c>
      <c r="AU391" s="11">
        <v>-0.23</v>
      </c>
      <c r="AV391" s="11">
        <v>-0.27500000000000002</v>
      </c>
      <c r="AW391" s="11">
        <v>0.184</v>
      </c>
    </row>
    <row r="392" spans="1:49" x14ac:dyDescent="0.2">
      <c r="B392" s="12"/>
    </row>
    <row r="393" spans="1:49" s="3" customFormat="1" x14ac:dyDescent="0.2">
      <c r="A393" s="2"/>
      <c r="B393" s="3" t="s">
        <v>146</v>
      </c>
      <c r="P393" s="23">
        <f t="shared" ref="P393:R393" si="1570">+P370+P379+P389+P391</f>
        <v>-0.8360000000000003</v>
      </c>
      <c r="Q393" s="23">
        <f t="shared" si="1570"/>
        <v>-0.73299999999999987</v>
      </c>
      <c r="R393" s="23">
        <f t="shared" si="1570"/>
        <v>-3.1540000000000004</v>
      </c>
      <c r="S393" s="98">
        <f t="shared" si="1529"/>
        <v>2.8190000000000022</v>
      </c>
      <c r="T393" s="23">
        <f t="shared" ref="T393:V393" si="1571">+T370+T379+T389+T391</f>
        <v>136.33600000000001</v>
      </c>
      <c r="U393" s="23">
        <f t="shared" si="1571"/>
        <v>8.7880000000000003</v>
      </c>
      <c r="V393" s="23">
        <f t="shared" si="1571"/>
        <v>7.9430000000000023</v>
      </c>
      <c r="W393" s="98">
        <f t="shared" si="1530"/>
        <v>81.154999999999973</v>
      </c>
      <c r="X393" s="23">
        <f t="shared" ref="X393:AB393" si="1572">+X370+X379+X389+X391</f>
        <v>-9.9019999999999992</v>
      </c>
      <c r="Y393" s="23">
        <f t="shared" si="1572"/>
        <v>-10.846</v>
      </c>
      <c r="Z393" s="23">
        <f t="shared" si="1572"/>
        <v>-2.3629999999999995</v>
      </c>
      <c r="AA393" s="98">
        <f>+AV393-SUM(X393:Z393)</f>
        <v>-166.96500000000003</v>
      </c>
      <c r="AB393" s="98">
        <f t="shared" si="1572"/>
        <v>-23.294000000000011</v>
      </c>
      <c r="AC393" s="98">
        <f t="shared" ref="AC393:AD393" si="1573">+AC370+AC379+AC389+AC391</f>
        <v>-32.398999999999987</v>
      </c>
      <c r="AD393" s="98">
        <f t="shared" si="1573"/>
        <v>17.117000000000012</v>
      </c>
      <c r="AE393" s="98">
        <f>+AW393-SUM(AB393:AD393)</f>
        <v>17.658999999999974</v>
      </c>
      <c r="AF393" s="98">
        <f t="shared" ref="AF393:AG393" si="1574">+AF370+AF379+AF389+AF391</f>
        <v>-17.275000000000006</v>
      </c>
      <c r="AG393" s="98">
        <f t="shared" si="1574"/>
        <v>39.863999999999997</v>
      </c>
      <c r="AQ393" s="23">
        <f>+AQ370+AQ379+AQ389+AQ391</f>
        <v>8.9320000000000022</v>
      </c>
      <c r="AR393" s="23">
        <f>+AR370+AR379+AR389+AR391</f>
        <v>21.22</v>
      </c>
      <c r="AS393" s="23">
        <f t="shared" ref="AS393:AU393" si="1575">+AS370+AS379+AS389+AS391</f>
        <v>5.8090000000000028</v>
      </c>
      <c r="AT393" s="23">
        <f t="shared" si="1575"/>
        <v>-1.9039999999999986</v>
      </c>
      <c r="AU393" s="23">
        <f t="shared" si="1575"/>
        <v>234.22200000000001</v>
      </c>
      <c r="AV393" s="23">
        <f t="shared" ref="AV393:AW393" si="1576">+AV370+AV379+AV389+AV391</f>
        <v>-190.07600000000002</v>
      </c>
      <c r="AW393" s="23">
        <f t="shared" si="1576"/>
        <v>-20.917000000000012</v>
      </c>
    </row>
    <row r="394" spans="1:49" s="3" customFormat="1" x14ac:dyDescent="0.2">
      <c r="A394" s="2"/>
      <c r="AQ394" s="23"/>
      <c r="AR394" s="23"/>
      <c r="AS394" s="23"/>
      <c r="AT394" s="23"/>
    </row>
    <row r="395" spans="1:49" s="3" customFormat="1" x14ac:dyDescent="0.2">
      <c r="A395" s="2"/>
      <c r="AQ395" s="23"/>
      <c r="AR395" s="23"/>
      <c r="AS395" s="23"/>
      <c r="AT395" s="23"/>
    </row>
    <row r="396" spans="1:49" s="5" customFormat="1" x14ac:dyDescent="0.2">
      <c r="A396" s="4"/>
      <c r="B396" s="5" t="s">
        <v>177</v>
      </c>
      <c r="AQ396" s="143"/>
      <c r="AR396" s="143"/>
      <c r="AS396" s="143"/>
      <c r="AT396" s="143"/>
    </row>
    <row r="397" spans="1:49" s="3" customFormat="1" x14ac:dyDescent="0.2">
      <c r="A397" s="2"/>
      <c r="B397" s="122" t="s">
        <v>178</v>
      </c>
      <c r="AQ397" s="23"/>
      <c r="AR397" s="23"/>
      <c r="AS397" s="23"/>
      <c r="AT397" s="23"/>
    </row>
    <row r="398" spans="1:49" x14ac:dyDescent="0.2">
      <c r="AS398" s="10"/>
      <c r="AT398" s="10"/>
    </row>
    <row r="399" spans="1:49" x14ac:dyDescent="0.2">
      <c r="B399" s="9" t="s">
        <v>147</v>
      </c>
      <c r="C399" s="8"/>
      <c r="AS399" s="10"/>
      <c r="AT399" s="10"/>
    </row>
    <row r="400" spans="1:49" x14ac:dyDescent="0.2">
      <c r="AS400" s="10"/>
      <c r="AT400" s="10"/>
    </row>
    <row r="401" spans="1:49" x14ac:dyDescent="0.2">
      <c r="B401" s="3" t="s">
        <v>148</v>
      </c>
      <c r="AS401" s="10"/>
      <c r="AT401" s="10"/>
    </row>
    <row r="402" spans="1:49" x14ac:dyDescent="0.2">
      <c r="B402" t="s">
        <v>149</v>
      </c>
      <c r="AS402" s="10"/>
      <c r="AT402" s="11"/>
    </row>
    <row r="403" spans="1:49" x14ac:dyDescent="0.2">
      <c r="B403" s="12" t="s">
        <v>150</v>
      </c>
      <c r="T403" s="11">
        <v>171.86699999999999</v>
      </c>
      <c r="U403" s="11">
        <v>180.75899999999999</v>
      </c>
      <c r="V403" s="11">
        <v>188.51</v>
      </c>
      <c r="W403" s="11">
        <v>269.66500000000002</v>
      </c>
      <c r="X403" s="11">
        <v>259.82400000000001</v>
      </c>
      <c r="Y403" s="11">
        <v>248.917</v>
      </c>
      <c r="Z403" s="11">
        <v>246.554</v>
      </c>
      <c r="AA403" s="11">
        <v>79.765000000000001</v>
      </c>
      <c r="AB403" s="11">
        <v>56.889000000000003</v>
      </c>
      <c r="AC403" s="11">
        <v>24.071999999999999</v>
      </c>
      <c r="AD403" s="11">
        <v>41.189</v>
      </c>
      <c r="AE403" s="11">
        <v>58.847999999999999</v>
      </c>
      <c r="AF403" s="11">
        <v>41.387999999999998</v>
      </c>
      <c r="AG403" s="11">
        <v>69.626000000000005</v>
      </c>
      <c r="AQ403" s="11">
        <v>10.55</v>
      </c>
      <c r="AR403" s="11">
        <v>31.713999999999999</v>
      </c>
      <c r="AS403" s="11">
        <v>37.435000000000002</v>
      </c>
      <c r="AT403" s="11">
        <v>35.530999999999999</v>
      </c>
      <c r="AU403" s="11">
        <v>269.66500000000002</v>
      </c>
      <c r="AV403" s="11">
        <v>79.765000000000001</v>
      </c>
      <c r="AW403" s="109">
        <f>+AE403</f>
        <v>58.847999999999999</v>
      </c>
    </row>
    <row r="404" spans="1:49" x14ac:dyDescent="0.2">
      <c r="B404" s="12" t="s">
        <v>302</v>
      </c>
      <c r="T404" s="11">
        <v>0</v>
      </c>
      <c r="U404" s="11">
        <v>0</v>
      </c>
      <c r="V404" s="11">
        <v>0</v>
      </c>
      <c r="W404" s="11">
        <v>0</v>
      </c>
      <c r="X404" s="11">
        <v>0</v>
      </c>
      <c r="Y404" s="11">
        <v>0</v>
      </c>
      <c r="Z404" s="11">
        <v>0</v>
      </c>
      <c r="AA404" s="11">
        <v>157.774</v>
      </c>
      <c r="AB404" s="11">
        <v>175.416</v>
      </c>
      <c r="AC404" s="11">
        <v>199.678</v>
      </c>
      <c r="AD404" s="11">
        <v>188.88200000000001</v>
      </c>
      <c r="AE404" s="11">
        <v>179.721</v>
      </c>
      <c r="AF404" s="11">
        <v>201.756</v>
      </c>
      <c r="AG404" s="11">
        <v>161.90600000000001</v>
      </c>
      <c r="AQ404" s="11">
        <v>0</v>
      </c>
      <c r="AR404" s="11">
        <v>0</v>
      </c>
      <c r="AS404" s="11">
        <v>0</v>
      </c>
      <c r="AT404" s="11">
        <v>0</v>
      </c>
      <c r="AU404" s="11">
        <v>269.66500000000002</v>
      </c>
      <c r="AV404" s="11">
        <v>157.774</v>
      </c>
      <c r="AW404" s="109">
        <f t="shared" ref="AW404:AW440" si="1577">+AE404</f>
        <v>179.721</v>
      </c>
    </row>
    <row r="405" spans="1:49" x14ac:dyDescent="0.2">
      <c r="B405" s="12" t="s">
        <v>130</v>
      </c>
      <c r="T405" s="11">
        <v>2.383</v>
      </c>
      <c r="U405" s="11">
        <v>2.722</v>
      </c>
      <c r="V405" s="11">
        <v>2.1389999999999998</v>
      </c>
      <c r="W405" s="11">
        <v>2.19</v>
      </c>
      <c r="X405" s="11">
        <v>2.83</v>
      </c>
      <c r="Y405" s="11">
        <v>2.3460000000000001</v>
      </c>
      <c r="Z405" s="11">
        <v>2.762</v>
      </c>
      <c r="AA405" s="11">
        <v>3.5590000000000002</v>
      </c>
      <c r="AB405" s="11">
        <v>3.8580000000000001</v>
      </c>
      <c r="AC405" s="11">
        <v>4.2859999999999996</v>
      </c>
      <c r="AD405" s="11">
        <v>5.82</v>
      </c>
      <c r="AE405" s="11">
        <v>7.8970000000000002</v>
      </c>
      <c r="AF405" s="11">
        <v>7.1150000000000002</v>
      </c>
      <c r="AG405" s="11">
        <v>9.06</v>
      </c>
      <c r="AQ405" s="11">
        <v>0.79200000000000004</v>
      </c>
      <c r="AR405" s="11">
        <v>0.79200000000000004</v>
      </c>
      <c r="AS405" s="11">
        <v>1.944</v>
      </c>
      <c r="AT405" s="11">
        <v>1.399</v>
      </c>
      <c r="AU405" s="11">
        <v>2.19</v>
      </c>
      <c r="AV405" s="11">
        <v>3.5590000000000002</v>
      </c>
      <c r="AW405" s="109">
        <f t="shared" si="1577"/>
        <v>7.8970000000000002</v>
      </c>
    </row>
    <row r="406" spans="1:49" x14ac:dyDescent="0.2">
      <c r="B406" s="12" t="s">
        <v>151</v>
      </c>
      <c r="T406" s="11">
        <v>4.8170000000000002</v>
      </c>
      <c r="U406" s="11">
        <v>5.4180000000000001</v>
      </c>
      <c r="V406" s="11">
        <v>5.9039999999999999</v>
      </c>
      <c r="W406" s="11">
        <v>6.3380000000000001</v>
      </c>
      <c r="X406" s="11">
        <v>6.8860000000000001</v>
      </c>
      <c r="Y406" s="11">
        <v>7.2759999999999998</v>
      </c>
      <c r="Z406" s="11">
        <v>7.3620000000000001</v>
      </c>
      <c r="AA406" s="11">
        <v>6.9740000000000002</v>
      </c>
      <c r="AB406" s="11">
        <v>7.0590000000000002</v>
      </c>
      <c r="AC406" s="11">
        <v>7.4039999999999999</v>
      </c>
      <c r="AD406" s="11">
        <v>8.1920000000000002</v>
      </c>
      <c r="AE406" s="11">
        <v>9.0739999999999998</v>
      </c>
      <c r="AF406" s="11">
        <v>9.6129999999999995</v>
      </c>
      <c r="AG406" s="11">
        <v>9.7379999999999995</v>
      </c>
      <c r="AQ406" s="11">
        <v>0</v>
      </c>
      <c r="AR406" s="11">
        <v>1.526</v>
      </c>
      <c r="AS406" s="11">
        <v>2.9609999999999999</v>
      </c>
      <c r="AT406" s="11">
        <v>4.0490000000000004</v>
      </c>
      <c r="AU406" s="11">
        <v>6.3380000000000001</v>
      </c>
      <c r="AV406" s="11">
        <v>6.9740000000000002</v>
      </c>
      <c r="AW406" s="109">
        <f t="shared" si="1577"/>
        <v>9.0739999999999998</v>
      </c>
    </row>
    <row r="407" spans="1:49" ht="13.5" x14ac:dyDescent="0.35">
      <c r="B407" s="12" t="s">
        <v>132</v>
      </c>
      <c r="T407" s="17">
        <v>3.6259999999999999</v>
      </c>
      <c r="U407" s="17">
        <v>7.18</v>
      </c>
      <c r="V407" s="17">
        <v>6.5739999999999998</v>
      </c>
      <c r="W407" s="17">
        <v>5.3449999999999998</v>
      </c>
      <c r="X407" s="17">
        <v>4.6120000000000001</v>
      </c>
      <c r="Y407" s="17">
        <v>10.484</v>
      </c>
      <c r="Z407" s="17">
        <v>6.34</v>
      </c>
      <c r="AA407" s="17">
        <v>9.3070000000000004</v>
      </c>
      <c r="AB407" s="17">
        <v>11.909000000000001</v>
      </c>
      <c r="AC407" s="17">
        <v>16.898</v>
      </c>
      <c r="AD407" s="17">
        <v>16.402999999999999</v>
      </c>
      <c r="AE407" s="17">
        <v>10.013999999999999</v>
      </c>
      <c r="AF407" s="17">
        <v>16.914000000000001</v>
      </c>
      <c r="AG407" s="17">
        <v>30.268000000000001</v>
      </c>
      <c r="AQ407" s="17">
        <v>0.40799999999999997</v>
      </c>
      <c r="AR407" s="17">
        <v>1.0209999999999999</v>
      </c>
      <c r="AS407" s="17">
        <v>2.4910000000000001</v>
      </c>
      <c r="AT407" s="17">
        <v>2.649</v>
      </c>
      <c r="AU407" s="17">
        <v>5.3449999999999998</v>
      </c>
      <c r="AV407" s="17">
        <v>9.3070000000000004</v>
      </c>
      <c r="AW407" s="29">
        <f t="shared" si="1577"/>
        <v>10.013999999999999</v>
      </c>
    </row>
    <row r="408" spans="1:49" x14ac:dyDescent="0.2">
      <c r="B408" s="133" t="s">
        <v>152</v>
      </c>
      <c r="T408" s="10">
        <f t="shared" ref="T408:Y408" si="1578">SUM(T402:T407)</f>
        <v>182.69300000000001</v>
      </c>
      <c r="U408" s="10">
        <f t="shared" si="1578"/>
        <v>196.07900000000001</v>
      </c>
      <c r="V408" s="10">
        <f t="shared" si="1578"/>
        <v>203.12700000000001</v>
      </c>
      <c r="W408" s="10">
        <f t="shared" si="1578"/>
        <v>283.53800000000007</v>
      </c>
      <c r="X408" s="10">
        <f t="shared" si="1578"/>
        <v>274.15200000000004</v>
      </c>
      <c r="Y408" s="10">
        <f t="shared" si="1578"/>
        <v>269.02299999999997</v>
      </c>
      <c r="Z408" s="10">
        <f t="shared" ref="Z408:AA408" si="1579">SUM(Z402:Z407)</f>
        <v>263.01799999999997</v>
      </c>
      <c r="AA408" s="10">
        <f t="shared" si="1579"/>
        <v>257.37899999999996</v>
      </c>
      <c r="AB408" s="10">
        <f t="shared" ref="AB408:AC408" si="1580">SUM(AB402:AB407)</f>
        <v>255.131</v>
      </c>
      <c r="AC408" s="10">
        <f t="shared" si="1580"/>
        <v>252.33799999999999</v>
      </c>
      <c r="AD408" s="10">
        <f t="shared" ref="AD408:AF408" si="1581">SUM(AD402:AD407)</f>
        <v>260.48599999999999</v>
      </c>
      <c r="AE408" s="10">
        <f t="shared" si="1581"/>
        <v>265.55400000000003</v>
      </c>
      <c r="AF408" s="10">
        <f t="shared" si="1581"/>
        <v>276.786</v>
      </c>
      <c r="AG408" s="10">
        <f t="shared" ref="AG408" si="1582">SUM(AG402:AG407)</f>
        <v>280.59800000000001</v>
      </c>
      <c r="AQ408" s="10">
        <f t="shared" ref="AQ408:AR408" si="1583">SUM(AQ402:AQ407)</f>
        <v>11.75</v>
      </c>
      <c r="AR408" s="10">
        <f t="shared" si="1583"/>
        <v>35.053000000000004</v>
      </c>
      <c r="AS408" s="10">
        <f>SUM(AS402:AS407)</f>
        <v>44.831000000000003</v>
      </c>
      <c r="AT408" s="10">
        <f>SUM(AT402:AT407)</f>
        <v>43.628</v>
      </c>
      <c r="AU408" s="10">
        <f>SUM(AU402:AU407)</f>
        <v>553.20300000000009</v>
      </c>
      <c r="AV408" s="10">
        <f t="shared" ref="AV408" si="1584">SUM(AV402:AV407)</f>
        <v>257.37899999999996</v>
      </c>
      <c r="AW408" s="109">
        <f t="shared" si="1577"/>
        <v>265.55400000000003</v>
      </c>
    </row>
    <row r="409" spans="1:49" x14ac:dyDescent="0.2">
      <c r="T409" s="10"/>
      <c r="U409" s="10"/>
      <c r="AB409" s="10"/>
      <c r="AC409" s="10"/>
      <c r="AD409" s="10"/>
      <c r="AE409" s="10"/>
      <c r="AF409" s="10"/>
      <c r="AG409" s="10"/>
      <c r="AQ409" s="10"/>
      <c r="AR409" s="10"/>
      <c r="AS409" s="10"/>
      <c r="AT409" s="10"/>
      <c r="AW409" s="258"/>
    </row>
    <row r="410" spans="1:49" x14ac:dyDescent="0.2">
      <c r="B410" t="s">
        <v>153</v>
      </c>
      <c r="T410" s="11">
        <v>3.8759999999999999</v>
      </c>
      <c r="U410" s="11">
        <v>8.3960000000000008</v>
      </c>
      <c r="V410" s="11">
        <v>8.391</v>
      </c>
      <c r="W410" s="11">
        <v>8.27</v>
      </c>
      <c r="X410" s="11">
        <v>7.6180000000000003</v>
      </c>
      <c r="Y410" s="11">
        <v>8.6319999999999997</v>
      </c>
      <c r="Z410" s="11">
        <v>6.9850000000000003</v>
      </c>
      <c r="AA410" s="11">
        <v>8.0760000000000005</v>
      </c>
      <c r="AB410" s="11">
        <v>7.0609999999999999</v>
      </c>
      <c r="AC410" s="11">
        <v>6.5339999999999998</v>
      </c>
      <c r="AD410" s="11">
        <v>5.6609999999999996</v>
      </c>
      <c r="AE410" s="11">
        <v>6.6859999999999999</v>
      </c>
      <c r="AF410" s="11">
        <v>5.9989999999999997</v>
      </c>
      <c r="AG410" s="11">
        <v>7.3949999999999996</v>
      </c>
      <c r="AQ410" s="11">
        <v>1.427</v>
      </c>
      <c r="AR410" s="11">
        <v>1.472</v>
      </c>
      <c r="AS410" s="11">
        <v>1.605</v>
      </c>
      <c r="AT410" s="11">
        <v>2.968</v>
      </c>
      <c r="AU410" s="11">
        <v>8.27</v>
      </c>
      <c r="AV410" s="11">
        <v>8.0760000000000005</v>
      </c>
      <c r="AW410" s="109">
        <f t="shared" si="1577"/>
        <v>6.6859999999999999</v>
      </c>
    </row>
    <row r="411" spans="1:49" x14ac:dyDescent="0.2">
      <c r="B411" t="s">
        <v>312</v>
      </c>
      <c r="T411" s="11">
        <v>0</v>
      </c>
      <c r="U411" s="11">
        <v>0</v>
      </c>
      <c r="V411" s="11">
        <v>0</v>
      </c>
      <c r="W411" s="11">
        <v>0</v>
      </c>
      <c r="X411" s="11">
        <v>0</v>
      </c>
      <c r="Y411" s="11">
        <v>0</v>
      </c>
      <c r="Z411" s="11">
        <v>0</v>
      </c>
      <c r="AA411" s="11">
        <v>12.009</v>
      </c>
      <c r="AB411" s="11">
        <v>11.193</v>
      </c>
      <c r="AC411" s="11">
        <v>11.188000000000001</v>
      </c>
      <c r="AD411" s="11">
        <v>10.942</v>
      </c>
      <c r="AE411" s="11">
        <v>14.069000000000001</v>
      </c>
      <c r="AF411" s="11">
        <v>12.225</v>
      </c>
      <c r="AG411" s="11">
        <v>11.811999999999999</v>
      </c>
      <c r="AQ411" s="11">
        <v>0</v>
      </c>
      <c r="AR411" s="11">
        <v>0</v>
      </c>
      <c r="AS411" s="11">
        <v>0</v>
      </c>
      <c r="AT411" s="11">
        <v>0</v>
      </c>
      <c r="AU411" s="11">
        <v>0</v>
      </c>
      <c r="AV411" s="11">
        <v>12.009</v>
      </c>
      <c r="AW411" s="109">
        <f t="shared" si="1577"/>
        <v>14.069000000000001</v>
      </c>
    </row>
    <row r="412" spans="1:49" x14ac:dyDescent="0.2">
      <c r="B412" t="s">
        <v>154</v>
      </c>
      <c r="T412" s="11">
        <v>2.1760000000000002</v>
      </c>
      <c r="U412" s="11">
        <v>2.1269999999999998</v>
      </c>
      <c r="V412" s="11">
        <v>2.1110000000000002</v>
      </c>
      <c r="W412" s="11">
        <v>2.9249999999999998</v>
      </c>
      <c r="X412" s="11">
        <v>11.379</v>
      </c>
      <c r="Y412" s="11">
        <v>11.343999999999999</v>
      </c>
      <c r="Z412" s="11">
        <v>11.254</v>
      </c>
      <c r="AA412" s="11">
        <v>10.286</v>
      </c>
      <c r="AB412" s="11">
        <v>11.301</v>
      </c>
      <c r="AC412" s="11">
        <v>12.209</v>
      </c>
      <c r="AD412" s="11">
        <v>12.901</v>
      </c>
      <c r="AE412" s="11">
        <v>16.082999999999998</v>
      </c>
      <c r="AF412" s="11">
        <v>16.936</v>
      </c>
      <c r="AG412" s="11">
        <v>26.948</v>
      </c>
      <c r="AQ412" s="11">
        <v>0.68799999999999994</v>
      </c>
      <c r="AR412" s="11">
        <v>0.42799999999999999</v>
      </c>
      <c r="AS412" s="11">
        <v>0.40799999999999997</v>
      </c>
      <c r="AT412" s="11">
        <v>2.2309999999999999</v>
      </c>
      <c r="AU412" s="11">
        <v>2.9249999999999998</v>
      </c>
      <c r="AV412" s="11">
        <v>10.286</v>
      </c>
      <c r="AW412" s="109">
        <f t="shared" si="1577"/>
        <v>16.082999999999998</v>
      </c>
    </row>
    <row r="413" spans="1:49" x14ac:dyDescent="0.2">
      <c r="B413" t="s">
        <v>155</v>
      </c>
      <c r="T413" s="11">
        <v>1.9910000000000001</v>
      </c>
      <c r="U413" s="11">
        <v>1.9910000000000001</v>
      </c>
      <c r="V413" s="11">
        <v>1.9910000000000001</v>
      </c>
      <c r="W413" s="11">
        <v>1.9910000000000001</v>
      </c>
      <c r="X413" s="11">
        <v>8.0790000000000006</v>
      </c>
      <c r="Y413" s="11">
        <v>6.74</v>
      </c>
      <c r="Z413" s="11">
        <v>6.3369999999999997</v>
      </c>
      <c r="AA413" s="11">
        <v>6.5289999999999999</v>
      </c>
      <c r="AB413" s="11">
        <v>7.766</v>
      </c>
      <c r="AC413" s="11">
        <v>7.8529999999999998</v>
      </c>
      <c r="AD413" s="11">
        <v>7.7380000000000004</v>
      </c>
      <c r="AE413" s="11">
        <v>24.879000000000001</v>
      </c>
      <c r="AF413" s="11">
        <v>24.757000000000001</v>
      </c>
      <c r="AG413" s="11">
        <v>40.630000000000003</v>
      </c>
      <c r="AQ413" s="11">
        <v>0</v>
      </c>
      <c r="AR413" s="11">
        <v>0</v>
      </c>
      <c r="AS413" s="11">
        <v>0</v>
      </c>
      <c r="AT413" s="11">
        <v>1.9910000000000001</v>
      </c>
      <c r="AU413" s="11">
        <v>1.9910000000000001</v>
      </c>
      <c r="AV413" s="11">
        <v>6.5289999999999999</v>
      </c>
      <c r="AW413" s="109">
        <f t="shared" si="1577"/>
        <v>24.879000000000001</v>
      </c>
    </row>
    <row r="414" spans="1:49" x14ac:dyDescent="0.2">
      <c r="B414" t="s">
        <v>156</v>
      </c>
      <c r="T414" s="11">
        <v>2</v>
      </c>
      <c r="U414" s="11">
        <v>2.14</v>
      </c>
      <c r="V414" s="11">
        <v>2.2010000000000001</v>
      </c>
      <c r="W414" s="11">
        <v>2.254</v>
      </c>
      <c r="X414" s="11">
        <v>2.476</v>
      </c>
      <c r="Y414" s="11">
        <v>2.5859999999999999</v>
      </c>
      <c r="Z414" s="11">
        <v>2.4430000000000001</v>
      </c>
      <c r="AA414" s="11">
        <v>2.0819999999999999</v>
      </c>
      <c r="AB414" s="11">
        <v>2.1869999999999998</v>
      </c>
      <c r="AC414" s="11">
        <v>2.5649999999999999</v>
      </c>
      <c r="AD414" s="11">
        <v>3.1890000000000001</v>
      </c>
      <c r="AE414" s="11">
        <v>3.5859999999999999</v>
      </c>
      <c r="AF414" s="11">
        <v>3.4849999999999999</v>
      </c>
      <c r="AG414" s="11">
        <v>2.9969999999999999</v>
      </c>
      <c r="AQ414" s="11">
        <v>0</v>
      </c>
      <c r="AR414" s="11">
        <v>0.54500000000000004</v>
      </c>
      <c r="AS414" s="11">
        <v>0.74399999999999999</v>
      </c>
      <c r="AT414" s="11">
        <v>1.67</v>
      </c>
      <c r="AU414" s="11">
        <v>2.254</v>
      </c>
      <c r="AV414" s="11">
        <v>2.0819999999999999</v>
      </c>
      <c r="AW414" s="109">
        <f t="shared" si="1577"/>
        <v>3.5859999999999999</v>
      </c>
    </row>
    <row r="415" spans="1:49" ht="13.5" x14ac:dyDescent="0.35">
      <c r="B415" t="s">
        <v>157</v>
      </c>
      <c r="T415" s="17">
        <v>1.1299999999999999</v>
      </c>
      <c r="U415" s="17">
        <v>1.026</v>
      </c>
      <c r="V415" s="17">
        <v>0.97199999999999998</v>
      </c>
      <c r="W415" s="17">
        <v>1.0960000000000001</v>
      </c>
      <c r="X415" s="17">
        <v>3.7429999999999999</v>
      </c>
      <c r="Y415" s="17">
        <v>3.9209999999999998</v>
      </c>
      <c r="Z415" s="17">
        <v>3.7480000000000002</v>
      </c>
      <c r="AA415" s="17">
        <v>2.3290000000000002</v>
      </c>
      <c r="AB415" s="17">
        <v>0.86099999999999999</v>
      </c>
      <c r="AC415" s="17">
        <v>1.202</v>
      </c>
      <c r="AD415" s="17">
        <v>1.0449999999999999</v>
      </c>
      <c r="AE415" s="17">
        <v>0.63300000000000001</v>
      </c>
      <c r="AF415" s="17">
        <v>1.542</v>
      </c>
      <c r="AG415" s="17">
        <v>2.5680000000000001</v>
      </c>
      <c r="AQ415" s="17">
        <v>7.2999999999999995E-2</v>
      </c>
      <c r="AR415" s="17">
        <v>2.1999999999999999E-2</v>
      </c>
      <c r="AS415" s="17">
        <v>8.7999999999999995E-2</v>
      </c>
      <c r="AT415" s="17">
        <v>2.4700000000000002</v>
      </c>
      <c r="AU415" s="17">
        <v>1.0960000000000001</v>
      </c>
      <c r="AV415" s="17">
        <v>2.3290000000000002</v>
      </c>
      <c r="AW415" s="29">
        <f t="shared" si="1577"/>
        <v>0.63300000000000001</v>
      </c>
    </row>
    <row r="416" spans="1:49" s="3" customFormat="1" x14ac:dyDescent="0.2">
      <c r="A416" s="2"/>
      <c r="B416" s="24" t="s">
        <v>158</v>
      </c>
      <c r="T416" s="98">
        <f t="shared" ref="T416:Y416" si="1585">SUM(T410:T415)+T408</f>
        <v>193.86600000000001</v>
      </c>
      <c r="U416" s="98">
        <f t="shared" si="1585"/>
        <v>211.75900000000001</v>
      </c>
      <c r="V416" s="98">
        <f t="shared" si="1585"/>
        <v>218.79300000000001</v>
      </c>
      <c r="W416" s="98">
        <f t="shared" si="1585"/>
        <v>300.07400000000007</v>
      </c>
      <c r="X416" s="98">
        <f t="shared" si="1585"/>
        <v>307.44700000000006</v>
      </c>
      <c r="Y416" s="98">
        <f t="shared" si="1585"/>
        <v>302.24599999999998</v>
      </c>
      <c r="Z416" s="98">
        <f t="shared" ref="Z416:AA416" si="1586">SUM(Z410:Z415)+Z408</f>
        <v>293.78499999999997</v>
      </c>
      <c r="AA416" s="98">
        <f t="shared" si="1586"/>
        <v>298.68999999999994</v>
      </c>
      <c r="AB416" s="98">
        <f t="shared" ref="AB416:AC416" si="1587">SUM(AB410:AB415)+AB408</f>
        <v>295.5</v>
      </c>
      <c r="AC416" s="98">
        <f t="shared" si="1587"/>
        <v>293.88900000000001</v>
      </c>
      <c r="AD416" s="98">
        <f t="shared" ref="AD416:AF416" si="1588">SUM(AD410:AD415)+AD408</f>
        <v>301.96199999999999</v>
      </c>
      <c r="AE416" s="98">
        <f t="shared" si="1588"/>
        <v>331.49</v>
      </c>
      <c r="AF416" s="98">
        <f t="shared" si="1588"/>
        <v>341.73</v>
      </c>
      <c r="AG416" s="98">
        <f t="shared" ref="AG416" si="1589">SUM(AG410:AG415)+AG408</f>
        <v>372.94799999999998</v>
      </c>
      <c r="AQ416" s="98">
        <f>SUM(AQ410:AQ415)+AQ408</f>
        <v>13.938000000000001</v>
      </c>
      <c r="AR416" s="98">
        <f>SUM(AR410:AR415)+AR408</f>
        <v>37.520000000000003</v>
      </c>
      <c r="AS416" s="98">
        <f>SUM(AS410:AS415)+AS408</f>
        <v>47.676000000000002</v>
      </c>
      <c r="AT416" s="98">
        <f>SUM(AT410:AT415)+AT408</f>
        <v>54.957999999999998</v>
      </c>
      <c r="AU416" s="98">
        <f>SUM(AU410:AU415)+AU408</f>
        <v>569.73900000000003</v>
      </c>
      <c r="AV416" s="98">
        <f t="shared" ref="AV416" si="1590">SUM(AV410:AV415)+AV408</f>
        <v>298.68999999999994</v>
      </c>
      <c r="AW416" s="98">
        <f t="shared" si="1577"/>
        <v>331.49</v>
      </c>
    </row>
    <row r="417" spans="1:49" x14ac:dyDescent="0.2">
      <c r="T417" s="10"/>
      <c r="U417" s="10"/>
      <c r="AB417" s="10"/>
      <c r="AC417" s="10"/>
      <c r="AF417" s="10"/>
      <c r="AG417" s="10"/>
      <c r="AQ417" s="10"/>
      <c r="AR417" s="10"/>
      <c r="AS417" s="10"/>
      <c r="AT417" s="10"/>
      <c r="AW417" s="258"/>
    </row>
    <row r="418" spans="1:49" x14ac:dyDescent="0.2">
      <c r="B418" s="3" t="s">
        <v>159</v>
      </c>
      <c r="T418" s="10"/>
      <c r="U418" s="10"/>
      <c r="AB418" s="10"/>
      <c r="AC418" s="10"/>
      <c r="AF418" s="10"/>
      <c r="AG418" s="10"/>
      <c r="AQ418" s="10"/>
      <c r="AR418" s="10"/>
      <c r="AS418" s="10"/>
      <c r="AT418" s="10"/>
      <c r="AW418" s="258"/>
    </row>
    <row r="419" spans="1:49" x14ac:dyDescent="0.2">
      <c r="B419" t="s">
        <v>160</v>
      </c>
      <c r="T419" s="11"/>
      <c r="U419" s="11"/>
      <c r="AB419" s="11"/>
      <c r="AC419" s="11"/>
      <c r="AF419" s="11"/>
      <c r="AG419" s="11"/>
      <c r="AQ419" s="11"/>
      <c r="AR419" s="11"/>
      <c r="AS419" s="11"/>
      <c r="AT419" s="11"/>
      <c r="AW419" s="258"/>
    </row>
    <row r="420" spans="1:49" x14ac:dyDescent="0.2">
      <c r="B420" s="12" t="s">
        <v>133</v>
      </c>
      <c r="T420" s="11">
        <v>10.233000000000001</v>
      </c>
      <c r="U420" s="11">
        <v>9.1349999999999998</v>
      </c>
      <c r="V420" s="11">
        <v>5.1959999999999997</v>
      </c>
      <c r="W420" s="11">
        <v>9.9420000000000002</v>
      </c>
      <c r="X420" s="11">
        <v>10.837999999999999</v>
      </c>
      <c r="Y420" s="11">
        <v>5.7290000000000001</v>
      </c>
      <c r="Z420" s="11">
        <v>13.153</v>
      </c>
      <c r="AA420" s="11">
        <v>15.494999999999999</v>
      </c>
      <c r="AB420" s="11">
        <v>11.372999999999999</v>
      </c>
      <c r="AC420" s="11">
        <v>10.246</v>
      </c>
      <c r="AD420" s="11">
        <v>9.9039999999999999</v>
      </c>
      <c r="AE420" s="11">
        <v>9.1869999999999994</v>
      </c>
      <c r="AF420" s="11">
        <v>10.159000000000001</v>
      </c>
      <c r="AG420" s="11">
        <v>11.199</v>
      </c>
      <c r="AQ420" s="11">
        <v>2.5979999999999999</v>
      </c>
      <c r="AR420" s="11">
        <v>5.0590000000000002</v>
      </c>
      <c r="AS420" s="11">
        <v>6.8179999999999996</v>
      </c>
      <c r="AT420" s="11">
        <v>8.6539999999999999</v>
      </c>
      <c r="AU420" s="11">
        <v>9.9420000000000002</v>
      </c>
      <c r="AV420" s="11">
        <v>15.494999999999999</v>
      </c>
      <c r="AW420" s="109">
        <f t="shared" si="1577"/>
        <v>9.1869999999999994</v>
      </c>
    </row>
    <row r="421" spans="1:49" x14ac:dyDescent="0.2">
      <c r="B421" s="12" t="s">
        <v>134</v>
      </c>
      <c r="T421" s="11">
        <v>10.286</v>
      </c>
      <c r="U421" s="11">
        <v>12.847</v>
      </c>
      <c r="V421" s="11">
        <v>22.285</v>
      </c>
      <c r="W421" s="11">
        <v>19.478999999999999</v>
      </c>
      <c r="X421" s="11">
        <v>19.718</v>
      </c>
      <c r="Y421" s="11">
        <v>25.309000000000001</v>
      </c>
      <c r="Z421" s="11">
        <v>17.646999999999998</v>
      </c>
      <c r="AA421" s="11">
        <v>17.847000000000001</v>
      </c>
      <c r="AB421" s="11">
        <v>19.228999999999999</v>
      </c>
      <c r="AC421" s="11">
        <v>16.469000000000001</v>
      </c>
      <c r="AD421" s="11">
        <v>17.922999999999998</v>
      </c>
      <c r="AE421" s="11">
        <v>19.890999999999998</v>
      </c>
      <c r="AF421" s="11">
        <v>19.597000000000001</v>
      </c>
      <c r="AG421" s="11">
        <v>21.788</v>
      </c>
      <c r="AQ421" s="11">
        <v>0.1</v>
      </c>
      <c r="AR421" s="11">
        <v>0</v>
      </c>
      <c r="AS421" s="11">
        <v>4.1120000000000001</v>
      </c>
      <c r="AT421" s="11">
        <v>7.7190000000000003</v>
      </c>
      <c r="AU421" s="11">
        <v>19.478999999999999</v>
      </c>
      <c r="AV421" s="11">
        <v>17.847000000000001</v>
      </c>
      <c r="AW421" s="109">
        <f t="shared" si="1577"/>
        <v>19.890999999999998</v>
      </c>
    </row>
    <row r="422" spans="1:49" x14ac:dyDescent="0.2">
      <c r="B422" s="12" t="s">
        <v>135</v>
      </c>
      <c r="T422" s="11">
        <v>32.075000000000003</v>
      </c>
      <c r="U422" s="11">
        <v>34.652000000000001</v>
      </c>
      <c r="V422" s="11">
        <v>36.051000000000002</v>
      </c>
      <c r="W422" s="11">
        <v>40.231999999999999</v>
      </c>
      <c r="X422" s="11">
        <v>47.548000000000002</v>
      </c>
      <c r="Y422" s="11">
        <v>48.302999999999997</v>
      </c>
      <c r="Z422" s="11">
        <v>47.121000000000002</v>
      </c>
      <c r="AA422" s="11">
        <v>49.353999999999999</v>
      </c>
      <c r="AB422" s="11">
        <v>56.255000000000003</v>
      </c>
      <c r="AC422" s="11">
        <v>55.936999999999998</v>
      </c>
      <c r="AD422" s="11">
        <v>55.24</v>
      </c>
      <c r="AE422" s="11">
        <v>58.31</v>
      </c>
      <c r="AF422" s="11">
        <v>63.984999999999999</v>
      </c>
      <c r="AG422" s="11">
        <v>66.585999999999999</v>
      </c>
      <c r="AQ422" s="11">
        <v>7.306</v>
      </c>
      <c r="AR422" s="11">
        <v>11.525</v>
      </c>
      <c r="AS422" s="11">
        <v>19.218</v>
      </c>
      <c r="AT422" s="11">
        <v>26.536999999999999</v>
      </c>
      <c r="AU422" s="11">
        <v>40.231999999999999</v>
      </c>
      <c r="AV422" s="11">
        <v>49.353999999999999</v>
      </c>
      <c r="AW422" s="109">
        <f t="shared" si="1577"/>
        <v>58.31</v>
      </c>
    </row>
    <row r="423" spans="1:49" x14ac:dyDescent="0.2">
      <c r="B423" s="12" t="s">
        <v>303</v>
      </c>
      <c r="T423" s="11">
        <v>0</v>
      </c>
      <c r="U423" s="11">
        <v>0</v>
      </c>
      <c r="V423" s="11">
        <v>0</v>
      </c>
      <c r="W423" s="11">
        <v>0</v>
      </c>
      <c r="X423" s="11">
        <v>0</v>
      </c>
      <c r="Y423" s="11">
        <v>0</v>
      </c>
      <c r="Z423" s="11">
        <v>0</v>
      </c>
      <c r="AA423" s="11">
        <v>3.694</v>
      </c>
      <c r="AB423" s="11">
        <v>3.66</v>
      </c>
      <c r="AC423" s="11">
        <v>3.77</v>
      </c>
      <c r="AD423" s="11">
        <v>3.7130000000000001</v>
      </c>
      <c r="AE423" s="11">
        <v>4.274</v>
      </c>
      <c r="AF423" s="11">
        <v>4.1429999999999998</v>
      </c>
      <c r="AG423" s="11">
        <v>4.8289999999999997</v>
      </c>
      <c r="AQ423" s="11">
        <v>0</v>
      </c>
      <c r="AR423" s="11">
        <v>0</v>
      </c>
      <c r="AS423" s="11">
        <v>0</v>
      </c>
      <c r="AT423" s="11">
        <v>0</v>
      </c>
      <c r="AU423" s="11">
        <v>0</v>
      </c>
      <c r="AV423" s="11">
        <v>3.694</v>
      </c>
      <c r="AW423" s="109">
        <f t="shared" si="1577"/>
        <v>4.274</v>
      </c>
    </row>
    <row r="424" spans="1:49" ht="13.5" x14ac:dyDescent="0.35">
      <c r="B424" s="12" t="s">
        <v>190</v>
      </c>
      <c r="T424" s="17">
        <v>0</v>
      </c>
      <c r="U424" s="17">
        <v>0</v>
      </c>
      <c r="V424" s="17">
        <v>1.877</v>
      </c>
      <c r="W424" s="17">
        <v>1.8959999999999999</v>
      </c>
      <c r="X424" s="17">
        <v>1.6870000000000001</v>
      </c>
      <c r="Y424" s="17">
        <v>2.621</v>
      </c>
      <c r="Z424" s="17">
        <v>2.6640000000000001</v>
      </c>
      <c r="AA424" s="17">
        <v>2.3109999999999999</v>
      </c>
      <c r="AB424" s="17">
        <v>2.4790000000000001</v>
      </c>
      <c r="AC424" s="17">
        <v>2.411</v>
      </c>
      <c r="AD424" s="17">
        <v>1.8779999999999999</v>
      </c>
      <c r="AE424" s="17">
        <v>2.8170000000000002</v>
      </c>
      <c r="AF424" s="17">
        <v>2.6419999999999999</v>
      </c>
      <c r="AG424" s="17">
        <v>7.601</v>
      </c>
      <c r="AH424" s="108"/>
      <c r="AI424" s="108"/>
      <c r="AJ424" s="108"/>
      <c r="AK424" s="108"/>
      <c r="AL424" s="108"/>
      <c r="AM424" s="108"/>
      <c r="AN424" s="108"/>
      <c r="AO424" s="108"/>
      <c r="AP424" s="108"/>
      <c r="AQ424" s="17">
        <v>0</v>
      </c>
      <c r="AR424" s="17">
        <v>0</v>
      </c>
      <c r="AS424" s="17">
        <v>0</v>
      </c>
      <c r="AT424" s="17">
        <v>0</v>
      </c>
      <c r="AU424" s="17">
        <v>1.8959999999999999</v>
      </c>
      <c r="AV424" s="17">
        <v>2.3109999999999999</v>
      </c>
      <c r="AW424" s="29">
        <f t="shared" si="1577"/>
        <v>2.8170000000000002</v>
      </c>
    </row>
    <row r="425" spans="1:49" x14ac:dyDescent="0.2">
      <c r="B425" s="133" t="s">
        <v>161</v>
      </c>
      <c r="T425" s="109">
        <f t="shared" ref="T425:Y425" si="1591">SUM(T420:T424)</f>
        <v>52.594000000000001</v>
      </c>
      <c r="U425" s="109">
        <f t="shared" si="1591"/>
        <v>56.634</v>
      </c>
      <c r="V425" s="109">
        <f t="shared" si="1591"/>
        <v>65.409000000000006</v>
      </c>
      <c r="W425" s="109">
        <f t="shared" si="1591"/>
        <v>71.548999999999992</v>
      </c>
      <c r="X425" s="109">
        <f t="shared" si="1591"/>
        <v>79.790999999999997</v>
      </c>
      <c r="Y425" s="109">
        <f t="shared" si="1591"/>
        <v>81.961999999999989</v>
      </c>
      <c r="Z425" s="109">
        <f t="shared" ref="Z425:AA425" si="1592">SUM(Z420:Z424)</f>
        <v>80.584999999999994</v>
      </c>
      <c r="AA425" s="109">
        <f t="shared" si="1592"/>
        <v>88.700999999999993</v>
      </c>
      <c r="AB425" s="109">
        <f t="shared" ref="AB425:AC425" si="1593">SUM(AB420:AB424)</f>
        <v>92.995999999999995</v>
      </c>
      <c r="AC425" s="109">
        <f t="shared" si="1593"/>
        <v>88.832999999999998</v>
      </c>
      <c r="AD425" s="109">
        <f t="shared" ref="AD425:AF425" si="1594">SUM(AD420:AD424)</f>
        <v>88.658000000000001</v>
      </c>
      <c r="AE425" s="109">
        <f t="shared" si="1594"/>
        <v>94.479000000000013</v>
      </c>
      <c r="AF425" s="109">
        <f t="shared" si="1594"/>
        <v>100.526</v>
      </c>
      <c r="AG425" s="109">
        <f t="shared" ref="AG425" si="1595">SUM(AG420:AG424)</f>
        <v>112.003</v>
      </c>
      <c r="AQ425" s="109">
        <f>SUM(AQ420:AQ424)</f>
        <v>10.004</v>
      </c>
      <c r="AR425" s="109">
        <f t="shared" ref="AR425:AT425" si="1596">SUM(AR420:AR424)</f>
        <v>16.584</v>
      </c>
      <c r="AS425" s="109">
        <f t="shared" si="1596"/>
        <v>30.148</v>
      </c>
      <c r="AT425" s="109">
        <f t="shared" si="1596"/>
        <v>42.91</v>
      </c>
      <c r="AU425" s="109">
        <f>SUM(AU420:AU424)</f>
        <v>71.548999999999992</v>
      </c>
      <c r="AV425" s="109">
        <f t="shared" ref="AV425" si="1597">SUM(AV420:AV424)</f>
        <v>88.700999999999993</v>
      </c>
      <c r="AW425" s="109">
        <f t="shared" si="1577"/>
        <v>94.479000000000013</v>
      </c>
    </row>
    <row r="426" spans="1:49" x14ac:dyDescent="0.2">
      <c r="T426" s="10"/>
      <c r="U426" s="10"/>
      <c r="AB426" s="10"/>
      <c r="AC426" s="10"/>
      <c r="AD426" s="10"/>
      <c r="AE426" s="10"/>
      <c r="AF426" s="10"/>
      <c r="AG426" s="10"/>
      <c r="AQ426" s="10"/>
      <c r="AR426" s="10"/>
      <c r="AS426" s="10"/>
      <c r="AT426" s="10"/>
      <c r="AW426" s="258"/>
    </row>
    <row r="427" spans="1:49" x14ac:dyDescent="0.2">
      <c r="B427" t="s">
        <v>162</v>
      </c>
      <c r="T427" s="11">
        <v>0.18099999999999999</v>
      </c>
      <c r="U427" s="11">
        <v>0.23699999999999999</v>
      </c>
      <c r="V427" s="11">
        <v>0.24299999999999999</v>
      </c>
      <c r="W427" s="11">
        <v>0.23699999999999999</v>
      </c>
      <c r="X427" s="11">
        <v>0.32</v>
      </c>
      <c r="Y427" s="11">
        <v>0.185</v>
      </c>
      <c r="Z427" s="11">
        <v>0.38200000000000001</v>
      </c>
      <c r="AA427" s="11">
        <v>0.122</v>
      </c>
      <c r="AB427" s="11">
        <v>0.23799999999999999</v>
      </c>
      <c r="AC427" s="11">
        <v>0.26300000000000001</v>
      </c>
      <c r="AD427" s="11">
        <v>0.40500000000000003</v>
      </c>
      <c r="AE427" s="11">
        <v>0.33100000000000002</v>
      </c>
      <c r="AF427" s="11">
        <v>0.30599999999999999</v>
      </c>
      <c r="AG427" s="11">
        <v>0.23699999999999999</v>
      </c>
      <c r="AQ427" s="11">
        <v>0.35199999999999998</v>
      </c>
      <c r="AR427" s="11">
        <v>0.495</v>
      </c>
      <c r="AS427" s="11">
        <v>0.44800000000000001</v>
      </c>
      <c r="AT427" s="11">
        <v>0.123</v>
      </c>
      <c r="AU427" s="11">
        <v>0.23699999999999999</v>
      </c>
      <c r="AV427" s="11">
        <v>0.122</v>
      </c>
      <c r="AW427" s="109">
        <f t="shared" si="1577"/>
        <v>0.33100000000000002</v>
      </c>
    </row>
    <row r="428" spans="1:49" x14ac:dyDescent="0.2">
      <c r="B428" t="s">
        <v>163</v>
      </c>
      <c r="T428" s="11">
        <v>0.153</v>
      </c>
      <c r="U428" s="11">
        <v>0.126</v>
      </c>
      <c r="V428" s="11">
        <v>0.126</v>
      </c>
      <c r="W428" s="11">
        <v>0.26800000000000002</v>
      </c>
      <c r="X428" s="11">
        <v>0.111</v>
      </c>
      <c r="Y428" s="11">
        <v>2.4E-2</v>
      </c>
      <c r="Z428" s="11">
        <v>0.111</v>
      </c>
      <c r="AA428" s="11">
        <v>1.0999999999999999E-2</v>
      </c>
      <c r="AB428" s="11">
        <v>1.4999999999999999E-2</v>
      </c>
      <c r="AC428" s="11">
        <v>0.1</v>
      </c>
      <c r="AD428" s="11">
        <v>2.4E-2</v>
      </c>
      <c r="AE428" s="11">
        <v>0.83899999999999997</v>
      </c>
      <c r="AF428" s="11">
        <v>0.63300000000000001</v>
      </c>
      <c r="AG428" s="11">
        <v>1.9319999999999999</v>
      </c>
      <c r="AQ428" s="11">
        <v>0</v>
      </c>
      <c r="AR428" s="11">
        <v>0.28699999999999998</v>
      </c>
      <c r="AS428" s="11">
        <v>0.18</v>
      </c>
      <c r="AT428" s="11">
        <v>0.20899999999999999</v>
      </c>
      <c r="AU428" s="11">
        <v>0.26800000000000002</v>
      </c>
      <c r="AV428" s="11">
        <v>1.0999999999999999E-2</v>
      </c>
      <c r="AW428" s="109">
        <f t="shared" si="1577"/>
        <v>0.83899999999999997</v>
      </c>
    </row>
    <row r="429" spans="1:49" x14ac:dyDescent="0.2">
      <c r="B429" t="s">
        <v>304</v>
      </c>
      <c r="T429" s="11">
        <v>0</v>
      </c>
      <c r="U429" s="11">
        <v>0</v>
      </c>
      <c r="V429" s="11">
        <v>0</v>
      </c>
      <c r="W429" s="11">
        <v>0</v>
      </c>
      <c r="X429" s="11">
        <v>0</v>
      </c>
      <c r="Y429" s="11">
        <v>0</v>
      </c>
      <c r="Z429" s="11">
        <v>0</v>
      </c>
      <c r="AA429" s="11">
        <v>8.9290000000000003</v>
      </c>
      <c r="AB429" s="11">
        <v>8.0419999999999998</v>
      </c>
      <c r="AC429" s="11">
        <v>8.125</v>
      </c>
      <c r="AD429" s="11">
        <v>7.88</v>
      </c>
      <c r="AE429" s="11">
        <v>10.331</v>
      </c>
      <c r="AF429" s="11">
        <v>9.15</v>
      </c>
      <c r="AG429" s="11">
        <v>8.0839999999999996</v>
      </c>
      <c r="AQ429" s="11"/>
      <c r="AR429" s="11"/>
      <c r="AS429" s="11"/>
      <c r="AT429" s="11"/>
      <c r="AU429" s="11"/>
      <c r="AV429" s="11">
        <v>8.9290000000000003</v>
      </c>
      <c r="AW429" s="109">
        <f t="shared" si="1577"/>
        <v>10.331</v>
      </c>
    </row>
    <row r="430" spans="1:49" ht="13.5" x14ac:dyDescent="0.35">
      <c r="B430" t="s">
        <v>164</v>
      </c>
      <c r="T430" s="17">
        <v>1.024</v>
      </c>
      <c r="U430" s="17">
        <v>3.4380000000000002</v>
      </c>
      <c r="V430" s="17">
        <v>2.96</v>
      </c>
      <c r="W430" s="17">
        <v>2.4780000000000002</v>
      </c>
      <c r="X430" s="17">
        <v>2.6619999999999999</v>
      </c>
      <c r="Y430" s="17">
        <v>2.1760000000000002</v>
      </c>
      <c r="Z430" s="17">
        <v>1.43</v>
      </c>
      <c r="AA430" s="17">
        <v>1.0229999999999999</v>
      </c>
      <c r="AB430" s="17">
        <v>0.75600000000000001</v>
      </c>
      <c r="AC430" s="17">
        <v>0.67400000000000004</v>
      </c>
      <c r="AD430" s="17">
        <v>0.22600000000000001</v>
      </c>
      <c r="AE430" s="17">
        <v>1.1950000000000001</v>
      </c>
      <c r="AF430" s="17">
        <v>6.7000000000000004E-2</v>
      </c>
      <c r="AG430" s="17">
        <v>1.534</v>
      </c>
      <c r="AQ430" s="17">
        <v>1.0409999999999999</v>
      </c>
      <c r="AR430" s="17">
        <v>4.367</v>
      </c>
      <c r="AS430" s="17">
        <v>0</v>
      </c>
      <c r="AT430" s="17">
        <v>0.497</v>
      </c>
      <c r="AU430" s="17">
        <v>2.4780000000000002</v>
      </c>
      <c r="AV430" s="17">
        <v>1.0229999999999999</v>
      </c>
      <c r="AW430" s="29">
        <f t="shared" si="1577"/>
        <v>1.1950000000000001</v>
      </c>
    </row>
    <row r="431" spans="1:49" s="3" customFormat="1" x14ac:dyDescent="0.2">
      <c r="A431" s="2"/>
      <c r="B431" s="24" t="s">
        <v>165</v>
      </c>
      <c r="T431" s="23">
        <f t="shared" ref="T431:Y431" si="1598">SUM(T427:T430)+T425</f>
        <v>53.951999999999998</v>
      </c>
      <c r="U431" s="23">
        <f t="shared" si="1598"/>
        <v>60.435000000000002</v>
      </c>
      <c r="V431" s="23">
        <f t="shared" si="1598"/>
        <v>68.738</v>
      </c>
      <c r="W431" s="23">
        <f t="shared" si="1598"/>
        <v>74.531999999999996</v>
      </c>
      <c r="X431" s="23">
        <f t="shared" si="1598"/>
        <v>82.884</v>
      </c>
      <c r="Y431" s="23">
        <f t="shared" si="1598"/>
        <v>84.346999999999994</v>
      </c>
      <c r="Z431" s="23">
        <f t="shared" ref="Z431:AB431" si="1599">SUM(Z427:Z430)+Z425</f>
        <v>82.507999999999996</v>
      </c>
      <c r="AA431" s="23">
        <f t="shared" si="1599"/>
        <v>98.786000000000001</v>
      </c>
      <c r="AB431" s="23">
        <f t="shared" si="1599"/>
        <v>102.047</v>
      </c>
      <c r="AC431" s="23">
        <f t="shared" ref="AC431:AD431" si="1600">SUM(AC427:AC430)+AC425</f>
        <v>97.995000000000005</v>
      </c>
      <c r="AD431" s="23">
        <f t="shared" si="1600"/>
        <v>97.192999999999998</v>
      </c>
      <c r="AE431" s="23">
        <f t="shared" ref="AE431:AF431" si="1601">SUM(AE427:AE430)+AE425</f>
        <v>107.17500000000001</v>
      </c>
      <c r="AF431" s="23">
        <f t="shared" si="1601"/>
        <v>110.682</v>
      </c>
      <c r="AG431" s="23">
        <f t="shared" ref="AG431" si="1602">SUM(AG427:AG430)+AG425</f>
        <v>123.79</v>
      </c>
      <c r="AQ431" s="23">
        <f>SUM(AQ427:AQ430)+AQ425</f>
        <v>11.396999999999998</v>
      </c>
      <c r="AR431" s="23">
        <f>SUM(AR427:AR430)+AR425</f>
        <v>21.733000000000001</v>
      </c>
      <c r="AS431" s="23">
        <f>SUM(AS427:AS430)+AS425</f>
        <v>30.776</v>
      </c>
      <c r="AT431" s="23">
        <f>SUM(AT427:AT430)+AT425</f>
        <v>43.738999999999997</v>
      </c>
      <c r="AU431" s="23">
        <f>SUM(AU427:AU430)+AU425</f>
        <v>74.531999999999996</v>
      </c>
      <c r="AV431" s="23">
        <f t="shared" ref="AV431" si="1603">SUM(AV427:AV430)+AV425</f>
        <v>98.786000000000001</v>
      </c>
      <c r="AW431" s="98">
        <f t="shared" si="1577"/>
        <v>107.17500000000001</v>
      </c>
    </row>
    <row r="432" spans="1:49" x14ac:dyDescent="0.2">
      <c r="AW432" s="258"/>
    </row>
    <row r="433" spans="1:51" x14ac:dyDescent="0.2">
      <c r="B433" t="s">
        <v>167</v>
      </c>
      <c r="T433" s="11">
        <v>0</v>
      </c>
      <c r="U433" s="11">
        <v>0</v>
      </c>
      <c r="V433" s="11">
        <v>0</v>
      </c>
      <c r="W433" s="11">
        <v>0</v>
      </c>
      <c r="X433" s="11">
        <v>0</v>
      </c>
      <c r="Y433" s="11">
        <v>0</v>
      </c>
      <c r="Z433" s="11">
        <v>0</v>
      </c>
      <c r="AA433" s="11">
        <v>0</v>
      </c>
      <c r="AB433" s="11">
        <v>0</v>
      </c>
      <c r="AC433" s="11">
        <v>0</v>
      </c>
      <c r="AD433" s="11">
        <v>0</v>
      </c>
      <c r="AE433" s="11">
        <v>0</v>
      </c>
      <c r="AF433" s="11">
        <v>0</v>
      </c>
      <c r="AG433" s="11">
        <v>0</v>
      </c>
      <c r="AQ433" s="11">
        <v>7.7889999999999997</v>
      </c>
      <c r="AR433" s="11">
        <v>7.7889999999999997</v>
      </c>
      <c r="AS433" s="11">
        <f>7.789+10.27</f>
        <v>18.058999999999997</v>
      </c>
      <c r="AT433" s="11">
        <f>7.789+10.27</f>
        <v>18.058999999999997</v>
      </c>
      <c r="AU433" s="11">
        <v>0</v>
      </c>
      <c r="AV433" s="11">
        <v>0</v>
      </c>
      <c r="AW433" s="109">
        <f t="shared" si="1577"/>
        <v>0</v>
      </c>
    </row>
    <row r="434" spans="1:51" x14ac:dyDescent="0.2">
      <c r="B434" t="s">
        <v>377</v>
      </c>
      <c r="T434" s="11">
        <v>0</v>
      </c>
      <c r="U434" s="11">
        <v>0</v>
      </c>
      <c r="V434" s="11">
        <v>0</v>
      </c>
      <c r="W434" s="11">
        <v>0</v>
      </c>
      <c r="X434" s="11">
        <v>0</v>
      </c>
      <c r="Y434" s="11">
        <v>0</v>
      </c>
      <c r="Z434" s="11">
        <v>0</v>
      </c>
      <c r="AA434" s="11">
        <v>0</v>
      </c>
      <c r="AB434" s="11">
        <v>0</v>
      </c>
      <c r="AC434" s="11">
        <v>0</v>
      </c>
      <c r="AD434" s="11">
        <v>0</v>
      </c>
      <c r="AE434" s="11">
        <v>0</v>
      </c>
      <c r="AF434" s="11">
        <v>0</v>
      </c>
      <c r="AG434" s="11">
        <v>8.7330000000000005</v>
      </c>
      <c r="AQ434" s="11">
        <v>0</v>
      </c>
      <c r="AR434" s="11">
        <v>0</v>
      </c>
      <c r="AS434" s="11">
        <v>0</v>
      </c>
      <c r="AT434" s="11">
        <v>0</v>
      </c>
      <c r="AU434" s="11">
        <v>0</v>
      </c>
      <c r="AV434" s="11">
        <v>0</v>
      </c>
      <c r="AW434" s="109">
        <f t="shared" si="1577"/>
        <v>0</v>
      </c>
    </row>
    <row r="435" spans="1:51" x14ac:dyDescent="0.2">
      <c r="AW435" s="258"/>
    </row>
    <row r="436" spans="1:51" x14ac:dyDescent="0.2">
      <c r="B436" t="s">
        <v>378</v>
      </c>
      <c r="T436" s="10">
        <f t="shared" ref="T436:AG436" si="1604">+T438-T437</f>
        <v>139.911</v>
      </c>
      <c r="U436" s="10">
        <f t="shared" si="1604"/>
        <v>149.465</v>
      </c>
      <c r="V436" s="10">
        <f t="shared" si="1604"/>
        <v>150.05500000000001</v>
      </c>
      <c r="W436" s="10">
        <f t="shared" si="1604"/>
        <v>225.542</v>
      </c>
      <c r="X436" s="10">
        <f t="shared" si="1604"/>
        <v>224.56299999999999</v>
      </c>
      <c r="Y436" s="10">
        <f t="shared" si="1604"/>
        <v>217.89599999999999</v>
      </c>
      <c r="Z436" s="10">
        <f t="shared" si="1604"/>
        <v>211.27699999999999</v>
      </c>
      <c r="AA436" s="10">
        <f t="shared" si="1604"/>
        <v>199.904</v>
      </c>
      <c r="AB436" s="10">
        <f t="shared" si="1604"/>
        <v>193.453</v>
      </c>
      <c r="AC436" s="10">
        <f t="shared" si="1604"/>
        <v>195.89400000000001</v>
      </c>
      <c r="AD436" s="10">
        <f t="shared" si="1604"/>
        <v>204.76900000000001</v>
      </c>
      <c r="AE436" s="10">
        <f t="shared" si="1604"/>
        <v>219.149</v>
      </c>
      <c r="AF436" s="10">
        <f t="shared" si="1604"/>
        <v>226.017</v>
      </c>
      <c r="AG436" s="10">
        <f t="shared" si="1604"/>
        <v>235.619</v>
      </c>
      <c r="AQ436" s="10">
        <f>+AQ438-AQ437</f>
        <v>-5.2480000000000002</v>
      </c>
      <c r="AR436" s="10">
        <f t="shared" ref="AR436:AW436" si="1605">+AR438-AR437</f>
        <v>8.4059999999999988</v>
      </c>
      <c r="AS436" s="10">
        <f t="shared" si="1605"/>
        <v>-1.159</v>
      </c>
      <c r="AT436" s="10">
        <f t="shared" si="1605"/>
        <v>-6.84</v>
      </c>
      <c r="AU436" s="10">
        <f t="shared" si="1605"/>
        <v>225.542</v>
      </c>
      <c r="AV436" s="10">
        <f t="shared" si="1605"/>
        <v>199.904</v>
      </c>
      <c r="AW436" s="10">
        <f t="shared" si="1605"/>
        <v>219.149</v>
      </c>
      <c r="AX436" s="10"/>
      <c r="AY436" s="10"/>
    </row>
    <row r="437" spans="1:51" ht="13.5" x14ac:dyDescent="0.35">
      <c r="B437" t="s">
        <v>379</v>
      </c>
      <c r="T437" s="17">
        <v>0</v>
      </c>
      <c r="U437" s="17">
        <v>0</v>
      </c>
      <c r="V437" s="17">
        <v>0</v>
      </c>
      <c r="W437" s="17">
        <v>0</v>
      </c>
      <c r="X437" s="17">
        <v>0</v>
      </c>
      <c r="Y437" s="17">
        <v>0</v>
      </c>
      <c r="Z437" s="17">
        <v>0</v>
      </c>
      <c r="AA437" s="17">
        <v>0</v>
      </c>
      <c r="AB437" s="17">
        <v>0</v>
      </c>
      <c r="AC437" s="17">
        <v>0</v>
      </c>
      <c r="AD437" s="17">
        <v>0</v>
      </c>
      <c r="AE437" s="17">
        <v>5.1660000000000004</v>
      </c>
      <c r="AF437" s="17">
        <v>5.0309999999999997</v>
      </c>
      <c r="AG437" s="17">
        <v>4.8029999999999999</v>
      </c>
      <c r="AQ437" s="17">
        <v>0</v>
      </c>
      <c r="AR437" s="17">
        <v>0</v>
      </c>
      <c r="AS437" s="17">
        <v>0</v>
      </c>
      <c r="AT437" s="17">
        <v>0</v>
      </c>
      <c r="AU437" s="17">
        <v>0</v>
      </c>
      <c r="AV437" s="17">
        <v>0</v>
      </c>
      <c r="AW437" s="29">
        <f t="shared" ref="AW437" si="1606">+AE437</f>
        <v>5.1660000000000004</v>
      </c>
    </row>
    <row r="438" spans="1:51" s="3" customFormat="1" x14ac:dyDescent="0.2">
      <c r="A438" s="2"/>
      <c r="B438" s="24" t="s">
        <v>337</v>
      </c>
      <c r="T438" s="22">
        <v>139.911</v>
      </c>
      <c r="U438" s="22">
        <v>149.465</v>
      </c>
      <c r="V438" s="22">
        <v>150.05500000000001</v>
      </c>
      <c r="W438" s="22">
        <v>225.542</v>
      </c>
      <c r="X438" s="22">
        <v>224.56299999999999</v>
      </c>
      <c r="Y438" s="22">
        <v>217.89599999999999</v>
      </c>
      <c r="Z438" s="22">
        <v>211.27699999999999</v>
      </c>
      <c r="AA438" s="22">
        <v>199.904</v>
      </c>
      <c r="AB438" s="22">
        <v>193.453</v>
      </c>
      <c r="AC438" s="22">
        <v>195.89400000000001</v>
      </c>
      <c r="AD438" s="22">
        <v>204.76900000000001</v>
      </c>
      <c r="AE438" s="22">
        <v>224.315</v>
      </c>
      <c r="AF438" s="22">
        <v>231.048</v>
      </c>
      <c r="AG438" s="22">
        <v>240.422</v>
      </c>
      <c r="AQ438" s="22">
        <v>-5.2480000000000002</v>
      </c>
      <c r="AR438" s="22">
        <v>8.4059999999999988</v>
      </c>
      <c r="AS438" s="22">
        <v>-1.159</v>
      </c>
      <c r="AT438" s="22">
        <v>-6.84</v>
      </c>
      <c r="AU438" s="22">
        <v>225.542</v>
      </c>
      <c r="AV438" s="22">
        <v>199.904</v>
      </c>
      <c r="AW438" s="98">
        <f t="shared" si="1577"/>
        <v>224.315</v>
      </c>
    </row>
    <row r="439" spans="1:51" x14ac:dyDescent="0.2">
      <c r="AW439" s="258"/>
    </row>
    <row r="440" spans="1:51" s="3" customFormat="1" x14ac:dyDescent="0.2">
      <c r="A440" s="2"/>
      <c r="B440" s="3" t="s">
        <v>166</v>
      </c>
      <c r="T440" s="23">
        <f>T431+T433+T438+T434</f>
        <v>193.863</v>
      </c>
      <c r="U440" s="23">
        <f t="shared" ref="U440:AG440" si="1607">U431+U433+U438+U434</f>
        <v>209.9</v>
      </c>
      <c r="V440" s="23">
        <f t="shared" si="1607"/>
        <v>218.79300000000001</v>
      </c>
      <c r="W440" s="23">
        <f t="shared" si="1607"/>
        <v>300.07400000000001</v>
      </c>
      <c r="X440" s="23">
        <f t="shared" si="1607"/>
        <v>307.447</v>
      </c>
      <c r="Y440" s="23">
        <f t="shared" si="1607"/>
        <v>302.24299999999999</v>
      </c>
      <c r="Z440" s="23">
        <f t="shared" si="1607"/>
        <v>293.78499999999997</v>
      </c>
      <c r="AA440" s="23">
        <f t="shared" si="1607"/>
        <v>298.69</v>
      </c>
      <c r="AB440" s="23">
        <f t="shared" si="1607"/>
        <v>295.5</v>
      </c>
      <c r="AC440" s="23">
        <f t="shared" si="1607"/>
        <v>293.88900000000001</v>
      </c>
      <c r="AD440" s="23">
        <f t="shared" si="1607"/>
        <v>301.96199999999999</v>
      </c>
      <c r="AE440" s="23">
        <f t="shared" si="1607"/>
        <v>331.49</v>
      </c>
      <c r="AF440" s="23">
        <f t="shared" si="1607"/>
        <v>341.73</v>
      </c>
      <c r="AG440" s="23">
        <f t="shared" si="1607"/>
        <v>372.94499999999999</v>
      </c>
      <c r="AQ440" s="23">
        <f t="shared" ref="AQ440:AV440" si="1608">AQ431+AQ433+AQ438+AQ434</f>
        <v>13.937999999999999</v>
      </c>
      <c r="AR440" s="23">
        <f t="shared" si="1608"/>
        <v>37.927999999999997</v>
      </c>
      <c r="AS440" s="23">
        <f t="shared" si="1608"/>
        <v>47.675999999999995</v>
      </c>
      <c r="AT440" s="23">
        <f t="shared" si="1608"/>
        <v>54.957999999999998</v>
      </c>
      <c r="AU440" s="23">
        <f t="shared" si="1608"/>
        <v>300.07400000000001</v>
      </c>
      <c r="AV440" s="23">
        <f t="shared" si="1608"/>
        <v>298.69</v>
      </c>
      <c r="AW440" s="98">
        <f t="shared" si="1577"/>
        <v>331.49</v>
      </c>
    </row>
    <row r="441" spans="1:51" s="3" customFormat="1" x14ac:dyDescent="0.2">
      <c r="A441" s="2"/>
      <c r="AQ441" s="23"/>
      <c r="AR441" s="23"/>
      <c r="AS441" s="23"/>
      <c r="AT441" s="23"/>
    </row>
    <row r="442" spans="1:51" s="3" customFormat="1" x14ac:dyDescent="0.2">
      <c r="A442" s="2"/>
      <c r="AQ442" s="23"/>
      <c r="AR442" s="23"/>
      <c r="AS442" s="23"/>
      <c r="AT442" s="23"/>
    </row>
    <row r="443" spans="1:51" s="5" customFormat="1" x14ac:dyDescent="0.2">
      <c r="A443" s="4"/>
      <c r="B443" s="5" t="s">
        <v>177</v>
      </c>
      <c r="AQ443" s="143"/>
      <c r="AR443" s="143"/>
      <c r="AS443" s="143"/>
      <c r="AT443" s="143"/>
    </row>
    <row r="444" spans="1:51" s="3" customFormat="1" x14ac:dyDescent="0.2">
      <c r="A444" s="2"/>
      <c r="B444" s="122" t="s">
        <v>179</v>
      </c>
      <c r="AQ444" s="23"/>
      <c r="AR444" s="23"/>
      <c r="AS444" s="23"/>
      <c r="AT444" s="23"/>
    </row>
  </sheetData>
  <phoneticPr fontId="7" type="noConversion"/>
  <pageMargins left="0.3" right="0.3" top="0.3" bottom="0.3" header="0.3" footer="0.3"/>
  <pageSetup scale="47" fitToHeight="6" orientation="landscape" r:id="rId1"/>
  <headerFooter>
    <oddFooter>&amp;C&amp;10Page &amp;P of &amp;N</oddFooter>
  </headerFooter>
  <rowBreaks count="5" manualBreakCount="5">
    <brk id="114" min="1" max="50" man="1"/>
    <brk id="203" min="1" max="50" man="1"/>
    <brk id="249" min="1" max="50" man="1"/>
    <brk id="272" min="1" max="50" man="1"/>
    <brk id="341" min="1" max="50"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A351-8D49-4A5B-8AE5-D0591F4FDAAC}">
  <sheetPr>
    <pageSetUpPr fitToPage="1"/>
  </sheetPr>
  <dimension ref="B2:AY45"/>
  <sheetViews>
    <sheetView showGridLines="0" view="pageBreakPreview" zoomScaleNormal="100" zoomScaleSheetLayoutView="100" workbookViewId="0">
      <selection activeCell="K9" sqref="K9"/>
    </sheetView>
  </sheetViews>
  <sheetFormatPr defaultRowHeight="11.25" outlineLevelCol="1" x14ac:dyDescent="0.2"/>
  <cols>
    <col min="1" max="1" width="2.83203125" customWidth="1"/>
    <col min="2" max="2" width="8.83203125" customWidth="1"/>
    <col min="3" max="3" width="7.83203125" customWidth="1"/>
    <col min="4" max="4" width="7.83203125" hidden="1" customWidth="1" outlineLevel="1"/>
    <col min="5" max="5" width="7.83203125" customWidth="1" collapsed="1"/>
    <col min="6" max="11" width="7.83203125" customWidth="1"/>
    <col min="12" max="12" width="1.83203125" customWidth="1"/>
    <col min="13" max="19" width="7.83203125" customWidth="1"/>
    <col min="20" max="20" width="9.1640625" customWidth="1"/>
    <col min="21" max="21" width="1.83203125" customWidth="1"/>
    <col min="22" max="28" width="9.1640625" customWidth="1"/>
    <col min="29" max="29" width="2.83203125" customWidth="1"/>
    <col min="30" max="36" width="7.83203125" customWidth="1"/>
    <col min="37" max="37" width="9.1640625" customWidth="1"/>
    <col min="38" max="38" width="1.83203125" customWidth="1"/>
    <col min="39" max="45" width="9.1640625" customWidth="1"/>
  </cols>
  <sheetData>
    <row r="2" spans="2:45" s="3" customFormat="1" x14ac:dyDescent="0.2">
      <c r="B2" s="3" t="s">
        <v>0</v>
      </c>
      <c r="S2" s="30"/>
      <c r="T2" s="30"/>
      <c r="AB2" s="30"/>
      <c r="AC2" s="30"/>
      <c r="AJ2" s="30"/>
      <c r="AK2" s="30"/>
      <c r="AS2" s="30">
        <f ca="1">+TODAY()</f>
        <v>45796</v>
      </c>
    </row>
    <row r="3" spans="2:45" s="5" customFormat="1" x14ac:dyDescent="0.2">
      <c r="B3" s="5" t="s">
        <v>219</v>
      </c>
    </row>
    <row r="4" spans="2:45" s="3" customFormat="1" x14ac:dyDescent="0.2">
      <c r="B4" s="6" t="s">
        <v>2</v>
      </c>
      <c r="C4" s="6"/>
      <c r="D4" s="6"/>
    </row>
    <row r="5" spans="2:45" x14ac:dyDescent="0.2">
      <c r="E5" s="172" t="s">
        <v>17</v>
      </c>
      <c r="F5" s="173"/>
      <c r="G5" s="173"/>
      <c r="H5" s="173"/>
      <c r="I5" s="173"/>
      <c r="J5" s="173"/>
      <c r="K5" s="174"/>
      <c r="M5" s="172" t="s">
        <v>344</v>
      </c>
      <c r="N5" s="173"/>
      <c r="O5" s="173"/>
      <c r="P5" s="173"/>
      <c r="Q5" s="173"/>
      <c r="R5" s="173"/>
      <c r="S5" s="174"/>
      <c r="T5" s="174"/>
      <c r="V5" s="172" t="s">
        <v>358</v>
      </c>
      <c r="W5" s="173"/>
      <c r="X5" s="173"/>
      <c r="Y5" s="173"/>
      <c r="Z5" s="173"/>
      <c r="AA5" s="173"/>
      <c r="AB5" s="174"/>
      <c r="AC5" s="274"/>
      <c r="AD5" s="172" t="s">
        <v>200</v>
      </c>
      <c r="AE5" s="173"/>
      <c r="AF5" s="173"/>
      <c r="AG5" s="173"/>
      <c r="AH5" s="173"/>
      <c r="AI5" s="173"/>
      <c r="AJ5" s="174"/>
      <c r="AK5" s="174"/>
      <c r="AM5" s="172" t="s">
        <v>233</v>
      </c>
      <c r="AN5" s="173"/>
      <c r="AO5" s="173"/>
      <c r="AP5" s="173"/>
      <c r="AQ5" s="173"/>
      <c r="AR5" s="173"/>
      <c r="AS5" s="174"/>
    </row>
    <row r="6" spans="2:45" ht="42.75" x14ac:dyDescent="0.2">
      <c r="E6" s="149"/>
      <c r="F6" s="175" t="s">
        <v>220</v>
      </c>
      <c r="G6" s="149"/>
      <c r="H6" s="176" t="s">
        <v>17</v>
      </c>
      <c r="I6" s="177"/>
      <c r="J6" s="178" t="s">
        <v>221</v>
      </c>
      <c r="K6" s="177"/>
      <c r="M6" s="149"/>
      <c r="N6" s="175" t="s">
        <v>362</v>
      </c>
      <c r="O6" s="149"/>
      <c r="P6" s="176" t="s">
        <v>361</v>
      </c>
      <c r="Q6" s="177"/>
      <c r="R6" s="178" t="s">
        <v>221</v>
      </c>
      <c r="S6" s="177"/>
      <c r="T6" s="203" t="s">
        <v>234</v>
      </c>
      <c r="V6" s="149"/>
      <c r="W6" s="175" t="s">
        <v>360</v>
      </c>
      <c r="X6" s="149"/>
      <c r="Y6" s="176" t="s">
        <v>359</v>
      </c>
      <c r="Z6" s="177"/>
      <c r="AA6" s="178" t="s">
        <v>221</v>
      </c>
      <c r="AB6" s="177"/>
      <c r="AC6" s="152"/>
      <c r="AD6" s="149"/>
      <c r="AE6" s="175" t="s">
        <v>229</v>
      </c>
      <c r="AF6" s="149"/>
      <c r="AG6" s="176" t="s">
        <v>230</v>
      </c>
      <c r="AH6" s="177"/>
      <c r="AI6" s="178" t="s">
        <v>221</v>
      </c>
      <c r="AJ6" s="177"/>
      <c r="AK6" s="203" t="s">
        <v>234</v>
      </c>
      <c r="AM6" s="149"/>
      <c r="AN6" s="175" t="s">
        <v>231</v>
      </c>
      <c r="AO6" s="149"/>
      <c r="AP6" s="176" t="s">
        <v>232</v>
      </c>
      <c r="AQ6" s="177"/>
      <c r="AR6" s="178" t="s">
        <v>221</v>
      </c>
      <c r="AS6" s="177"/>
    </row>
    <row r="7" spans="2:45" ht="13.5" x14ac:dyDescent="0.35">
      <c r="B7" s="248" t="s">
        <v>310</v>
      </c>
      <c r="C7" s="179" t="s">
        <v>222</v>
      </c>
      <c r="D7" s="7" t="s">
        <v>223</v>
      </c>
      <c r="E7" s="7" t="s">
        <v>224</v>
      </c>
      <c r="F7" s="7" t="s">
        <v>225</v>
      </c>
      <c r="G7" s="7" t="s">
        <v>226</v>
      </c>
      <c r="H7" s="7" t="s">
        <v>198</v>
      </c>
      <c r="I7" s="180" t="s">
        <v>224</v>
      </c>
      <c r="J7" s="180" t="s">
        <v>225</v>
      </c>
      <c r="K7" s="180" t="s">
        <v>226</v>
      </c>
      <c r="M7" s="7" t="s">
        <v>224</v>
      </c>
      <c r="N7" s="7" t="s">
        <v>225</v>
      </c>
      <c r="O7" s="7" t="s">
        <v>226</v>
      </c>
      <c r="P7" s="7" t="s">
        <v>198</v>
      </c>
      <c r="Q7" s="180" t="s">
        <v>224</v>
      </c>
      <c r="R7" s="180" t="s">
        <v>225</v>
      </c>
      <c r="S7" s="180" t="s">
        <v>226</v>
      </c>
      <c r="T7" s="154" t="s">
        <v>225</v>
      </c>
      <c r="V7" s="7" t="s">
        <v>224</v>
      </c>
      <c r="W7" s="7" t="s">
        <v>225</v>
      </c>
      <c r="X7" s="7" t="s">
        <v>226</v>
      </c>
      <c r="Y7" s="7" t="s">
        <v>198</v>
      </c>
      <c r="Z7" s="180" t="s">
        <v>224</v>
      </c>
      <c r="AA7" s="180" t="s">
        <v>225</v>
      </c>
      <c r="AB7" s="180" t="s">
        <v>226</v>
      </c>
      <c r="AC7" s="154"/>
      <c r="AD7" s="7" t="s">
        <v>224</v>
      </c>
      <c r="AE7" s="7" t="s">
        <v>225</v>
      </c>
      <c r="AF7" s="7" t="s">
        <v>226</v>
      </c>
      <c r="AG7" s="7" t="s">
        <v>198</v>
      </c>
      <c r="AH7" s="180" t="s">
        <v>224</v>
      </c>
      <c r="AI7" s="180" t="s">
        <v>225</v>
      </c>
      <c r="AJ7" s="180" t="s">
        <v>226</v>
      </c>
      <c r="AK7" s="154" t="s">
        <v>225</v>
      </c>
      <c r="AM7" s="7" t="s">
        <v>224</v>
      </c>
      <c r="AN7" s="7" t="s">
        <v>225</v>
      </c>
      <c r="AO7" s="7" t="s">
        <v>226</v>
      </c>
      <c r="AP7" s="7" t="s">
        <v>198</v>
      </c>
      <c r="AQ7" s="180" t="s">
        <v>224</v>
      </c>
      <c r="AR7" s="180" t="s">
        <v>225</v>
      </c>
      <c r="AS7" s="180" t="s">
        <v>226</v>
      </c>
    </row>
    <row r="8" spans="2:45" x14ac:dyDescent="0.2">
      <c r="B8" s="3"/>
      <c r="C8" s="3"/>
      <c r="D8" s="176"/>
      <c r="E8" s="176"/>
      <c r="F8" s="176"/>
      <c r="G8" s="176"/>
      <c r="H8" s="176"/>
      <c r="I8" s="246"/>
      <c r="J8" s="246"/>
      <c r="K8" s="246"/>
      <c r="M8" s="176"/>
      <c r="N8" s="176"/>
      <c r="O8" s="176"/>
      <c r="P8" s="176"/>
      <c r="Q8" s="246"/>
      <c r="R8" s="246"/>
      <c r="S8" s="246"/>
      <c r="T8" s="247"/>
      <c r="V8" s="176"/>
      <c r="W8" s="176"/>
      <c r="X8" s="176"/>
      <c r="Y8" s="176"/>
      <c r="Z8" s="246"/>
      <c r="AA8" s="246"/>
      <c r="AB8" s="246"/>
      <c r="AC8" s="247"/>
      <c r="AD8" s="176"/>
      <c r="AE8" s="176"/>
      <c r="AF8" s="176"/>
      <c r="AG8" s="176"/>
      <c r="AH8" s="246"/>
      <c r="AI8" s="246"/>
      <c r="AJ8" s="246"/>
      <c r="AK8" s="247"/>
      <c r="AM8" s="176"/>
      <c r="AN8" s="176"/>
      <c r="AO8" s="176"/>
      <c r="AP8" s="176"/>
      <c r="AQ8" s="246"/>
      <c r="AR8" s="246"/>
      <c r="AS8" s="246"/>
    </row>
    <row r="9" spans="2:45" x14ac:dyDescent="0.2">
      <c r="B9" s="25" t="s">
        <v>308</v>
      </c>
      <c r="C9" s="25"/>
      <c r="D9" s="176"/>
      <c r="E9" s="176"/>
      <c r="F9" s="176"/>
      <c r="G9" s="176"/>
      <c r="H9" s="176"/>
      <c r="I9" s="246"/>
      <c r="J9" s="246"/>
      <c r="K9" s="246"/>
      <c r="M9" s="176"/>
      <c r="N9" s="176"/>
      <c r="O9" s="176"/>
      <c r="P9" s="176"/>
      <c r="Q9" s="246"/>
      <c r="R9" s="246"/>
      <c r="S9" s="246"/>
      <c r="T9" s="247"/>
      <c r="V9" s="176"/>
      <c r="W9" s="176"/>
      <c r="X9" s="176"/>
      <c r="Y9" s="176"/>
      <c r="Z9" s="246"/>
      <c r="AA9" s="246"/>
      <c r="AB9" s="246"/>
      <c r="AC9" s="247"/>
      <c r="AD9" s="176"/>
      <c r="AE9" s="176"/>
      <c r="AF9" s="176"/>
      <c r="AG9" s="176"/>
      <c r="AH9" s="246"/>
      <c r="AI9" s="246"/>
      <c r="AJ9" s="246"/>
      <c r="AK9" s="247"/>
      <c r="AM9" s="176"/>
      <c r="AN9" s="176"/>
      <c r="AO9" s="176"/>
      <c r="AP9" s="176"/>
      <c r="AQ9" s="246"/>
      <c r="AR9" s="246"/>
      <c r="AS9" s="246"/>
    </row>
    <row r="10" spans="2:45" x14ac:dyDescent="0.2">
      <c r="B10" s="249" t="s">
        <v>91</v>
      </c>
      <c r="C10" t="s">
        <v>187</v>
      </c>
      <c r="D10" s="181">
        <v>44286</v>
      </c>
      <c r="E10" s="11">
        <v>37.299999999999997</v>
      </c>
      <c r="F10" s="10">
        <f t="shared" ref="F10:F17" si="0">+AVERAGE(E10,G10)</f>
        <v>37.65</v>
      </c>
      <c r="G10" s="11">
        <v>38</v>
      </c>
      <c r="H10" s="11">
        <v>39.997999999999998</v>
      </c>
      <c r="I10" s="182">
        <f t="shared" ref="I10:I14" si="1">+IFERROR($H10/E10-1,"n/a")</f>
        <v>7.2332439678284288E-2</v>
      </c>
      <c r="J10" s="182">
        <f t="shared" ref="J10:K14" si="2">+IFERROR($H10/F10-1,"n/a")</f>
        <v>6.2363877822045222E-2</v>
      </c>
      <c r="K10" s="182">
        <f t="shared" si="2"/>
        <v>5.2578947368421058E-2</v>
      </c>
      <c r="M10" s="199" t="s">
        <v>91</v>
      </c>
      <c r="N10" s="225" t="str">
        <f t="shared" ref="N10:N21" si="3">+IFERROR(AVERAGE(M10,O10),"n/a")</f>
        <v>n/a</v>
      </c>
      <c r="O10" s="199" t="s">
        <v>91</v>
      </c>
      <c r="P10" s="199" t="s">
        <v>91</v>
      </c>
      <c r="Q10" s="190" t="str">
        <f t="shared" ref="Q10:Q21" si="4">+IFERROR($AG10-M10,"n/a")</f>
        <v>n/a</v>
      </c>
      <c r="R10" s="190" t="str">
        <f t="shared" ref="R10:R21" si="5">+IFERROR($AG10-N10,"n/a")</f>
        <v>n/a</v>
      </c>
      <c r="S10" s="190" t="str">
        <f t="shared" ref="S10:S21" si="6">+IFERROR($AG10-O10,"n/a")</f>
        <v>n/a</v>
      </c>
      <c r="T10" s="200" t="str">
        <f>+IFERROR((P10-N10)/(H10-F10),"n/a")</f>
        <v>n/a</v>
      </c>
      <c r="V10" s="193" t="str">
        <f>+IFERROR(M10/#REF!,"n/a")</f>
        <v>n/a</v>
      </c>
      <c r="W10" s="193" t="str">
        <f>+IFERROR(N10/#REF!,"n/a")</f>
        <v>n/a</v>
      </c>
      <c r="X10" s="193" t="str">
        <f>+IFERROR(O10/#REF!,"n/a")</f>
        <v>n/a</v>
      </c>
      <c r="Y10" s="193" t="str">
        <f>+IFERROR(P10/#REF!,"n/a")</f>
        <v>n/a</v>
      </c>
      <c r="Z10" s="195" t="str">
        <f>+IFERROR($AP10-V10,"n/a")</f>
        <v>n/a</v>
      </c>
      <c r="AA10" s="195" t="str">
        <f t="shared" ref="AA10:AA21" si="7">+IFERROR($AP10-W10,"n/a")</f>
        <v>n/a</v>
      </c>
      <c r="AB10" s="195" t="str">
        <f t="shared" ref="AB10:AB21" si="8">+IFERROR($AP10-X10,"n/a")</f>
        <v>n/a</v>
      </c>
      <c r="AC10" s="121"/>
      <c r="AD10" s="198">
        <v>-3</v>
      </c>
      <c r="AE10" s="171">
        <f t="shared" ref="AE10:AE17" si="9">+AVERAGE(AD10,AF10)</f>
        <v>-3.85</v>
      </c>
      <c r="AF10" s="198">
        <v>-4.7</v>
      </c>
      <c r="AG10" s="198">
        <v>2.1</v>
      </c>
      <c r="AH10" s="190">
        <f>+IFERROR($AG10-AD10,"n/a")</f>
        <v>5.0999999999999996</v>
      </c>
      <c r="AI10" s="190">
        <f t="shared" ref="AI10:AJ10" si="10">+IFERROR($AG10-AE10,"n/a")</f>
        <v>5.95</v>
      </c>
      <c r="AJ10" s="190">
        <f t="shared" si="10"/>
        <v>6.8000000000000007</v>
      </c>
      <c r="AK10" s="200">
        <f>+IFERROR((AG10-AE10)/(H10-F10),"n/a")</f>
        <v>2.534071550255538</v>
      </c>
      <c r="AM10" s="193">
        <f>+IFERROR(AD10/E10,"n/a")</f>
        <v>-8.0428954423592505E-2</v>
      </c>
      <c r="AN10" s="193">
        <f>+IFERROR(AE10/F10,"n/a")</f>
        <v>-0.10225763612217796</v>
      </c>
      <c r="AO10" s="193">
        <f>+IFERROR(AF10/G10,"n/a")</f>
        <v>-0.1236842105263158</v>
      </c>
      <c r="AP10" s="193">
        <f>+IFERROR(AG10/H10,"n/a")</f>
        <v>5.2502625131256565E-2</v>
      </c>
      <c r="AQ10" s="195">
        <f>+IFERROR($AP10-AM10,"n/a")</f>
        <v>0.13293157955484908</v>
      </c>
      <c r="AR10" s="195">
        <f t="shared" ref="AR10:AS10" si="11">+IFERROR($AP10-AN10,"n/a")</f>
        <v>0.15476026125343453</v>
      </c>
      <c r="AS10" s="195">
        <f t="shared" si="11"/>
        <v>0.17618683565757237</v>
      </c>
    </row>
    <row r="11" spans="2:45" x14ac:dyDescent="0.2">
      <c r="B11" s="249">
        <v>44327</v>
      </c>
      <c r="C11" t="s">
        <v>191</v>
      </c>
      <c r="D11" s="181">
        <v>44377</v>
      </c>
      <c r="E11" s="11">
        <v>42.2</v>
      </c>
      <c r="F11" s="10">
        <f t="shared" si="0"/>
        <v>42.45</v>
      </c>
      <c r="G11" s="11">
        <v>42.7</v>
      </c>
      <c r="H11" s="11">
        <v>45.005000000000003</v>
      </c>
      <c r="I11" s="182">
        <f t="shared" si="1"/>
        <v>6.6469194312796187E-2</v>
      </c>
      <c r="J11" s="182">
        <f t="shared" si="2"/>
        <v>6.0188457008244933E-2</v>
      </c>
      <c r="K11" s="182">
        <f t="shared" si="2"/>
        <v>5.3981264637002369E-2</v>
      </c>
      <c r="M11" s="199" t="s">
        <v>91</v>
      </c>
      <c r="N11" s="225" t="str">
        <f t="shared" si="3"/>
        <v>n/a</v>
      </c>
      <c r="O11" s="199" t="s">
        <v>91</v>
      </c>
      <c r="P11" s="199" t="s">
        <v>91</v>
      </c>
      <c r="Q11" s="190" t="str">
        <f t="shared" si="4"/>
        <v>n/a</v>
      </c>
      <c r="R11" s="190" t="str">
        <f t="shared" si="5"/>
        <v>n/a</v>
      </c>
      <c r="S11" s="190" t="str">
        <f t="shared" si="6"/>
        <v>n/a</v>
      </c>
      <c r="T11" s="200" t="str">
        <f t="shared" ref="T11:T23" si="12">+IFERROR((P11-N11)/(H11-F11),"n/a")</f>
        <v>n/a</v>
      </c>
      <c r="V11" s="193" t="str">
        <f t="shared" ref="V11" si="13">+IFERROR(M11/#REF!,"n/a")</f>
        <v>n/a</v>
      </c>
      <c r="W11" s="193" t="str">
        <f t="shared" ref="W11" si="14">+IFERROR(N11/#REF!,"n/a")</f>
        <v>n/a</v>
      </c>
      <c r="X11" s="193" t="str">
        <f t="shared" ref="X11" si="15">+IFERROR(O11/#REF!,"n/a")</f>
        <v>n/a</v>
      </c>
      <c r="Y11" s="193" t="str">
        <f t="shared" ref="Y11" si="16">+IFERROR(P11/#REF!,"n/a")</f>
        <v>n/a</v>
      </c>
      <c r="Z11" s="195" t="str">
        <f t="shared" ref="Z11:Z21" si="17">+IFERROR($AP11-V11,"n/a")</f>
        <v>n/a</v>
      </c>
      <c r="AA11" s="195" t="str">
        <f t="shared" si="7"/>
        <v>n/a</v>
      </c>
      <c r="AB11" s="195" t="str">
        <f t="shared" si="8"/>
        <v>n/a</v>
      </c>
      <c r="AC11" s="121"/>
      <c r="AD11" s="198">
        <v>-4.4000000000000004</v>
      </c>
      <c r="AE11" s="171">
        <f t="shared" si="9"/>
        <v>-4.25</v>
      </c>
      <c r="AF11" s="198">
        <v>-4.0999999999999996</v>
      </c>
      <c r="AG11" s="198">
        <v>0.28999999999999998</v>
      </c>
      <c r="AH11" s="190">
        <f t="shared" ref="AH11:AH14" si="18">+IFERROR($AG11-AD11,"n/a")</f>
        <v>4.6900000000000004</v>
      </c>
      <c r="AI11" s="190">
        <f t="shared" ref="AI11:AI14" si="19">+IFERROR($AG11-AE11,"n/a")</f>
        <v>4.54</v>
      </c>
      <c r="AJ11" s="190">
        <f t="shared" ref="AJ11:AJ14" si="20">+IFERROR($AG11-AF11,"n/a")</f>
        <v>4.3899999999999997</v>
      </c>
      <c r="AK11" s="200">
        <f t="shared" ref="AK11:AK14" si="21">+IFERROR((AG11-AE11)/(H11-F11),"n/a")</f>
        <v>1.7769080234833661</v>
      </c>
      <c r="AM11" s="193">
        <f t="shared" ref="AM11:AM13" si="22">+IFERROR(AD11/E11,"n/a")</f>
        <v>-0.1042654028436019</v>
      </c>
      <c r="AN11" s="193">
        <f t="shared" ref="AN11:AN13" si="23">+IFERROR(AE11/F11,"n/a")</f>
        <v>-0.10011778563015311</v>
      </c>
      <c r="AO11" s="193">
        <f t="shared" ref="AO11:AO13" si="24">+IFERROR(AF11/G11,"n/a")</f>
        <v>-9.601873536299764E-2</v>
      </c>
      <c r="AP11" s="193">
        <f t="shared" ref="AP11:AP13" si="25">+IFERROR(AG11/H11,"n/a")</f>
        <v>6.4437284746139308E-3</v>
      </c>
      <c r="AQ11" s="195">
        <f t="shared" ref="AQ11:AQ13" si="26">+IFERROR($AP11-AM11,"n/a")</f>
        <v>0.11070913131821583</v>
      </c>
      <c r="AR11" s="195">
        <f t="shared" ref="AR11:AR13" si="27">+IFERROR($AP11-AN11,"n/a")</f>
        <v>0.10656151410476704</v>
      </c>
      <c r="AS11" s="195">
        <f t="shared" ref="AS11:AS13" si="28">+IFERROR($AP11-AO11,"n/a")</f>
        <v>0.10246246383761157</v>
      </c>
    </row>
    <row r="12" spans="2:45" x14ac:dyDescent="0.2">
      <c r="B12" s="249">
        <v>44417</v>
      </c>
      <c r="C12" t="s">
        <v>193</v>
      </c>
      <c r="D12" s="181">
        <v>44469</v>
      </c>
      <c r="E12" s="11">
        <v>47.3</v>
      </c>
      <c r="F12" s="10">
        <f t="shared" si="0"/>
        <v>47.5</v>
      </c>
      <c r="G12" s="11">
        <v>47.7</v>
      </c>
      <c r="H12" s="11">
        <v>49.252000000000002</v>
      </c>
      <c r="I12" s="182">
        <f t="shared" si="1"/>
        <v>4.1268498942917731E-2</v>
      </c>
      <c r="J12" s="182">
        <f t="shared" si="2"/>
        <v>3.6884210526315853E-2</v>
      </c>
      <c r="K12" s="182">
        <f t="shared" si="2"/>
        <v>3.253668763102735E-2</v>
      </c>
      <c r="M12" s="199" t="s">
        <v>91</v>
      </c>
      <c r="N12" s="225" t="str">
        <f t="shared" si="3"/>
        <v>n/a</v>
      </c>
      <c r="O12" s="199" t="s">
        <v>91</v>
      </c>
      <c r="P12" s="199" t="s">
        <v>91</v>
      </c>
      <c r="Q12" s="190" t="str">
        <f t="shared" si="4"/>
        <v>n/a</v>
      </c>
      <c r="R12" s="190" t="str">
        <f t="shared" si="5"/>
        <v>n/a</v>
      </c>
      <c r="S12" s="190" t="str">
        <f t="shared" si="6"/>
        <v>n/a</v>
      </c>
      <c r="T12" s="200" t="str">
        <f t="shared" si="12"/>
        <v>n/a</v>
      </c>
      <c r="V12" s="193" t="str">
        <f t="shared" ref="V12" si="29">+IFERROR(M12/#REF!,"n/a")</f>
        <v>n/a</v>
      </c>
      <c r="W12" s="193" t="str">
        <f t="shared" ref="W12" si="30">+IFERROR(N12/#REF!,"n/a")</f>
        <v>n/a</v>
      </c>
      <c r="X12" s="193" t="str">
        <f t="shared" ref="X12" si="31">+IFERROR(O12/#REF!,"n/a")</f>
        <v>n/a</v>
      </c>
      <c r="Y12" s="193" t="str">
        <f t="shared" ref="Y12" si="32">+IFERROR(P12/#REF!,"n/a")</f>
        <v>n/a</v>
      </c>
      <c r="Z12" s="195" t="str">
        <f t="shared" si="17"/>
        <v>n/a</v>
      </c>
      <c r="AA12" s="195" t="str">
        <f t="shared" si="7"/>
        <v>n/a</v>
      </c>
      <c r="AB12" s="195" t="str">
        <f t="shared" si="8"/>
        <v>n/a</v>
      </c>
      <c r="AC12" s="121"/>
      <c r="AD12" s="198">
        <v>-4.5</v>
      </c>
      <c r="AE12" s="171">
        <f t="shared" si="9"/>
        <v>-4.25</v>
      </c>
      <c r="AF12" s="198">
        <v>-4</v>
      </c>
      <c r="AG12" s="198">
        <v>1.2E-2</v>
      </c>
      <c r="AH12" s="190">
        <f t="shared" si="18"/>
        <v>4.5119999999999996</v>
      </c>
      <c r="AI12" s="190">
        <f t="shared" si="19"/>
        <v>4.2619999999999996</v>
      </c>
      <c r="AJ12" s="190">
        <f t="shared" si="20"/>
        <v>4.0119999999999996</v>
      </c>
      <c r="AK12" s="200">
        <f t="shared" si="21"/>
        <v>2.4326484018264805</v>
      </c>
      <c r="AM12" s="193">
        <f t="shared" si="22"/>
        <v>-9.5137420718816076E-2</v>
      </c>
      <c r="AN12" s="193">
        <f t="shared" si="23"/>
        <v>-8.9473684210526316E-2</v>
      </c>
      <c r="AO12" s="193">
        <f t="shared" si="24"/>
        <v>-8.3857442348008376E-2</v>
      </c>
      <c r="AP12" s="193">
        <f t="shared" si="25"/>
        <v>2.4364492812474619E-4</v>
      </c>
      <c r="AQ12" s="195">
        <f t="shared" si="26"/>
        <v>9.5381065646940821E-2</v>
      </c>
      <c r="AR12" s="195">
        <f t="shared" si="27"/>
        <v>8.9717329138651061E-2</v>
      </c>
      <c r="AS12" s="195">
        <f t="shared" si="28"/>
        <v>8.4101087276133121E-2</v>
      </c>
    </row>
    <row r="13" spans="2:45" x14ac:dyDescent="0.2">
      <c r="B13" s="249">
        <v>44509</v>
      </c>
      <c r="C13" t="s">
        <v>201</v>
      </c>
      <c r="D13" s="181">
        <v>44561</v>
      </c>
      <c r="E13" s="11">
        <v>51.8</v>
      </c>
      <c r="F13" s="10">
        <f t="shared" si="0"/>
        <v>52.05</v>
      </c>
      <c r="G13" s="11">
        <v>52.3</v>
      </c>
      <c r="H13" s="112">
        <v>53.746000000000002</v>
      </c>
      <c r="I13" s="182">
        <f t="shared" si="1"/>
        <v>3.7567567567567739E-2</v>
      </c>
      <c r="J13" s="182">
        <f t="shared" si="2"/>
        <v>3.2584053794428636E-2</v>
      </c>
      <c r="K13" s="182">
        <f t="shared" si="2"/>
        <v>2.7648183556405526E-2</v>
      </c>
      <c r="M13" s="199" t="s">
        <v>91</v>
      </c>
      <c r="N13" s="225" t="str">
        <f t="shared" si="3"/>
        <v>n/a</v>
      </c>
      <c r="O13" s="199" t="s">
        <v>91</v>
      </c>
      <c r="P13" s="199" t="s">
        <v>91</v>
      </c>
      <c r="Q13" s="190" t="str">
        <f t="shared" si="4"/>
        <v>n/a</v>
      </c>
      <c r="R13" s="190" t="str">
        <f t="shared" si="5"/>
        <v>n/a</v>
      </c>
      <c r="S13" s="190" t="str">
        <f t="shared" si="6"/>
        <v>n/a</v>
      </c>
      <c r="T13" s="200" t="str">
        <f t="shared" si="12"/>
        <v>n/a</v>
      </c>
      <c r="V13" s="193" t="str">
        <f t="shared" ref="V13" si="33">+IFERROR(M13/#REF!,"n/a")</f>
        <v>n/a</v>
      </c>
      <c r="W13" s="193" t="str">
        <f t="shared" ref="W13" si="34">+IFERROR(N13/#REF!,"n/a")</f>
        <v>n/a</v>
      </c>
      <c r="X13" s="193" t="str">
        <f t="shared" ref="X13" si="35">+IFERROR(O13/#REF!,"n/a")</f>
        <v>n/a</v>
      </c>
      <c r="Y13" s="193" t="str">
        <f t="shared" ref="Y13" si="36">+IFERROR(P13/#REF!,"n/a")</f>
        <v>n/a</v>
      </c>
      <c r="Z13" s="195" t="str">
        <f t="shared" si="17"/>
        <v>n/a</v>
      </c>
      <c r="AA13" s="195" t="str">
        <f t="shared" si="7"/>
        <v>n/a</v>
      </c>
      <c r="AB13" s="195" t="str">
        <f t="shared" si="8"/>
        <v>n/a</v>
      </c>
      <c r="AC13" s="121"/>
      <c r="AD13" s="198">
        <v>-5.5</v>
      </c>
      <c r="AE13" s="171">
        <f t="shared" si="9"/>
        <v>-5.25</v>
      </c>
      <c r="AF13" s="198">
        <v>-5</v>
      </c>
      <c r="AG13" s="199">
        <v>-2.9089999999999967</v>
      </c>
      <c r="AH13" s="190">
        <f t="shared" si="18"/>
        <v>2.5910000000000033</v>
      </c>
      <c r="AI13" s="190">
        <f t="shared" si="19"/>
        <v>2.3410000000000033</v>
      </c>
      <c r="AJ13" s="190">
        <f t="shared" si="20"/>
        <v>2.0910000000000033</v>
      </c>
      <c r="AK13" s="200">
        <f t="shared" si="21"/>
        <v>1.3803066037735827</v>
      </c>
      <c r="AM13" s="193">
        <f t="shared" si="22"/>
        <v>-0.10617760617760619</v>
      </c>
      <c r="AN13" s="193">
        <f t="shared" si="23"/>
        <v>-0.10086455331412104</v>
      </c>
      <c r="AO13" s="193">
        <f t="shared" si="24"/>
        <v>-9.5602294455066933E-2</v>
      </c>
      <c r="AP13" s="193">
        <f t="shared" si="25"/>
        <v>-5.412495813641939E-2</v>
      </c>
      <c r="AQ13" s="195">
        <f t="shared" si="26"/>
        <v>5.2052648041186797E-2</v>
      </c>
      <c r="AR13" s="195">
        <f t="shared" si="27"/>
        <v>4.6739595177701654E-2</v>
      </c>
      <c r="AS13" s="195">
        <f t="shared" si="28"/>
        <v>4.1477336318647542E-2</v>
      </c>
    </row>
    <row r="14" spans="2:45" x14ac:dyDescent="0.2">
      <c r="B14" s="249">
        <v>44620</v>
      </c>
      <c r="C14" t="s">
        <v>245</v>
      </c>
      <c r="D14" s="181">
        <v>44651</v>
      </c>
      <c r="E14" s="11">
        <v>55.8</v>
      </c>
      <c r="F14" s="10">
        <f t="shared" si="0"/>
        <v>56</v>
      </c>
      <c r="G14" s="11">
        <v>56.2</v>
      </c>
      <c r="H14" s="112">
        <v>57.128</v>
      </c>
      <c r="I14" s="182">
        <f t="shared" si="1"/>
        <v>2.3799283154121831E-2</v>
      </c>
      <c r="J14" s="182">
        <f t="shared" si="2"/>
        <v>2.014285714285724E-2</v>
      </c>
      <c r="K14" s="182">
        <f t="shared" si="2"/>
        <v>1.6512455516014102E-2</v>
      </c>
      <c r="M14" s="199" t="s">
        <v>91</v>
      </c>
      <c r="N14" s="225" t="str">
        <f t="shared" si="3"/>
        <v>n/a</v>
      </c>
      <c r="O14" s="199" t="s">
        <v>91</v>
      </c>
      <c r="P14" s="199" t="s">
        <v>91</v>
      </c>
      <c r="Q14" s="190" t="str">
        <f t="shared" si="4"/>
        <v>n/a</v>
      </c>
      <c r="R14" s="190" t="str">
        <f t="shared" si="5"/>
        <v>n/a</v>
      </c>
      <c r="S14" s="190" t="str">
        <f t="shared" si="6"/>
        <v>n/a</v>
      </c>
      <c r="T14" s="200" t="str">
        <f t="shared" si="12"/>
        <v>n/a</v>
      </c>
      <c r="V14" s="193" t="str">
        <f t="shared" ref="V14" si="37">+IFERROR(M14/#REF!,"n/a")</f>
        <v>n/a</v>
      </c>
      <c r="W14" s="193" t="str">
        <f t="shared" ref="W14" si="38">+IFERROR(N14/#REF!,"n/a")</f>
        <v>n/a</v>
      </c>
      <c r="X14" s="193" t="str">
        <f t="shared" ref="X14" si="39">+IFERROR(O14/#REF!,"n/a")</f>
        <v>n/a</v>
      </c>
      <c r="Y14" s="193" t="str">
        <f t="shared" ref="Y14" si="40">+IFERROR(P14/#REF!,"n/a")</f>
        <v>n/a</v>
      </c>
      <c r="Z14" s="195" t="str">
        <f t="shared" si="17"/>
        <v>n/a</v>
      </c>
      <c r="AA14" s="195" t="str">
        <f t="shared" si="7"/>
        <v>n/a</v>
      </c>
      <c r="AB14" s="195" t="str">
        <f t="shared" si="8"/>
        <v>n/a</v>
      </c>
      <c r="AC14" s="121"/>
      <c r="AD14" s="198">
        <v>-4.7</v>
      </c>
      <c r="AE14" s="171">
        <f t="shared" si="9"/>
        <v>-4.5999999999999996</v>
      </c>
      <c r="AF14" s="198">
        <v>-4.5</v>
      </c>
      <c r="AG14" s="199">
        <v>-1.639</v>
      </c>
      <c r="AH14" s="190">
        <f t="shared" si="18"/>
        <v>3.0609999999999999</v>
      </c>
      <c r="AI14" s="190">
        <f t="shared" si="19"/>
        <v>2.9609999999999994</v>
      </c>
      <c r="AJ14" s="190">
        <f t="shared" si="20"/>
        <v>2.8609999999999998</v>
      </c>
      <c r="AK14" s="200">
        <f t="shared" si="21"/>
        <v>2.6249999999999991</v>
      </c>
      <c r="AM14" s="193">
        <f t="shared" ref="AM14:AM18" si="41">+IFERROR(AD14/E14,"n/a")</f>
        <v>-8.4229390681003588E-2</v>
      </c>
      <c r="AN14" s="193">
        <f t="shared" ref="AN14:AN18" si="42">+IFERROR(AE14/F14,"n/a")</f>
        <v>-8.2142857142857142E-2</v>
      </c>
      <c r="AO14" s="193">
        <f t="shared" ref="AO14:AO18" si="43">+IFERROR(AF14/G14,"n/a")</f>
        <v>-8.0071174377224191E-2</v>
      </c>
      <c r="AP14" s="193">
        <f t="shared" ref="AP14:AP18" si="44">+IFERROR(AG14/H14,"n/a")</f>
        <v>-2.8689959389441255E-2</v>
      </c>
      <c r="AQ14" s="195">
        <f t="shared" ref="AQ14:AQ18" si="45">+IFERROR($AP14-AM14,"n/a")</f>
        <v>5.553943129156233E-2</v>
      </c>
      <c r="AR14" s="195">
        <f t="shared" ref="AR14:AR18" si="46">+IFERROR($AP14-AN14,"n/a")</f>
        <v>5.3452897753415884E-2</v>
      </c>
      <c r="AS14" s="195">
        <f t="shared" ref="AS14:AS18" si="47">+IFERROR($AP14-AO14,"n/a")</f>
        <v>5.1381214987782933E-2</v>
      </c>
    </row>
    <row r="15" spans="2:45" x14ac:dyDescent="0.2">
      <c r="B15" s="249">
        <v>44691</v>
      </c>
      <c r="C15" t="s">
        <v>251</v>
      </c>
      <c r="D15" s="181">
        <v>44742</v>
      </c>
      <c r="E15" s="11">
        <v>59.4</v>
      </c>
      <c r="F15" s="10">
        <f t="shared" si="0"/>
        <v>59.95</v>
      </c>
      <c r="G15" s="11">
        <v>60.5</v>
      </c>
      <c r="H15" s="112">
        <v>62.61</v>
      </c>
      <c r="I15" s="182">
        <f t="shared" ref="I15:I17" si="48">+IFERROR($H15/E15-1,"n/a")</f>
        <v>5.4040404040404111E-2</v>
      </c>
      <c r="J15" s="182">
        <f t="shared" ref="J15:J17" si="49">+IFERROR($H15/F15-1,"n/a")</f>
        <v>4.4370308590492069E-2</v>
      </c>
      <c r="K15" s="182">
        <f t="shared" ref="K15:K17" si="50">+IFERROR($H15/G15-1,"n/a")</f>
        <v>3.4876033057851252E-2</v>
      </c>
      <c r="M15" s="199" t="s">
        <v>91</v>
      </c>
      <c r="N15" s="225" t="str">
        <f t="shared" si="3"/>
        <v>n/a</v>
      </c>
      <c r="O15" s="199" t="s">
        <v>91</v>
      </c>
      <c r="P15" s="199" t="s">
        <v>91</v>
      </c>
      <c r="Q15" s="190" t="str">
        <f t="shared" si="4"/>
        <v>n/a</v>
      </c>
      <c r="R15" s="190" t="str">
        <f t="shared" si="5"/>
        <v>n/a</v>
      </c>
      <c r="S15" s="190" t="str">
        <f t="shared" si="6"/>
        <v>n/a</v>
      </c>
      <c r="T15" s="200" t="str">
        <f t="shared" si="12"/>
        <v>n/a</v>
      </c>
      <c r="V15" s="193" t="str">
        <f t="shared" ref="V15" si="51">+IFERROR(M15/#REF!,"n/a")</f>
        <v>n/a</v>
      </c>
      <c r="W15" s="193" t="str">
        <f t="shared" ref="W15" si="52">+IFERROR(N15/#REF!,"n/a")</f>
        <v>n/a</v>
      </c>
      <c r="X15" s="193" t="str">
        <f t="shared" ref="X15" si="53">+IFERROR(O15/#REF!,"n/a")</f>
        <v>n/a</v>
      </c>
      <c r="Y15" s="193" t="str">
        <f t="shared" ref="Y15" si="54">+IFERROR(P15/#REF!,"n/a")</f>
        <v>n/a</v>
      </c>
      <c r="Z15" s="195" t="str">
        <f t="shared" si="17"/>
        <v>n/a</v>
      </c>
      <c r="AA15" s="195" t="str">
        <f t="shared" si="7"/>
        <v>n/a</v>
      </c>
      <c r="AB15" s="195" t="str">
        <f t="shared" si="8"/>
        <v>n/a</v>
      </c>
      <c r="AC15" s="121"/>
      <c r="AD15" s="198">
        <v>-9</v>
      </c>
      <c r="AE15" s="171">
        <f t="shared" si="9"/>
        <v>-8.5</v>
      </c>
      <c r="AF15" s="198">
        <v>-8</v>
      </c>
      <c r="AG15" s="199">
        <v>-6.08</v>
      </c>
      <c r="AH15" s="190">
        <f t="shared" ref="AH15:AH17" si="55">+IFERROR($AG15-AD15,"n/a")</f>
        <v>2.92</v>
      </c>
      <c r="AI15" s="190">
        <f t="shared" ref="AI15:AI17" si="56">+IFERROR($AG15-AE15,"n/a")</f>
        <v>2.42</v>
      </c>
      <c r="AJ15" s="190">
        <f t="shared" ref="AJ15:AJ17" si="57">+IFERROR($AG15-AF15,"n/a")</f>
        <v>1.92</v>
      </c>
      <c r="AK15" s="200">
        <f t="shared" ref="AK15:AK17" si="58">+IFERROR((AG15-AE15)/(H15-F15),"n/a")</f>
        <v>0.90977443609022668</v>
      </c>
      <c r="AM15" s="193">
        <f t="shared" si="41"/>
        <v>-0.15151515151515152</v>
      </c>
      <c r="AN15" s="193">
        <f t="shared" si="42"/>
        <v>-0.14178482068390325</v>
      </c>
      <c r="AO15" s="193">
        <f t="shared" si="43"/>
        <v>-0.13223140495867769</v>
      </c>
      <c r="AP15" s="193">
        <f t="shared" si="44"/>
        <v>-9.7109088005111005E-2</v>
      </c>
      <c r="AQ15" s="195">
        <f t="shared" si="45"/>
        <v>5.4406063510040514E-2</v>
      </c>
      <c r="AR15" s="195">
        <f t="shared" si="46"/>
        <v>4.467573267879224E-2</v>
      </c>
      <c r="AS15" s="195">
        <f t="shared" si="47"/>
        <v>3.5122316953566685E-2</v>
      </c>
    </row>
    <row r="16" spans="2:45" x14ac:dyDescent="0.2">
      <c r="B16" s="249">
        <v>44783</v>
      </c>
      <c r="C16" t="s">
        <v>269</v>
      </c>
      <c r="D16" s="181">
        <v>44834</v>
      </c>
      <c r="E16" s="11">
        <v>63.8</v>
      </c>
      <c r="F16" s="10">
        <f t="shared" si="0"/>
        <v>64</v>
      </c>
      <c r="G16" s="11">
        <v>64.2</v>
      </c>
      <c r="H16" s="112">
        <v>65.793000000000006</v>
      </c>
      <c r="I16" s="182">
        <f t="shared" si="48"/>
        <v>3.1238244514106839E-2</v>
      </c>
      <c r="J16" s="182">
        <f t="shared" si="49"/>
        <v>2.8015625000000099E-2</v>
      </c>
      <c r="K16" s="182">
        <f t="shared" si="50"/>
        <v>2.4813084112149664E-2</v>
      </c>
      <c r="M16" s="199" t="s">
        <v>91</v>
      </c>
      <c r="N16" s="225" t="str">
        <f t="shared" si="3"/>
        <v>n/a</v>
      </c>
      <c r="O16" s="199" t="s">
        <v>91</v>
      </c>
      <c r="P16" s="199" t="s">
        <v>91</v>
      </c>
      <c r="Q16" s="190" t="str">
        <f t="shared" si="4"/>
        <v>n/a</v>
      </c>
      <c r="R16" s="190" t="str">
        <f t="shared" si="5"/>
        <v>n/a</v>
      </c>
      <c r="S16" s="190" t="str">
        <f t="shared" si="6"/>
        <v>n/a</v>
      </c>
      <c r="T16" s="200" t="str">
        <f t="shared" si="12"/>
        <v>n/a</v>
      </c>
      <c r="V16" s="193" t="str">
        <f t="shared" ref="V16" si="59">+IFERROR(M16/#REF!,"n/a")</f>
        <v>n/a</v>
      </c>
      <c r="W16" s="193" t="str">
        <f t="shared" ref="W16" si="60">+IFERROR(N16/#REF!,"n/a")</f>
        <v>n/a</v>
      </c>
      <c r="X16" s="193" t="str">
        <f t="shared" ref="X16" si="61">+IFERROR(O16/#REF!,"n/a")</f>
        <v>n/a</v>
      </c>
      <c r="Y16" s="193" t="str">
        <f t="shared" ref="Y16" si="62">+IFERROR(P16/#REF!,"n/a")</f>
        <v>n/a</v>
      </c>
      <c r="Z16" s="195" t="str">
        <f t="shared" si="17"/>
        <v>n/a</v>
      </c>
      <c r="AA16" s="195" t="str">
        <f t="shared" si="7"/>
        <v>n/a</v>
      </c>
      <c r="AB16" s="195" t="str">
        <f t="shared" si="8"/>
        <v>n/a</v>
      </c>
      <c r="AC16" s="121"/>
      <c r="AD16" s="198">
        <v>-13</v>
      </c>
      <c r="AE16" s="171">
        <f t="shared" si="9"/>
        <v>-12.5</v>
      </c>
      <c r="AF16" s="198">
        <v>-12</v>
      </c>
      <c r="AG16" s="199">
        <v>-7.1120000000000001</v>
      </c>
      <c r="AH16" s="190">
        <f t="shared" si="55"/>
        <v>5.8879999999999999</v>
      </c>
      <c r="AI16" s="190">
        <f t="shared" si="56"/>
        <v>5.3879999999999999</v>
      </c>
      <c r="AJ16" s="190">
        <f t="shared" si="57"/>
        <v>4.8879999999999999</v>
      </c>
      <c r="AK16" s="200">
        <f t="shared" si="58"/>
        <v>3.005019520356933</v>
      </c>
      <c r="AM16" s="193">
        <f t="shared" si="41"/>
        <v>-0.20376175548589343</v>
      </c>
      <c r="AN16" s="193">
        <f t="shared" si="42"/>
        <v>-0.1953125</v>
      </c>
      <c r="AO16" s="193">
        <f t="shared" si="43"/>
        <v>-0.18691588785046728</v>
      </c>
      <c r="AP16" s="193">
        <f t="shared" si="44"/>
        <v>-0.10809660602191722</v>
      </c>
      <c r="AQ16" s="195">
        <f t="shared" si="45"/>
        <v>9.566514946397621E-2</v>
      </c>
      <c r="AR16" s="195">
        <f t="shared" si="46"/>
        <v>8.7215893978082784E-2</v>
      </c>
      <c r="AS16" s="195">
        <f t="shared" si="47"/>
        <v>7.8819281828550067E-2</v>
      </c>
    </row>
    <row r="17" spans="2:51" x14ac:dyDescent="0.2">
      <c r="B17" s="249">
        <v>44879</v>
      </c>
      <c r="C17" t="s">
        <v>297</v>
      </c>
      <c r="D17" s="181">
        <v>44926</v>
      </c>
      <c r="E17" s="11">
        <v>67.25</v>
      </c>
      <c r="F17" s="10">
        <f t="shared" si="0"/>
        <v>67.5</v>
      </c>
      <c r="G17" s="11">
        <v>67.75</v>
      </c>
      <c r="H17" s="112">
        <v>68.784999999999997</v>
      </c>
      <c r="I17" s="182">
        <f t="shared" si="48"/>
        <v>2.2825278810408856E-2</v>
      </c>
      <c r="J17" s="182">
        <f t="shared" si="49"/>
        <v>1.9037037037036963E-2</v>
      </c>
      <c r="K17" s="182">
        <f t="shared" si="50"/>
        <v>1.5276752767527713E-2</v>
      </c>
      <c r="M17" s="199" t="s">
        <v>91</v>
      </c>
      <c r="N17" s="225" t="str">
        <f t="shared" si="3"/>
        <v>n/a</v>
      </c>
      <c r="O17" s="199" t="s">
        <v>91</v>
      </c>
      <c r="P17" s="199" t="s">
        <v>91</v>
      </c>
      <c r="Q17" s="190" t="str">
        <f t="shared" si="4"/>
        <v>n/a</v>
      </c>
      <c r="R17" s="190" t="str">
        <f t="shared" si="5"/>
        <v>n/a</v>
      </c>
      <c r="S17" s="190" t="str">
        <f t="shared" si="6"/>
        <v>n/a</v>
      </c>
      <c r="T17" s="200" t="str">
        <f t="shared" si="12"/>
        <v>n/a</v>
      </c>
      <c r="V17" s="193" t="str">
        <f t="shared" ref="V17" si="63">+IFERROR(M17/#REF!,"n/a")</f>
        <v>n/a</v>
      </c>
      <c r="W17" s="193" t="str">
        <f t="shared" ref="W17" si="64">+IFERROR(N17/#REF!,"n/a")</f>
        <v>n/a</v>
      </c>
      <c r="X17" s="193" t="str">
        <f t="shared" ref="X17" si="65">+IFERROR(O17/#REF!,"n/a")</f>
        <v>n/a</v>
      </c>
      <c r="Y17" s="193" t="str">
        <f t="shared" ref="Y17" si="66">+IFERROR(P17/#REF!,"n/a")</f>
        <v>n/a</v>
      </c>
      <c r="Z17" s="195" t="str">
        <f t="shared" si="17"/>
        <v>n/a</v>
      </c>
      <c r="AA17" s="195" t="str">
        <f t="shared" si="7"/>
        <v>n/a</v>
      </c>
      <c r="AB17" s="195" t="str">
        <f t="shared" si="8"/>
        <v>n/a</v>
      </c>
      <c r="AC17" s="121"/>
      <c r="AD17" s="198">
        <v>-12.5</v>
      </c>
      <c r="AE17" s="171">
        <f t="shared" si="9"/>
        <v>-12</v>
      </c>
      <c r="AF17" s="198">
        <v>-11.5</v>
      </c>
      <c r="AG17" s="199">
        <v>-11.624000000000001</v>
      </c>
      <c r="AH17" s="190">
        <f t="shared" si="55"/>
        <v>0.87599999999999945</v>
      </c>
      <c r="AI17" s="190">
        <f t="shared" si="56"/>
        <v>0.37599999999999945</v>
      </c>
      <c r="AJ17" s="190">
        <f t="shared" si="57"/>
        <v>-0.12400000000000055</v>
      </c>
      <c r="AK17" s="200">
        <f t="shared" si="58"/>
        <v>0.29260700389105093</v>
      </c>
      <c r="AM17" s="193">
        <f t="shared" si="41"/>
        <v>-0.18587360594795538</v>
      </c>
      <c r="AN17" s="193">
        <f t="shared" si="42"/>
        <v>-0.17777777777777778</v>
      </c>
      <c r="AO17" s="193">
        <f t="shared" si="43"/>
        <v>-0.16974169741697417</v>
      </c>
      <c r="AP17" s="193">
        <f t="shared" si="44"/>
        <v>-0.16899033219451917</v>
      </c>
      <c r="AQ17" s="195">
        <f t="shared" si="45"/>
        <v>1.6883273753436207E-2</v>
      </c>
      <c r="AR17" s="195">
        <f t="shared" si="46"/>
        <v>8.7874455832586129E-3</v>
      </c>
      <c r="AS17" s="195">
        <f t="shared" si="47"/>
        <v>7.513652224550027E-4</v>
      </c>
    </row>
    <row r="18" spans="2:51" x14ac:dyDescent="0.2">
      <c r="B18" s="249">
        <v>44998</v>
      </c>
      <c r="C18" t="s">
        <v>311</v>
      </c>
      <c r="D18" s="181">
        <v>45016</v>
      </c>
      <c r="E18" s="11">
        <v>70.3</v>
      </c>
      <c r="F18" s="10">
        <f t="shared" ref="F18" si="67">+AVERAGE(E18,G18)</f>
        <v>70.5</v>
      </c>
      <c r="G18" s="11">
        <v>70.7</v>
      </c>
      <c r="H18" s="112">
        <v>70.87</v>
      </c>
      <c r="I18" s="182">
        <f t="shared" ref="I18" si="68">+IFERROR($H18/E18-1,"n/a")</f>
        <v>8.1081081081082473E-3</v>
      </c>
      <c r="J18" s="182">
        <f t="shared" ref="J18" si="69">+IFERROR($H18/F18-1,"n/a")</f>
        <v>5.2482269503546508E-3</v>
      </c>
      <c r="K18" s="182">
        <f t="shared" ref="K18" si="70">+IFERROR($H18/G18-1,"n/a")</f>
        <v>2.4045261669023432E-3</v>
      </c>
      <c r="M18" s="199" t="s">
        <v>91</v>
      </c>
      <c r="N18" s="225" t="str">
        <f t="shared" si="3"/>
        <v>n/a</v>
      </c>
      <c r="O18" s="199" t="s">
        <v>91</v>
      </c>
      <c r="P18" s="199" t="s">
        <v>91</v>
      </c>
      <c r="Q18" s="190" t="str">
        <f t="shared" si="4"/>
        <v>n/a</v>
      </c>
      <c r="R18" s="190" t="str">
        <f t="shared" si="5"/>
        <v>n/a</v>
      </c>
      <c r="S18" s="190" t="str">
        <f t="shared" si="6"/>
        <v>n/a</v>
      </c>
      <c r="T18" s="200" t="str">
        <f t="shared" si="12"/>
        <v>n/a</v>
      </c>
      <c r="V18" s="193" t="str">
        <f t="shared" ref="V18" si="71">+IFERROR(M18/#REF!,"n/a")</f>
        <v>n/a</v>
      </c>
      <c r="W18" s="193" t="str">
        <f t="shared" ref="W18" si="72">+IFERROR(N18/#REF!,"n/a")</f>
        <v>n/a</v>
      </c>
      <c r="X18" s="193" t="str">
        <f t="shared" ref="X18" si="73">+IFERROR(O18/#REF!,"n/a")</f>
        <v>n/a</v>
      </c>
      <c r="Y18" s="193" t="str">
        <f t="shared" ref="Y18" si="74">+IFERROR(P18/#REF!,"n/a")</f>
        <v>n/a</v>
      </c>
      <c r="Z18" s="195" t="str">
        <f t="shared" si="17"/>
        <v>n/a</v>
      </c>
      <c r="AA18" s="195" t="str">
        <f t="shared" si="7"/>
        <v>n/a</v>
      </c>
      <c r="AB18" s="195" t="str">
        <f t="shared" si="8"/>
        <v>n/a</v>
      </c>
      <c r="AC18" s="121"/>
      <c r="AD18" s="198">
        <v>-8</v>
      </c>
      <c r="AE18" s="171">
        <f t="shared" ref="AE18" si="75">+AVERAGE(AD18,AF18)</f>
        <v>-7.5</v>
      </c>
      <c r="AF18" s="198">
        <v>-7</v>
      </c>
      <c r="AG18" s="199">
        <v>-7.0640000000000001</v>
      </c>
      <c r="AH18" s="190">
        <f t="shared" ref="AH18" si="76">+IFERROR($AG18-AD18,"n/a")</f>
        <v>0.93599999999999994</v>
      </c>
      <c r="AI18" s="190">
        <f t="shared" ref="AI18" si="77">+IFERROR($AG18-AE18,"n/a")</f>
        <v>0.43599999999999994</v>
      </c>
      <c r="AJ18" s="190">
        <f t="shared" ref="AJ18" si="78">+IFERROR($AG18-AF18,"n/a")</f>
        <v>-6.4000000000000057E-2</v>
      </c>
      <c r="AK18" s="200">
        <f t="shared" ref="AK18" si="79">+IFERROR((AG18-AE18)/(H18-F18),"n/a")</f>
        <v>1.1783783783783637</v>
      </c>
      <c r="AM18" s="193">
        <f t="shared" si="41"/>
        <v>-0.11379800853485064</v>
      </c>
      <c r="AN18" s="193">
        <f t="shared" si="42"/>
        <v>-0.10638297872340426</v>
      </c>
      <c r="AO18" s="193">
        <f t="shared" si="43"/>
        <v>-9.9009900990099001E-2</v>
      </c>
      <c r="AP18" s="193">
        <f t="shared" si="44"/>
        <v>-9.9675462113729352E-2</v>
      </c>
      <c r="AQ18" s="195">
        <f t="shared" si="45"/>
        <v>1.412254642112129E-2</v>
      </c>
      <c r="AR18" s="195">
        <f t="shared" si="46"/>
        <v>6.7075166096749045E-3</v>
      </c>
      <c r="AS18" s="195">
        <f t="shared" si="47"/>
        <v>-6.6556112363035103E-4</v>
      </c>
    </row>
    <row r="19" spans="2:51" x14ac:dyDescent="0.2">
      <c r="B19" s="249">
        <v>45054</v>
      </c>
      <c r="C19" t="s">
        <v>325</v>
      </c>
      <c r="D19" s="181"/>
      <c r="E19" s="11">
        <v>73.599999999999994</v>
      </c>
      <c r="F19" s="10">
        <f t="shared" ref="F19" si="80">+AVERAGE(E19,G19)</f>
        <v>74.3</v>
      </c>
      <c r="G19" s="11">
        <v>75</v>
      </c>
      <c r="H19" s="112">
        <v>74.692999999999998</v>
      </c>
      <c r="I19" s="182">
        <f t="shared" ref="I19" si="81">+IFERROR($H19/E19-1,"n/a")</f>
        <v>1.4850543478260869E-2</v>
      </c>
      <c r="J19" s="182">
        <f t="shared" ref="J19" si="82">+IFERROR($H19/F19-1,"n/a")</f>
        <v>5.2893674293406079E-3</v>
      </c>
      <c r="K19" s="182">
        <f t="shared" ref="K19" si="83">+IFERROR($H19/G19-1,"n/a")</f>
        <v>-4.0933333333333932E-3</v>
      </c>
      <c r="M19" s="199" t="s">
        <v>91</v>
      </c>
      <c r="N19" s="225" t="str">
        <f t="shared" si="3"/>
        <v>n/a</v>
      </c>
      <c r="O19" s="199" t="s">
        <v>91</v>
      </c>
      <c r="P19" s="199" t="s">
        <v>91</v>
      </c>
      <c r="Q19" s="190" t="str">
        <f t="shared" si="4"/>
        <v>n/a</v>
      </c>
      <c r="R19" s="190" t="str">
        <f t="shared" si="5"/>
        <v>n/a</v>
      </c>
      <c r="S19" s="190" t="str">
        <f t="shared" si="6"/>
        <v>n/a</v>
      </c>
      <c r="T19" s="200" t="str">
        <f t="shared" si="12"/>
        <v>n/a</v>
      </c>
      <c r="V19" s="193" t="str">
        <f t="shared" ref="V19" si="84">+IFERROR(M19/#REF!,"n/a")</f>
        <v>n/a</v>
      </c>
      <c r="W19" s="193" t="str">
        <f t="shared" ref="W19" si="85">+IFERROR(N19/#REF!,"n/a")</f>
        <v>n/a</v>
      </c>
      <c r="X19" s="193" t="str">
        <f t="shared" ref="X19" si="86">+IFERROR(O19/#REF!,"n/a")</f>
        <v>n/a</v>
      </c>
      <c r="Y19" s="193" t="str">
        <f t="shared" ref="Y19" si="87">+IFERROR(P19/#REF!,"n/a")</f>
        <v>n/a</v>
      </c>
      <c r="Z19" s="195" t="str">
        <f t="shared" si="17"/>
        <v>n/a</v>
      </c>
      <c r="AA19" s="195" t="str">
        <f t="shared" si="7"/>
        <v>n/a</v>
      </c>
      <c r="AB19" s="195" t="str">
        <f t="shared" si="8"/>
        <v>n/a</v>
      </c>
      <c r="AC19" s="121"/>
      <c r="AD19" s="198">
        <v>-3</v>
      </c>
      <c r="AE19" s="171">
        <f t="shared" ref="AE19" si="88">+AVERAGE(AD19,AF19)</f>
        <v>-2.25</v>
      </c>
      <c r="AF19" s="198">
        <v>-1.5</v>
      </c>
      <c r="AG19" s="199">
        <v>3.4860000000000002</v>
      </c>
      <c r="AH19" s="190">
        <f t="shared" ref="AH19" si="89">+IFERROR($AG19-AD19,"n/a")</f>
        <v>6.4860000000000007</v>
      </c>
      <c r="AI19" s="190">
        <f t="shared" ref="AI19" si="90">+IFERROR($AG19-AE19,"n/a")</f>
        <v>5.7360000000000007</v>
      </c>
      <c r="AJ19" s="190">
        <f t="shared" ref="AJ19" si="91">+IFERROR($AG19-AF19,"n/a")</f>
        <v>4.9860000000000007</v>
      </c>
      <c r="AK19" s="200">
        <f t="shared" ref="AK19" si="92">+IFERROR((AG19-AE19)/(H19-F19),"n/a")</f>
        <v>14.59541984732822</v>
      </c>
      <c r="AM19" s="193">
        <f t="shared" ref="AM19" si="93">+IFERROR(AD19/E19,"n/a")</f>
        <v>-4.0760869565217392E-2</v>
      </c>
      <c r="AN19" s="193">
        <f t="shared" ref="AN19" si="94">+IFERROR(AE19/F19,"n/a")</f>
        <v>-3.028263795423957E-2</v>
      </c>
      <c r="AO19" s="193">
        <f t="shared" ref="AO19" si="95">+IFERROR(AF19/G19,"n/a")</f>
        <v>-0.02</v>
      </c>
      <c r="AP19" s="193">
        <f t="shared" ref="AP19" si="96">+IFERROR(AG19/H19,"n/a")</f>
        <v>4.6671040124241898E-2</v>
      </c>
      <c r="AQ19" s="195">
        <f t="shared" ref="AQ19" si="97">+IFERROR($AP19-AM19,"n/a")</f>
        <v>8.7431909689459297E-2</v>
      </c>
      <c r="AR19" s="195">
        <f t="shared" ref="AR19" si="98">+IFERROR($AP19-AN19,"n/a")</f>
        <v>7.6953678078481469E-2</v>
      </c>
      <c r="AS19" s="195">
        <f t="shared" ref="AS19" si="99">+IFERROR($AP19-AO19,"n/a")</f>
        <v>6.6671040124241895E-2</v>
      </c>
    </row>
    <row r="20" spans="2:51" x14ac:dyDescent="0.2">
      <c r="B20" s="249">
        <v>45141</v>
      </c>
      <c r="C20" t="s">
        <v>326</v>
      </c>
      <c r="D20" s="181"/>
      <c r="E20" s="11">
        <v>78</v>
      </c>
      <c r="F20" s="10">
        <f t="shared" ref="F20" si="100">+AVERAGE(E20,G20)</f>
        <v>78.5</v>
      </c>
      <c r="G20" s="11">
        <v>79</v>
      </c>
      <c r="H20" s="112">
        <v>78.718000000000004</v>
      </c>
      <c r="I20" s="182">
        <f t="shared" ref="I20" si="101">+IFERROR($H20/E20-1,"n/a")</f>
        <v>9.2051282051281991E-3</v>
      </c>
      <c r="J20" s="182">
        <f t="shared" ref="J20" si="102">+IFERROR($H20/F20-1,"n/a")</f>
        <v>2.7770700636942092E-3</v>
      </c>
      <c r="K20" s="182">
        <f t="shared" ref="K20" si="103">+IFERROR($H20/G20-1,"n/a")</f>
        <v>-3.5696202531645405E-3</v>
      </c>
      <c r="M20" s="199" t="s">
        <v>91</v>
      </c>
      <c r="N20" s="225" t="str">
        <f t="shared" si="3"/>
        <v>n/a</v>
      </c>
      <c r="O20" s="199" t="s">
        <v>91</v>
      </c>
      <c r="P20" s="199" t="s">
        <v>91</v>
      </c>
      <c r="Q20" s="190" t="str">
        <f t="shared" si="4"/>
        <v>n/a</v>
      </c>
      <c r="R20" s="190" t="str">
        <f t="shared" si="5"/>
        <v>n/a</v>
      </c>
      <c r="S20" s="190" t="str">
        <f t="shared" si="6"/>
        <v>n/a</v>
      </c>
      <c r="T20" s="200" t="str">
        <f t="shared" si="12"/>
        <v>n/a</v>
      </c>
      <c r="V20" s="193" t="str">
        <f t="shared" ref="V20" si="104">+IFERROR(M20/#REF!,"n/a")</f>
        <v>n/a</v>
      </c>
      <c r="W20" s="193" t="str">
        <f t="shared" ref="W20" si="105">+IFERROR(N20/#REF!,"n/a")</f>
        <v>n/a</v>
      </c>
      <c r="X20" s="193" t="str">
        <f t="shared" ref="X20" si="106">+IFERROR(O20/#REF!,"n/a")</f>
        <v>n/a</v>
      </c>
      <c r="Y20" s="193" t="str">
        <f t="shared" ref="Y20" si="107">+IFERROR(P20/#REF!,"n/a")</f>
        <v>n/a</v>
      </c>
      <c r="Z20" s="195" t="str">
        <f t="shared" si="17"/>
        <v>n/a</v>
      </c>
      <c r="AA20" s="195" t="str">
        <f t="shared" si="7"/>
        <v>n/a</v>
      </c>
      <c r="AB20" s="195" t="str">
        <f t="shared" si="8"/>
        <v>n/a</v>
      </c>
      <c r="AC20" s="121"/>
      <c r="AD20" s="198">
        <v>3</v>
      </c>
      <c r="AE20" s="171">
        <f t="shared" ref="AE20" si="108">+AVERAGE(AD20,AF20)</f>
        <v>3.5</v>
      </c>
      <c r="AF20" s="198">
        <v>4</v>
      </c>
      <c r="AG20" s="199">
        <v>8.4179999999999993</v>
      </c>
      <c r="AH20" s="190">
        <f t="shared" ref="AH20" si="109">+IFERROR($AG20-AD20,"n/a")</f>
        <v>5.4179999999999993</v>
      </c>
      <c r="AI20" s="190">
        <f t="shared" ref="AI20" si="110">+IFERROR($AG20-AE20,"n/a")</f>
        <v>4.9179999999999993</v>
      </c>
      <c r="AJ20" s="190">
        <f t="shared" ref="AJ20" si="111">+IFERROR($AG20-AF20,"n/a")</f>
        <v>4.4179999999999993</v>
      </c>
      <c r="AK20" s="200">
        <f t="shared" ref="AK20" si="112">+IFERROR((AG20-AE20)/(H20-F20),"n/a")</f>
        <v>22.559633027522569</v>
      </c>
      <c r="AM20" s="193">
        <f t="shared" ref="AM20" si="113">+IFERROR(AD20/E20,"n/a")</f>
        <v>3.8461538461538464E-2</v>
      </c>
      <c r="AN20" s="193">
        <f t="shared" ref="AN20" si="114">+IFERROR(AE20/F20,"n/a")</f>
        <v>4.4585987261146494E-2</v>
      </c>
      <c r="AO20" s="193">
        <f t="shared" ref="AO20" si="115">+IFERROR(AF20/G20,"n/a")</f>
        <v>5.0632911392405063E-2</v>
      </c>
      <c r="AP20" s="193">
        <f t="shared" ref="AP20" si="116">+IFERROR(AG20/H20,"n/a")</f>
        <v>0.10693869254808301</v>
      </c>
      <c r="AQ20" s="195">
        <f t="shared" ref="AQ20" si="117">+IFERROR($AP20-AM20,"n/a")</f>
        <v>6.8477154086544548E-2</v>
      </c>
      <c r="AR20" s="195">
        <f t="shared" ref="AR20" si="118">+IFERROR($AP20-AN20,"n/a")</f>
        <v>6.2352705286936518E-2</v>
      </c>
      <c r="AS20" s="195">
        <f t="shared" ref="AS20" si="119">+IFERROR($AP20-AO20,"n/a")</f>
        <v>5.6305781155677949E-2</v>
      </c>
    </row>
    <row r="21" spans="2:51" x14ac:dyDescent="0.2">
      <c r="B21" s="249">
        <v>45231</v>
      </c>
      <c r="C21" t="s">
        <v>332</v>
      </c>
      <c r="D21" s="181"/>
      <c r="E21" s="11">
        <v>82.7</v>
      </c>
      <c r="F21" s="10">
        <f t="shared" ref="F21" si="120">+AVERAGE(E21,G21)</f>
        <v>83.2</v>
      </c>
      <c r="G21" s="11">
        <v>83.7</v>
      </c>
      <c r="H21" s="112">
        <v>83.394000000000005</v>
      </c>
      <c r="I21" s="182">
        <f t="shared" ref="I21" si="121">+IFERROR($H21/E21-1,"n/a")</f>
        <v>8.3917775090689428E-3</v>
      </c>
      <c r="J21" s="182">
        <f t="shared" ref="J21" si="122">+IFERROR($H21/F21-1,"n/a")</f>
        <v>2.3317307692307665E-3</v>
      </c>
      <c r="K21" s="182">
        <f t="shared" ref="K21" si="123">+IFERROR($H21/G21-1,"n/a")</f>
        <v>-3.6559139784946293E-3</v>
      </c>
      <c r="M21" s="199" t="s">
        <v>91</v>
      </c>
      <c r="N21" s="225" t="str">
        <f t="shared" si="3"/>
        <v>n/a</v>
      </c>
      <c r="O21" s="199" t="s">
        <v>91</v>
      </c>
      <c r="P21" s="199" t="s">
        <v>91</v>
      </c>
      <c r="Q21" s="190" t="str">
        <f t="shared" si="4"/>
        <v>n/a</v>
      </c>
      <c r="R21" s="190" t="str">
        <f t="shared" si="5"/>
        <v>n/a</v>
      </c>
      <c r="S21" s="190" t="str">
        <f t="shared" si="6"/>
        <v>n/a</v>
      </c>
      <c r="T21" s="200" t="str">
        <f t="shared" si="12"/>
        <v>n/a</v>
      </c>
      <c r="V21" s="193" t="str">
        <f t="shared" ref="V21" si="124">+IFERROR(M21/#REF!,"n/a")</f>
        <v>n/a</v>
      </c>
      <c r="W21" s="193" t="str">
        <f t="shared" ref="W21" si="125">+IFERROR(N21/#REF!,"n/a")</f>
        <v>n/a</v>
      </c>
      <c r="X21" s="193" t="str">
        <f t="shared" ref="X21" si="126">+IFERROR(O21/#REF!,"n/a")</f>
        <v>n/a</v>
      </c>
      <c r="Y21" s="193" t="str">
        <f t="shared" ref="Y21" si="127">+IFERROR(P21/#REF!,"n/a")</f>
        <v>n/a</v>
      </c>
      <c r="Z21" s="195" t="str">
        <f t="shared" si="17"/>
        <v>n/a</v>
      </c>
      <c r="AA21" s="195" t="str">
        <f t="shared" si="7"/>
        <v>n/a</v>
      </c>
      <c r="AB21" s="195" t="str">
        <f t="shared" si="8"/>
        <v>n/a</v>
      </c>
      <c r="AC21" s="121"/>
      <c r="AD21" s="198">
        <v>4.0999999999999996</v>
      </c>
      <c r="AE21" s="171">
        <f t="shared" ref="AE21" si="128">+AVERAGE(AD21,AF21)</f>
        <v>5.0999999999999996</v>
      </c>
      <c r="AF21" s="198">
        <v>6.1</v>
      </c>
      <c r="AG21" s="199">
        <v>11.44700000000001</v>
      </c>
      <c r="AH21" s="190">
        <f t="shared" ref="AH21" si="129">+IFERROR($AG21-AD21,"n/a")</f>
        <v>7.3470000000000102</v>
      </c>
      <c r="AI21" s="190">
        <f t="shared" ref="AI21" si="130">+IFERROR($AG21-AE21,"n/a")</f>
        <v>6.3470000000000102</v>
      </c>
      <c r="AJ21" s="190">
        <f t="shared" ref="AJ21" si="131">+IFERROR($AG21-AF21,"n/a")</f>
        <v>5.3470000000000102</v>
      </c>
      <c r="AK21" s="200">
        <f t="shared" ref="AK21" si="132">+IFERROR((AG21-AE21)/(H21-F21),"n/a")</f>
        <v>32.716494845360437</v>
      </c>
      <c r="AM21" s="193">
        <f t="shared" ref="AM21" si="133">+IFERROR(AD21/E21,"n/a")</f>
        <v>4.9576783555018135E-2</v>
      </c>
      <c r="AN21" s="193">
        <f t="shared" ref="AN21" si="134">+IFERROR(AE21/F21,"n/a")</f>
        <v>6.1298076923076913E-2</v>
      </c>
      <c r="AO21" s="193">
        <f t="shared" ref="AO21" si="135">+IFERROR(AF21/G21,"n/a")</f>
        <v>7.2879330943847062E-2</v>
      </c>
      <c r="AP21" s="193">
        <f t="shared" ref="AP21" si="136">+IFERROR(AG21/H21,"n/a")</f>
        <v>0.13726407175576191</v>
      </c>
      <c r="AQ21" s="195">
        <f t="shared" ref="AQ21" si="137">+IFERROR($AP21-AM21,"n/a")</f>
        <v>8.7687288200743785E-2</v>
      </c>
      <c r="AR21" s="195">
        <f t="shared" ref="AR21" si="138">+IFERROR($AP21-AN21,"n/a")</f>
        <v>7.5965994832684999E-2</v>
      </c>
      <c r="AS21" s="195">
        <f t="shared" ref="AS21" si="139">+IFERROR($AP21-AO21,"n/a")</f>
        <v>6.4384740811914851E-2</v>
      </c>
    </row>
    <row r="22" spans="2:51" x14ac:dyDescent="0.2">
      <c r="B22" s="249">
        <v>45355</v>
      </c>
      <c r="C22" t="s">
        <v>355</v>
      </c>
      <c r="D22" s="181"/>
      <c r="E22" s="11">
        <v>84.7</v>
      </c>
      <c r="F22" s="10">
        <f t="shared" ref="F22:F23" si="140">+AVERAGE(E22,G22)</f>
        <v>85</v>
      </c>
      <c r="G22" s="11">
        <v>85.3</v>
      </c>
      <c r="H22" s="112">
        <v>85.811999999999998</v>
      </c>
      <c r="I22" s="182">
        <f t="shared" ref="I22" si="141">+IFERROR($H22/E22-1,"n/a")</f>
        <v>1.3128689492325707E-2</v>
      </c>
      <c r="J22" s="182">
        <f t="shared" ref="J22" si="142">+IFERROR($H22/F22-1,"n/a")</f>
        <v>9.5529411764705419E-3</v>
      </c>
      <c r="K22" s="182">
        <f t="shared" ref="K22" si="143">+IFERROR($H22/G22-1,"n/a")</f>
        <v>6.0023446658850066E-3</v>
      </c>
      <c r="M22" s="232">
        <f>+V22*E22</f>
        <v>6.7760000000000007</v>
      </c>
      <c r="N22" s="232">
        <f>+IFERROR(AVERAGE(M22,O22),"n/a")</f>
        <v>6.8000000000000007</v>
      </c>
      <c r="O22" s="232">
        <f>+X22*G22</f>
        <v>6.8239999999999998</v>
      </c>
      <c r="P22" s="199">
        <v>9.7370000000000125</v>
      </c>
      <c r="Q22" s="190">
        <f>+IFERROR($P22-M22,"n/a")</f>
        <v>2.9610000000000118</v>
      </c>
      <c r="R22" s="190">
        <f t="shared" ref="R22:S22" si="144">+IFERROR($P22-N22,"n/a")</f>
        <v>2.9370000000000118</v>
      </c>
      <c r="S22" s="190">
        <f t="shared" si="144"/>
        <v>2.9130000000000127</v>
      </c>
      <c r="T22" s="200">
        <f t="shared" si="12"/>
        <v>3.6169950738916508</v>
      </c>
      <c r="V22" s="277">
        <v>0.08</v>
      </c>
      <c r="W22" s="193">
        <f>+IFERROR(AVERAGE(V22,X22),"n/a")</f>
        <v>0.08</v>
      </c>
      <c r="X22" s="277">
        <v>0.08</v>
      </c>
      <c r="Y22" s="277">
        <v>0.1134689786976182</v>
      </c>
      <c r="Z22" s="195">
        <f>+IFERROR($Y22-V22,"n/a")</f>
        <v>3.3468978697618196E-2</v>
      </c>
      <c r="AA22" s="195">
        <f t="shared" ref="AA22:AB22" si="145">+IFERROR($Y22-W22,"n/a")</f>
        <v>3.3468978697618196E-2</v>
      </c>
      <c r="AB22" s="195">
        <f t="shared" si="145"/>
        <v>3.3468978697618196E-2</v>
      </c>
      <c r="AC22" s="121"/>
      <c r="AD22" s="199" t="s">
        <v>91</v>
      </c>
      <c r="AE22" s="225" t="str">
        <f>+IFERROR(AVERAGE(AD22,AF22),"n/a")</f>
        <v>n/a</v>
      </c>
      <c r="AF22" s="199" t="s">
        <v>91</v>
      </c>
      <c r="AG22" s="199" t="s">
        <v>91</v>
      </c>
      <c r="AH22" s="190" t="str">
        <f t="shared" ref="AH22" si="146">+IFERROR($AG22-AD22,"n/a")</f>
        <v>n/a</v>
      </c>
      <c r="AI22" s="190" t="str">
        <f t="shared" ref="AI22" si="147">+IFERROR($AG22-AE22,"n/a")</f>
        <v>n/a</v>
      </c>
      <c r="AJ22" s="190" t="str">
        <f t="shared" ref="AJ22" si="148">+IFERROR($AG22-AF22,"n/a")</f>
        <v>n/a</v>
      </c>
      <c r="AK22" s="200" t="str">
        <f t="shared" ref="AK22" si="149">+IFERROR((AG22-AE22)/(H22-F22),"n/a")</f>
        <v>n/a</v>
      </c>
      <c r="AM22" s="193" t="str">
        <f t="shared" ref="AM22" si="150">+IFERROR(AD22/E22,"n/a")</f>
        <v>n/a</v>
      </c>
      <c r="AN22" s="193" t="str">
        <f t="shared" ref="AN22" si="151">+IFERROR(AE22/F22,"n/a")</f>
        <v>n/a</v>
      </c>
      <c r="AO22" s="193" t="str">
        <f t="shared" ref="AO22" si="152">+IFERROR(AF22/G22,"n/a")</f>
        <v>n/a</v>
      </c>
      <c r="AP22" s="193" t="str">
        <f t="shared" ref="AP22" si="153">+IFERROR(AG22/H22,"n/a")</f>
        <v>n/a</v>
      </c>
      <c r="AQ22" s="195" t="str">
        <f t="shared" ref="AQ22" si="154">+IFERROR($AP22-AM22,"n/a")</f>
        <v>n/a</v>
      </c>
      <c r="AR22" s="195" t="str">
        <f t="shared" ref="AR22" si="155">+IFERROR($AP22-AN22,"n/a")</f>
        <v>n/a</v>
      </c>
      <c r="AS22" s="195" t="str">
        <f t="shared" ref="AS22" si="156">+IFERROR($AP22-AO22,"n/a")</f>
        <v>n/a</v>
      </c>
    </row>
    <row r="23" spans="2:51" x14ac:dyDescent="0.2">
      <c r="B23" s="249">
        <v>45418</v>
      </c>
      <c r="C23" t="s">
        <v>356</v>
      </c>
      <c r="D23" s="181"/>
      <c r="E23" s="11">
        <v>89.1</v>
      </c>
      <c r="F23" s="10">
        <f t="shared" si="140"/>
        <v>89.6</v>
      </c>
      <c r="G23" s="11">
        <v>90.1</v>
      </c>
      <c r="H23" s="112">
        <v>90.950999999999993</v>
      </c>
      <c r="I23" s="182">
        <f t="shared" ref="I23" si="157">+IFERROR($H23/E23-1,"n/a")</f>
        <v>2.0774410774410779E-2</v>
      </c>
      <c r="J23" s="182">
        <f t="shared" ref="J23" si="158">+IFERROR($H23/F23-1,"n/a")</f>
        <v>1.5078125000000053E-2</v>
      </c>
      <c r="K23" s="182">
        <f t="shared" ref="K23" si="159">+IFERROR($H23/G23-1,"n/a")</f>
        <v>9.4450610432852411E-3</v>
      </c>
      <c r="M23" s="232">
        <f>+V23*E23</f>
        <v>9.8010000000000002</v>
      </c>
      <c r="N23" s="232">
        <f>+IFERROR(AVERAGE(M23,O23),"n/a")</f>
        <v>9.8559999999999999</v>
      </c>
      <c r="O23" s="232">
        <f>+X23*G23</f>
        <v>9.9109999999999996</v>
      </c>
      <c r="P23" s="199" t="s">
        <v>91</v>
      </c>
      <c r="Q23" s="190" t="str">
        <f>+IFERROR($P23-M23,"n/a")</f>
        <v>n/a</v>
      </c>
      <c r="R23" s="190" t="str">
        <f t="shared" ref="R23" si="160">+IFERROR($P23-N23,"n/a")</f>
        <v>n/a</v>
      </c>
      <c r="S23" s="190" t="str">
        <f t="shared" ref="S23" si="161">+IFERROR($P23-O23,"n/a")</f>
        <v>n/a</v>
      </c>
      <c r="T23" s="200" t="str">
        <f t="shared" si="12"/>
        <v>n/a</v>
      </c>
      <c r="V23" s="277">
        <v>0.11</v>
      </c>
      <c r="W23" s="193">
        <f>+IFERROR(AVERAGE(V23,X23),"n/a")</f>
        <v>0.11</v>
      </c>
      <c r="X23" s="277">
        <v>0.11</v>
      </c>
      <c r="Y23" s="277">
        <v>0.13399522819979987</v>
      </c>
      <c r="Z23" s="195">
        <f>+IFERROR($Y23-V23,"n/a")</f>
        <v>2.3995228199799865E-2</v>
      </c>
      <c r="AA23" s="195">
        <f t="shared" ref="AA23" si="162">+IFERROR($Y23-W23,"n/a")</f>
        <v>2.3995228199799865E-2</v>
      </c>
      <c r="AB23" s="195">
        <f t="shared" ref="AB23" si="163">+IFERROR($Y23-X23,"n/a")</f>
        <v>2.3995228199799865E-2</v>
      </c>
      <c r="AC23" s="121"/>
      <c r="AD23" s="199" t="s">
        <v>91</v>
      </c>
      <c r="AE23" s="225" t="str">
        <f>+IFERROR(AVERAGE(AD23,AF23),"n/a")</f>
        <v>n/a</v>
      </c>
      <c r="AF23" s="199" t="s">
        <v>91</v>
      </c>
      <c r="AG23" s="199" t="s">
        <v>91</v>
      </c>
      <c r="AH23" s="190" t="str">
        <f t="shared" ref="AH23" si="164">+IFERROR($AG23-AD23,"n/a")</f>
        <v>n/a</v>
      </c>
      <c r="AI23" s="190" t="str">
        <f t="shared" ref="AI23" si="165">+IFERROR($AG23-AE23,"n/a")</f>
        <v>n/a</v>
      </c>
      <c r="AJ23" s="190" t="str">
        <f t="shared" ref="AJ23" si="166">+IFERROR($AG23-AF23,"n/a")</f>
        <v>n/a</v>
      </c>
      <c r="AK23" s="200" t="str">
        <f t="shared" ref="AK23" si="167">+IFERROR((AG23-AE23)/(H23-F23),"n/a")</f>
        <v>n/a</v>
      </c>
      <c r="AM23" s="193" t="str">
        <f t="shared" ref="AM23" si="168">+IFERROR(AD23/E23,"n/a")</f>
        <v>n/a</v>
      </c>
      <c r="AN23" s="193" t="str">
        <f t="shared" ref="AN23" si="169">+IFERROR(AE23/F23,"n/a")</f>
        <v>n/a</v>
      </c>
      <c r="AO23" s="193" t="str">
        <f t="shared" ref="AO23" si="170">+IFERROR(AF23/G23,"n/a")</f>
        <v>n/a</v>
      </c>
      <c r="AP23" s="193" t="str">
        <f t="shared" ref="AP23" si="171">+IFERROR(AG23/H23,"n/a")</f>
        <v>n/a</v>
      </c>
      <c r="AQ23" s="195" t="str">
        <f t="shared" ref="AQ23" si="172">+IFERROR($AP23-AM23,"n/a")</f>
        <v>n/a</v>
      </c>
      <c r="AR23" s="195" t="str">
        <f t="shared" ref="AR23" si="173">+IFERROR($AP23-AN23,"n/a")</f>
        <v>n/a</v>
      </c>
      <c r="AS23" s="195" t="str">
        <f t="shared" ref="AS23" si="174">+IFERROR($AP23-AO23,"n/a")</f>
        <v>n/a</v>
      </c>
    </row>
    <row r="24" spans="2:51" s="149" customFormat="1" x14ac:dyDescent="0.2">
      <c r="B24" s="250">
        <v>45509</v>
      </c>
      <c r="C24" s="149" t="s">
        <v>381</v>
      </c>
      <c r="D24" s="183"/>
      <c r="E24" s="184">
        <v>96</v>
      </c>
      <c r="F24" s="185">
        <f t="shared" ref="F24" si="175">+AVERAGE(E24,G24)</f>
        <v>96.5</v>
      </c>
      <c r="G24" s="184">
        <v>97</v>
      </c>
      <c r="H24" s="259" t="s">
        <v>91</v>
      </c>
      <c r="I24" s="187" t="str">
        <f t="shared" ref="I24" si="176">+IFERROR($H24/E24-1,"n/a")</f>
        <v>n/a</v>
      </c>
      <c r="J24" s="187" t="str">
        <f t="shared" ref="J24" si="177">+IFERROR($H24/F24-1,"n/a")</f>
        <v>n/a</v>
      </c>
      <c r="K24" s="187" t="str">
        <f t="shared" ref="K24" si="178">+IFERROR($H24/G24-1,"n/a")</f>
        <v>n/a</v>
      </c>
      <c r="M24" s="278">
        <f>+V24*E24</f>
        <v>10.56</v>
      </c>
      <c r="N24" s="278">
        <f>+IFERROR(AVERAGE(M24,O24),"n/a")</f>
        <v>10.615</v>
      </c>
      <c r="O24" s="278">
        <f>+X24*G24</f>
        <v>10.67</v>
      </c>
      <c r="P24" s="259" t="s">
        <v>91</v>
      </c>
      <c r="Q24" s="191" t="str">
        <f>+IFERROR($P24-M24,"n/a")</f>
        <v>n/a</v>
      </c>
      <c r="R24" s="191" t="str">
        <f t="shared" ref="R24" si="179">+IFERROR($P24-N24,"n/a")</f>
        <v>n/a</v>
      </c>
      <c r="S24" s="191" t="str">
        <f t="shared" ref="S24" si="180">+IFERROR($P24-O24,"n/a")</f>
        <v>n/a</v>
      </c>
      <c r="T24" s="201" t="str">
        <f t="shared" ref="T24" si="181">+IFERROR((P24-N24)/(H24-F24),"n/a")</f>
        <v>n/a</v>
      </c>
      <c r="V24" s="279">
        <v>0.11</v>
      </c>
      <c r="W24" s="194">
        <f>+IFERROR(AVERAGE(V24,X24),"n/a")</f>
        <v>0.11</v>
      </c>
      <c r="X24" s="279">
        <v>0.11</v>
      </c>
      <c r="Y24" s="259" t="s">
        <v>91</v>
      </c>
      <c r="Z24" s="196" t="str">
        <f>+IFERROR($Y24-V24,"n/a")</f>
        <v>n/a</v>
      </c>
      <c r="AA24" s="196" t="str">
        <f t="shared" ref="AA24" si="182">+IFERROR($Y24-W24,"n/a")</f>
        <v>n/a</v>
      </c>
      <c r="AB24" s="196" t="str">
        <f t="shared" ref="AB24" si="183">+IFERROR($Y24-X24,"n/a")</f>
        <v>n/a</v>
      </c>
      <c r="AC24" s="275"/>
      <c r="AD24" s="259" t="s">
        <v>91</v>
      </c>
      <c r="AE24" s="273" t="str">
        <f>+IFERROR(AVERAGE(AD24,AF24),"n/a")</f>
        <v>n/a</v>
      </c>
      <c r="AF24" s="259" t="s">
        <v>91</v>
      </c>
      <c r="AG24" s="259" t="s">
        <v>91</v>
      </c>
      <c r="AH24" s="191" t="str">
        <f t="shared" ref="AH24" si="184">+IFERROR($AG24-AD24,"n/a")</f>
        <v>n/a</v>
      </c>
      <c r="AI24" s="191" t="str">
        <f t="shared" ref="AI24" si="185">+IFERROR($AG24-AE24,"n/a")</f>
        <v>n/a</v>
      </c>
      <c r="AJ24" s="191" t="str">
        <f t="shared" ref="AJ24" si="186">+IFERROR($AG24-AF24,"n/a")</f>
        <v>n/a</v>
      </c>
      <c r="AK24" s="201" t="str">
        <f t="shared" ref="AK24" si="187">+IFERROR((AG24-AE24)/(H24-F24),"n/a")</f>
        <v>n/a</v>
      </c>
      <c r="AM24" s="194" t="str">
        <f t="shared" ref="AM24" si="188">+IFERROR(AD24/E24,"n/a")</f>
        <v>n/a</v>
      </c>
      <c r="AN24" s="194" t="str">
        <f t="shared" ref="AN24" si="189">+IFERROR(AE24/F24,"n/a")</f>
        <v>n/a</v>
      </c>
      <c r="AO24" s="194" t="str">
        <f t="shared" ref="AO24" si="190">+IFERROR(AF24/G24,"n/a")</f>
        <v>n/a</v>
      </c>
      <c r="AP24" s="194" t="str">
        <f t="shared" ref="AP24" si="191">+IFERROR(AG24/H24,"n/a")</f>
        <v>n/a</v>
      </c>
      <c r="AQ24" s="196" t="str">
        <f t="shared" ref="AQ24" si="192">+IFERROR($AP24-AM24,"n/a")</f>
        <v>n/a</v>
      </c>
      <c r="AR24" s="196" t="str">
        <f t="shared" ref="AR24" si="193">+IFERROR($AP24-AN24,"n/a")</f>
        <v>n/a</v>
      </c>
      <c r="AS24" s="196" t="str">
        <f t="shared" ref="AS24" si="194">+IFERROR($AP24-AO24,"n/a")</f>
        <v>n/a</v>
      </c>
    </row>
    <row r="25" spans="2:51" x14ac:dyDescent="0.2">
      <c r="B25" s="3" t="s">
        <v>227</v>
      </c>
      <c r="C25" s="3"/>
      <c r="I25" s="188">
        <f>+AVERAGE(I10:I24)</f>
        <v>3.0285683470565022E-2</v>
      </c>
      <c r="J25" s="188">
        <f>+AVERAGE(J10:J24)</f>
        <v>2.4561706307893703E-2</v>
      </c>
      <c r="K25" s="188">
        <f>+AVERAGE(K10:K24)</f>
        <v>1.8911176639819931E-2</v>
      </c>
      <c r="Q25" s="192">
        <f>+AVERAGE(Q10:Q24)</f>
        <v>2.9610000000000118</v>
      </c>
      <c r="R25" s="192">
        <f>+AVERAGE(R10:R24)</f>
        <v>2.9370000000000118</v>
      </c>
      <c r="S25" s="192">
        <f>+AVERAGE(S10:S24)</f>
        <v>2.9130000000000127</v>
      </c>
      <c r="T25" s="202">
        <f>+AVERAGE(T10:T24)</f>
        <v>3.6169950738916508</v>
      </c>
      <c r="Z25" s="197">
        <f>+AVERAGE(Z10:Z24)</f>
        <v>2.873210344870903E-2</v>
      </c>
      <c r="AA25" s="197">
        <f>+AVERAGE(AA10:AA24)</f>
        <v>2.873210344870903E-2</v>
      </c>
      <c r="AB25" s="197">
        <f>+AVERAGE(AB10:AB24)</f>
        <v>2.873210344870903E-2</v>
      </c>
      <c r="AC25" s="276"/>
      <c r="AH25" s="192">
        <f>+AVERAGE(AH10:AH24)</f>
        <v>4.1520833333333345</v>
      </c>
      <c r="AI25" s="192">
        <f>+AVERAGE(AI10:AI24)</f>
        <v>3.8062500000000004</v>
      </c>
      <c r="AJ25" s="192">
        <f>+AVERAGE(AJ10:AJ24)</f>
        <v>3.4604166666666671</v>
      </c>
      <c r="AK25" s="202">
        <f>+AVERAGE(AK10:AK24)</f>
        <v>7.1671884698555646</v>
      </c>
      <c r="AQ25" s="197">
        <f>+AVERAGE(AQ10:AQ24)</f>
        <v>7.26072700815064E-2</v>
      </c>
      <c r="AR25" s="197">
        <f>+AVERAGE(AR10:AR24)</f>
        <v>6.782421370632348E-2</v>
      </c>
      <c r="AS25" s="197">
        <f>+AVERAGE(AS10:AS24)</f>
        <v>6.3083158587543625E-2</v>
      </c>
    </row>
    <row r="26" spans="2:51" x14ac:dyDescent="0.2">
      <c r="B26" s="3" t="s">
        <v>228</v>
      </c>
      <c r="C26" s="3"/>
      <c r="I26" s="188">
        <f>+MEDIAN(I10:I24)</f>
        <v>2.3312280982265343E-2</v>
      </c>
      <c r="J26" s="188">
        <f>+MEDIAN(J10:J24)</f>
        <v>1.9589947089947102E-2</v>
      </c>
      <c r="K26" s="188">
        <f>+MEDIAN(K10:K24)</f>
        <v>1.5894604141770907E-2</v>
      </c>
      <c r="Q26" s="192">
        <f>+MEDIAN(Q10:Q24)</f>
        <v>2.9610000000000118</v>
      </c>
      <c r="R26" s="192">
        <f>+MEDIAN(R10:R24)</f>
        <v>2.9370000000000118</v>
      </c>
      <c r="S26" s="192">
        <f>+MEDIAN(S10:S24)</f>
        <v>2.9130000000000127</v>
      </c>
      <c r="T26" s="202">
        <f>+MEDIAN(T10:T24)</f>
        <v>3.6169950738916508</v>
      </c>
      <c r="Z26" s="197">
        <f>+MEDIAN(Z10:Z24)</f>
        <v>2.873210344870903E-2</v>
      </c>
      <c r="AA26" s="197">
        <f>+MEDIAN(AA10:AA24)</f>
        <v>2.873210344870903E-2</v>
      </c>
      <c r="AB26" s="197">
        <f>+MEDIAN(AB10:AB24)</f>
        <v>2.873210344870903E-2</v>
      </c>
      <c r="AC26" s="276"/>
      <c r="AH26" s="192">
        <f>+MEDIAN(AH10:AH24)</f>
        <v>4.601</v>
      </c>
      <c r="AI26" s="192">
        <f>+MEDIAN(AI10:AI24)</f>
        <v>4.4009999999999998</v>
      </c>
      <c r="AJ26" s="192">
        <f>+MEDIAN(AJ10:AJ24)</f>
        <v>4.2009999999999996</v>
      </c>
      <c r="AK26" s="202">
        <f>+MEDIAN(AK10:AK24)</f>
        <v>2.483359976041009</v>
      </c>
      <c r="AQ26" s="197">
        <f>+MEDIAN(AQ10:AQ24)</f>
        <v>7.7954531888001916E-2</v>
      </c>
      <c r="AR26" s="197">
        <f>+MEDIAN(AR10:AR24)</f>
        <v>6.9159350059810762E-2</v>
      </c>
      <c r="AS26" s="197">
        <f>+MEDIAN(AS10:AS24)</f>
        <v>6.0345260983796403E-2</v>
      </c>
      <c r="AY26" s="145"/>
    </row>
    <row r="28" spans="2:51" x14ac:dyDescent="0.2">
      <c r="B28" s="25" t="s">
        <v>309</v>
      </c>
      <c r="C28" s="25"/>
    </row>
    <row r="29" spans="2:51" x14ac:dyDescent="0.2">
      <c r="B29" s="249" t="s">
        <v>91</v>
      </c>
      <c r="C29" t="s">
        <v>218</v>
      </c>
      <c r="D29" s="181">
        <v>44561</v>
      </c>
      <c r="E29" s="11">
        <v>165</v>
      </c>
      <c r="F29" s="10">
        <f t="shared" ref="F29:F37" si="195">+AVERAGE(E29,G29)</f>
        <v>166</v>
      </c>
      <c r="G29" s="11">
        <v>167</v>
      </c>
      <c r="H29" s="11">
        <v>188.001</v>
      </c>
      <c r="I29" s="182">
        <f t="shared" ref="I29:I37" si="196">+IFERROR($H29/E29-1,"n/a")</f>
        <v>0.13939999999999997</v>
      </c>
      <c r="J29" s="182">
        <f t="shared" ref="J29:J37" si="197">+IFERROR($H29/F29-1,"n/a")</f>
        <v>0.13253614457831331</v>
      </c>
      <c r="K29" s="182">
        <f t="shared" ref="K29:K37" si="198">+IFERROR($H29/G29-1,"n/a")</f>
        <v>0.12575449101796421</v>
      </c>
      <c r="M29" s="199" t="s">
        <v>91</v>
      </c>
      <c r="N29" s="225" t="str">
        <f t="shared" ref="N29:N40" si="199">+IFERROR(AVERAGE(M29,O29),"n/a")</f>
        <v>n/a</v>
      </c>
      <c r="O29" s="199" t="s">
        <v>91</v>
      </c>
      <c r="P29" s="199" t="s">
        <v>91</v>
      </c>
      <c r="Q29" s="190" t="str">
        <f>+IFERROR($AG29-M29,"n/a")</f>
        <v>n/a</v>
      </c>
      <c r="R29" s="190" t="str">
        <f t="shared" ref="R29:R40" si="200">+IFERROR($AG29-N29,"n/a")</f>
        <v>n/a</v>
      </c>
      <c r="S29" s="190" t="str">
        <f t="shared" ref="S29:S40" si="201">+IFERROR($AG29-O29,"n/a")</f>
        <v>n/a</v>
      </c>
      <c r="T29" s="200" t="str">
        <f>+IFERROR((P29-N29)/(#REF!-#REF!),"n/a")</f>
        <v>n/a</v>
      </c>
      <c r="V29" s="193" t="str">
        <f>+IFERROR(M29/#REF!,"n/a")</f>
        <v>n/a</v>
      </c>
      <c r="W29" s="193" t="str">
        <f t="shared" ref="W29" si="202">+IFERROR(N29/#REF!,"n/a")</f>
        <v>n/a</v>
      </c>
      <c r="X29" s="193" t="str">
        <f t="shared" ref="X29" si="203">+IFERROR(O29/#REF!,"n/a")</f>
        <v>n/a</v>
      </c>
      <c r="Y29" s="193" t="str">
        <f t="shared" ref="Y29" si="204">+IFERROR(P29/#REF!,"n/a")</f>
        <v>n/a</v>
      </c>
      <c r="Z29" s="195" t="str">
        <f>+IFERROR($AP29-V29,"n/a")</f>
        <v>n/a</v>
      </c>
      <c r="AA29" s="195" t="str">
        <f t="shared" ref="AA29:AA40" si="205">+IFERROR($AP29-W29,"n/a")</f>
        <v>n/a</v>
      </c>
      <c r="AB29" s="195" t="str">
        <f t="shared" ref="AB29:AB40" si="206">+IFERROR($AP29-X29,"n/a")</f>
        <v>n/a</v>
      </c>
      <c r="AC29" s="121"/>
      <c r="AD29" s="198">
        <v>-10</v>
      </c>
      <c r="AE29" s="171">
        <f t="shared" ref="AE29:AE37" si="207">+AVERAGE(AD29,AF29)</f>
        <v>-9.5</v>
      </c>
      <c r="AF29" s="198">
        <v>-9</v>
      </c>
      <c r="AG29" s="198">
        <v>-0.54300000000000004</v>
      </c>
      <c r="AH29" s="190">
        <f>+IFERROR($AG29-AD29,"n/a")</f>
        <v>9.4570000000000007</v>
      </c>
      <c r="AI29" s="190">
        <f t="shared" ref="AI29:AI37" si="208">+IFERROR($AG29-AE29,"n/a")</f>
        <v>8.9570000000000007</v>
      </c>
      <c r="AJ29" s="190">
        <f t="shared" ref="AJ29:AJ37" si="209">+IFERROR($AG29-AF29,"n/a")</f>
        <v>8.4570000000000007</v>
      </c>
      <c r="AK29" s="200">
        <f>+IFERROR((AG29-AE29)/(H29-F29),"n/a")</f>
        <v>0.40711785827916908</v>
      </c>
      <c r="AM29" s="193">
        <f>+IFERROR(AD29/E29,"n/a")</f>
        <v>-6.0606060606060608E-2</v>
      </c>
      <c r="AN29" s="193">
        <f t="shared" ref="AN29:AN37" si="210">+IFERROR(AE29/F29,"n/a")</f>
        <v>-5.7228915662650599E-2</v>
      </c>
      <c r="AO29" s="193">
        <f t="shared" ref="AO29:AO37" si="211">+IFERROR(AF29/G29,"n/a")</f>
        <v>-5.3892215568862277E-2</v>
      </c>
      <c r="AP29" s="193">
        <f t="shared" ref="AP29:AP37" si="212">+IFERROR(AG29/H29,"n/a")</f>
        <v>-2.8882825091355899E-3</v>
      </c>
      <c r="AQ29" s="195">
        <f>+IFERROR($AP29-AM29,"n/a")</f>
        <v>5.7717778096925021E-2</v>
      </c>
      <c r="AR29" s="195">
        <f t="shared" ref="AR29:AR37" si="213">+IFERROR($AP29-AN29,"n/a")</f>
        <v>5.4340633153515012E-2</v>
      </c>
      <c r="AS29" s="195">
        <f t="shared" ref="AS29:AS37" si="214">+IFERROR($AP29-AO29,"n/a")</f>
        <v>5.100393305972669E-2</v>
      </c>
    </row>
    <row r="30" spans="2:51" x14ac:dyDescent="0.2">
      <c r="B30" s="249">
        <v>44327</v>
      </c>
      <c r="C30" t="s">
        <v>218</v>
      </c>
      <c r="D30" s="181">
        <v>44561</v>
      </c>
      <c r="E30" s="11">
        <v>175</v>
      </c>
      <c r="F30" s="10">
        <f t="shared" si="195"/>
        <v>176</v>
      </c>
      <c r="G30" s="11">
        <v>177</v>
      </c>
      <c r="H30" s="11">
        <v>188.001</v>
      </c>
      <c r="I30" s="182">
        <f t="shared" si="196"/>
        <v>7.4291428571428675E-2</v>
      </c>
      <c r="J30" s="182">
        <f t="shared" si="197"/>
        <v>6.8187500000000068E-2</v>
      </c>
      <c r="K30" s="182">
        <f t="shared" si="198"/>
        <v>6.2152542372881481E-2</v>
      </c>
      <c r="M30" s="199" t="s">
        <v>91</v>
      </c>
      <c r="N30" s="225" t="str">
        <f t="shared" si="199"/>
        <v>n/a</v>
      </c>
      <c r="O30" s="199" t="s">
        <v>91</v>
      </c>
      <c r="P30" s="199" t="s">
        <v>91</v>
      </c>
      <c r="Q30" s="190" t="str">
        <f t="shared" ref="Q30:Q40" si="215">+IFERROR($AG30-M30,"n/a")</f>
        <v>n/a</v>
      </c>
      <c r="R30" s="190" t="str">
        <f t="shared" si="200"/>
        <v>n/a</v>
      </c>
      <c r="S30" s="190" t="str">
        <f t="shared" si="201"/>
        <v>n/a</v>
      </c>
      <c r="T30" s="200" t="str">
        <f t="shared" ref="T30" si="216">+IFERROR((P30-N30)/(#REF!-#REF!),"n/a")</f>
        <v>n/a</v>
      </c>
      <c r="V30" s="193" t="str">
        <f t="shared" ref="V30" si="217">+IFERROR(M30/#REF!,"n/a")</f>
        <v>n/a</v>
      </c>
      <c r="W30" s="193" t="str">
        <f t="shared" ref="W30" si="218">+IFERROR(N30/#REF!,"n/a")</f>
        <v>n/a</v>
      </c>
      <c r="X30" s="193" t="str">
        <f t="shared" ref="X30" si="219">+IFERROR(O30/#REF!,"n/a")</f>
        <v>n/a</v>
      </c>
      <c r="Y30" s="193" t="str">
        <f t="shared" ref="Y30" si="220">+IFERROR(P30/#REF!,"n/a")</f>
        <v>n/a</v>
      </c>
      <c r="Z30" s="195" t="str">
        <f t="shared" ref="Z30:Z40" si="221">+IFERROR($AP30-V30,"n/a")</f>
        <v>n/a</v>
      </c>
      <c r="AA30" s="195" t="str">
        <f t="shared" si="205"/>
        <v>n/a</v>
      </c>
      <c r="AB30" s="195" t="str">
        <f t="shared" si="206"/>
        <v>n/a</v>
      </c>
      <c r="AC30" s="121"/>
      <c r="AD30" s="198">
        <v>-7.9</v>
      </c>
      <c r="AE30" s="171">
        <f t="shared" si="207"/>
        <v>-7.1</v>
      </c>
      <c r="AF30" s="198">
        <v>-6.3</v>
      </c>
      <c r="AG30" s="198">
        <v>-0.54300000000000004</v>
      </c>
      <c r="AH30" s="190">
        <f t="shared" ref="AH30:AH37" si="222">+IFERROR($AG30-AD30,"n/a")</f>
        <v>7.3570000000000002</v>
      </c>
      <c r="AI30" s="190">
        <f t="shared" si="208"/>
        <v>6.5569999999999995</v>
      </c>
      <c r="AJ30" s="190">
        <f t="shared" si="209"/>
        <v>5.7569999999999997</v>
      </c>
      <c r="AK30" s="200">
        <f t="shared" ref="AK30:AK37" si="223">+IFERROR((AG30-AE30)/(H30-F30),"n/a")</f>
        <v>0.54637113573868823</v>
      </c>
      <c r="AM30" s="193">
        <f t="shared" ref="AM30:AM37" si="224">+IFERROR(AD30/E30,"n/a")</f>
        <v>-4.5142857142857144E-2</v>
      </c>
      <c r="AN30" s="193">
        <f t="shared" si="210"/>
        <v>-4.0340909090909087E-2</v>
      </c>
      <c r="AO30" s="193">
        <f t="shared" si="211"/>
        <v>-3.5593220338983052E-2</v>
      </c>
      <c r="AP30" s="193">
        <f t="shared" si="212"/>
        <v>-2.8882825091355899E-3</v>
      </c>
      <c r="AQ30" s="195">
        <f t="shared" ref="AQ30:AQ37" si="225">+IFERROR($AP30-AM30,"n/a")</f>
        <v>4.2254574633721557E-2</v>
      </c>
      <c r="AR30" s="195">
        <f t="shared" si="213"/>
        <v>3.74526265817735E-2</v>
      </c>
      <c r="AS30" s="195">
        <f t="shared" si="214"/>
        <v>3.2704937829847465E-2</v>
      </c>
    </row>
    <row r="31" spans="2:51" x14ac:dyDescent="0.2">
      <c r="B31" s="249">
        <v>44417</v>
      </c>
      <c r="C31" t="s">
        <v>218</v>
      </c>
      <c r="D31" s="181">
        <v>44561</v>
      </c>
      <c r="E31" s="11">
        <v>182</v>
      </c>
      <c r="F31" s="10">
        <f t="shared" si="195"/>
        <v>183</v>
      </c>
      <c r="G31" s="11">
        <v>184</v>
      </c>
      <c r="H31" s="11">
        <v>188.001</v>
      </c>
      <c r="I31" s="182">
        <f t="shared" si="196"/>
        <v>3.2972527472527435E-2</v>
      </c>
      <c r="J31" s="182">
        <f t="shared" si="197"/>
        <v>2.732786885245897E-2</v>
      </c>
      <c r="K31" s="182">
        <f t="shared" si="198"/>
        <v>2.1744565217391321E-2</v>
      </c>
      <c r="M31" s="199" t="s">
        <v>91</v>
      </c>
      <c r="N31" s="225" t="str">
        <f t="shared" si="199"/>
        <v>n/a</v>
      </c>
      <c r="O31" s="199" t="s">
        <v>91</v>
      </c>
      <c r="P31" s="199" t="s">
        <v>91</v>
      </c>
      <c r="Q31" s="190" t="str">
        <f t="shared" si="215"/>
        <v>n/a</v>
      </c>
      <c r="R31" s="190" t="str">
        <f t="shared" si="200"/>
        <v>n/a</v>
      </c>
      <c r="S31" s="190" t="str">
        <f t="shared" si="201"/>
        <v>n/a</v>
      </c>
      <c r="T31" s="200" t="str">
        <f t="shared" ref="T31" si="226">+IFERROR((P31-N31)/(#REF!-#REF!),"n/a")</f>
        <v>n/a</v>
      </c>
      <c r="V31" s="193" t="str">
        <f t="shared" ref="V31" si="227">+IFERROR(M31/#REF!,"n/a")</f>
        <v>n/a</v>
      </c>
      <c r="W31" s="193" t="str">
        <f t="shared" ref="W31" si="228">+IFERROR(N31/#REF!,"n/a")</f>
        <v>n/a</v>
      </c>
      <c r="X31" s="193" t="str">
        <f t="shared" ref="X31" si="229">+IFERROR(O31/#REF!,"n/a")</f>
        <v>n/a</v>
      </c>
      <c r="Y31" s="193" t="str">
        <f t="shared" ref="Y31" si="230">+IFERROR(P31/#REF!,"n/a")</f>
        <v>n/a</v>
      </c>
      <c r="Z31" s="195" t="str">
        <f t="shared" si="221"/>
        <v>n/a</v>
      </c>
      <c r="AA31" s="195" t="str">
        <f t="shared" si="205"/>
        <v>n/a</v>
      </c>
      <c r="AB31" s="195" t="str">
        <f t="shared" si="206"/>
        <v>n/a</v>
      </c>
      <c r="AC31" s="121"/>
      <c r="AD31" s="198">
        <v>-7.9</v>
      </c>
      <c r="AE31" s="171">
        <f t="shared" si="207"/>
        <v>-7.1</v>
      </c>
      <c r="AF31" s="198">
        <v>-6.3</v>
      </c>
      <c r="AG31" s="198">
        <v>-0.54300000000000004</v>
      </c>
      <c r="AH31" s="190">
        <f t="shared" si="222"/>
        <v>7.3570000000000002</v>
      </c>
      <c r="AI31" s="190">
        <f t="shared" si="208"/>
        <v>6.5569999999999995</v>
      </c>
      <c r="AJ31" s="190">
        <f t="shared" si="209"/>
        <v>5.7569999999999997</v>
      </c>
      <c r="AK31" s="200">
        <f t="shared" si="223"/>
        <v>1.3111377724455096</v>
      </c>
      <c r="AM31" s="193">
        <f t="shared" si="224"/>
        <v>-4.3406593406593412E-2</v>
      </c>
      <c r="AN31" s="193">
        <f t="shared" si="210"/>
        <v>-3.8797814207650272E-2</v>
      </c>
      <c r="AO31" s="193">
        <f t="shared" si="211"/>
        <v>-3.4239130434782605E-2</v>
      </c>
      <c r="AP31" s="193">
        <f t="shared" si="212"/>
        <v>-2.8882825091355899E-3</v>
      </c>
      <c r="AQ31" s="195">
        <f t="shared" si="225"/>
        <v>4.0518310897457825E-2</v>
      </c>
      <c r="AR31" s="195">
        <f t="shared" si="213"/>
        <v>3.5909531698514685E-2</v>
      </c>
      <c r="AS31" s="195">
        <f t="shared" si="214"/>
        <v>3.1350847925647018E-2</v>
      </c>
    </row>
    <row r="32" spans="2:51" x14ac:dyDescent="0.2">
      <c r="B32" s="249">
        <v>44509</v>
      </c>
      <c r="C32" t="s">
        <v>218</v>
      </c>
      <c r="D32" s="181">
        <v>44561</v>
      </c>
      <c r="E32" s="11">
        <v>186</v>
      </c>
      <c r="F32" s="10">
        <f t="shared" si="195"/>
        <v>186.25</v>
      </c>
      <c r="G32" s="11">
        <v>186.5</v>
      </c>
      <c r="H32" s="11">
        <v>188.001</v>
      </c>
      <c r="I32" s="182">
        <f t="shared" si="196"/>
        <v>1.0758064516129151E-2</v>
      </c>
      <c r="J32" s="182">
        <f t="shared" si="197"/>
        <v>9.4013422818792769E-3</v>
      </c>
      <c r="K32" s="182">
        <f t="shared" si="198"/>
        <v>8.0482573726541329E-3</v>
      </c>
      <c r="M32" s="199" t="s">
        <v>91</v>
      </c>
      <c r="N32" s="225" t="str">
        <f t="shared" si="199"/>
        <v>n/a</v>
      </c>
      <c r="O32" s="199" t="s">
        <v>91</v>
      </c>
      <c r="P32" s="199" t="s">
        <v>91</v>
      </c>
      <c r="Q32" s="190" t="str">
        <f t="shared" si="215"/>
        <v>n/a</v>
      </c>
      <c r="R32" s="190" t="str">
        <f t="shared" si="200"/>
        <v>n/a</v>
      </c>
      <c r="S32" s="190" t="str">
        <f t="shared" si="201"/>
        <v>n/a</v>
      </c>
      <c r="T32" s="200" t="str">
        <f t="shared" ref="T32" si="231">+IFERROR((P32-N32)/(#REF!-#REF!),"n/a")</f>
        <v>n/a</v>
      </c>
      <c r="V32" s="193" t="str">
        <f t="shared" ref="V32" si="232">+IFERROR(M32/#REF!,"n/a")</f>
        <v>n/a</v>
      </c>
      <c r="W32" s="193" t="str">
        <f t="shared" ref="W32" si="233">+IFERROR(N32/#REF!,"n/a")</f>
        <v>n/a</v>
      </c>
      <c r="X32" s="193" t="str">
        <f t="shared" ref="X32" si="234">+IFERROR(O32/#REF!,"n/a")</f>
        <v>n/a</v>
      </c>
      <c r="Y32" s="193" t="str">
        <f t="shared" ref="Y32" si="235">+IFERROR(P32/#REF!,"n/a")</f>
        <v>n/a</v>
      </c>
      <c r="Z32" s="195" t="str">
        <f t="shared" si="221"/>
        <v>n/a</v>
      </c>
      <c r="AA32" s="195" t="str">
        <f t="shared" si="205"/>
        <v>n/a</v>
      </c>
      <c r="AB32" s="195" t="str">
        <f t="shared" si="206"/>
        <v>n/a</v>
      </c>
      <c r="AC32" s="121"/>
      <c r="AD32" s="198">
        <v>-3.1</v>
      </c>
      <c r="AE32" s="171">
        <f t="shared" si="207"/>
        <v>-2.85</v>
      </c>
      <c r="AF32" s="198">
        <v>-2.6</v>
      </c>
      <c r="AG32" s="198">
        <v>-0.54300000000000004</v>
      </c>
      <c r="AH32" s="190">
        <f t="shared" si="222"/>
        <v>2.5569999999999999</v>
      </c>
      <c r="AI32" s="190">
        <f t="shared" si="208"/>
        <v>2.3069999999999999</v>
      </c>
      <c r="AJ32" s="190">
        <f t="shared" si="209"/>
        <v>2.0569999999999999</v>
      </c>
      <c r="AK32" s="200">
        <f t="shared" si="223"/>
        <v>1.317532838378066</v>
      </c>
      <c r="AM32" s="193">
        <f t="shared" si="224"/>
        <v>-1.6666666666666666E-2</v>
      </c>
      <c r="AN32" s="193">
        <f t="shared" si="210"/>
        <v>-1.5302013422818792E-2</v>
      </c>
      <c r="AO32" s="193">
        <f t="shared" si="211"/>
        <v>-1.3941018766756033E-2</v>
      </c>
      <c r="AP32" s="193">
        <f t="shared" si="212"/>
        <v>-2.8882825091355899E-3</v>
      </c>
      <c r="AQ32" s="195">
        <f t="shared" si="225"/>
        <v>1.3778384157531076E-2</v>
      </c>
      <c r="AR32" s="195">
        <f t="shared" si="213"/>
        <v>1.2413730913683202E-2</v>
      </c>
      <c r="AS32" s="195">
        <f t="shared" si="214"/>
        <v>1.1052736257620443E-2</v>
      </c>
    </row>
    <row r="33" spans="2:45" x14ac:dyDescent="0.2">
      <c r="B33" s="249">
        <v>44620</v>
      </c>
      <c r="C33" t="s">
        <v>305</v>
      </c>
      <c r="D33" s="181">
        <v>44926</v>
      </c>
      <c r="E33" s="11">
        <v>245</v>
      </c>
      <c r="F33" s="10">
        <f t="shared" si="195"/>
        <v>246</v>
      </c>
      <c r="G33" s="11">
        <v>247</v>
      </c>
      <c r="H33" s="11">
        <v>254.316</v>
      </c>
      <c r="I33" s="182">
        <f t="shared" si="196"/>
        <v>3.8024489795918326E-2</v>
      </c>
      <c r="J33" s="182">
        <f t="shared" si="197"/>
        <v>3.3804878048780518E-2</v>
      </c>
      <c r="K33" s="182">
        <f t="shared" si="198"/>
        <v>2.9619433198380563E-2</v>
      </c>
      <c r="M33" s="199" t="s">
        <v>91</v>
      </c>
      <c r="N33" s="225" t="str">
        <f t="shared" si="199"/>
        <v>n/a</v>
      </c>
      <c r="O33" s="199" t="s">
        <v>91</v>
      </c>
      <c r="P33" s="199" t="s">
        <v>91</v>
      </c>
      <c r="Q33" s="190" t="str">
        <f t="shared" si="215"/>
        <v>n/a</v>
      </c>
      <c r="R33" s="190" t="str">
        <f t="shared" si="200"/>
        <v>n/a</v>
      </c>
      <c r="S33" s="190" t="str">
        <f t="shared" si="201"/>
        <v>n/a</v>
      </c>
      <c r="T33" s="200" t="str">
        <f t="shared" ref="T33" si="236">+IFERROR((P33-N33)/(#REF!-#REF!),"n/a")</f>
        <v>n/a</v>
      </c>
      <c r="V33" s="193" t="str">
        <f t="shared" ref="V33" si="237">+IFERROR(M33/#REF!,"n/a")</f>
        <v>n/a</v>
      </c>
      <c r="W33" s="193" t="str">
        <f t="shared" ref="W33" si="238">+IFERROR(N33/#REF!,"n/a")</f>
        <v>n/a</v>
      </c>
      <c r="X33" s="193" t="str">
        <f t="shared" ref="X33" si="239">+IFERROR(O33/#REF!,"n/a")</f>
        <v>n/a</v>
      </c>
      <c r="Y33" s="193" t="str">
        <f t="shared" ref="Y33" si="240">+IFERROR(P33/#REF!,"n/a")</f>
        <v>n/a</v>
      </c>
      <c r="Z33" s="195" t="str">
        <f t="shared" si="221"/>
        <v>n/a</v>
      </c>
      <c r="AA33" s="195" t="str">
        <f t="shared" si="205"/>
        <v>n/a</v>
      </c>
      <c r="AB33" s="195" t="str">
        <f t="shared" si="206"/>
        <v>n/a</v>
      </c>
      <c r="AC33" s="121"/>
      <c r="AD33" s="198">
        <v>-22</v>
      </c>
      <c r="AE33" s="171">
        <f t="shared" si="207"/>
        <v>-21.75</v>
      </c>
      <c r="AF33" s="198">
        <v>-21.5</v>
      </c>
      <c r="AG33" s="199">
        <v>-26.454999999999998</v>
      </c>
      <c r="AH33" s="190">
        <f t="shared" si="222"/>
        <v>-4.4549999999999983</v>
      </c>
      <c r="AI33" s="190">
        <f t="shared" si="208"/>
        <v>-4.7049999999999983</v>
      </c>
      <c r="AJ33" s="190">
        <f t="shared" si="209"/>
        <v>-4.9549999999999983</v>
      </c>
      <c r="AK33" s="200">
        <f t="shared" si="223"/>
        <v>-0.56577681577681538</v>
      </c>
      <c r="AM33" s="193">
        <f t="shared" si="224"/>
        <v>-8.9795918367346933E-2</v>
      </c>
      <c r="AN33" s="193">
        <f t="shared" si="210"/>
        <v>-8.8414634146341459E-2</v>
      </c>
      <c r="AO33" s="193">
        <f t="shared" si="211"/>
        <v>-8.7044534412955468E-2</v>
      </c>
      <c r="AP33" s="193">
        <f t="shared" si="212"/>
        <v>-0.10402412746347063</v>
      </c>
      <c r="AQ33" s="195">
        <f t="shared" si="225"/>
        <v>-1.4228209096123698E-2</v>
      </c>
      <c r="AR33" s="195">
        <f t="shared" si="213"/>
        <v>-1.5609493317129172E-2</v>
      </c>
      <c r="AS33" s="195">
        <f t="shared" si="214"/>
        <v>-1.6979593050515163E-2</v>
      </c>
    </row>
    <row r="34" spans="2:45" x14ac:dyDescent="0.2">
      <c r="B34" s="249">
        <v>44691</v>
      </c>
      <c r="C34" t="s">
        <v>305</v>
      </c>
      <c r="D34" s="181">
        <v>44926</v>
      </c>
      <c r="E34" s="11">
        <v>249</v>
      </c>
      <c r="F34" s="10">
        <f t="shared" si="195"/>
        <v>250</v>
      </c>
      <c r="G34" s="11">
        <v>251</v>
      </c>
      <c r="H34" s="11">
        <v>254.316</v>
      </c>
      <c r="I34" s="182">
        <f t="shared" si="196"/>
        <v>2.1349397590361363E-2</v>
      </c>
      <c r="J34" s="182">
        <f t="shared" si="197"/>
        <v>1.7263999999999946E-2</v>
      </c>
      <c r="K34" s="182">
        <f t="shared" si="198"/>
        <v>1.3211155378486161E-2</v>
      </c>
      <c r="M34" s="199" t="s">
        <v>91</v>
      </c>
      <c r="N34" s="225" t="str">
        <f t="shared" si="199"/>
        <v>n/a</v>
      </c>
      <c r="O34" s="199" t="s">
        <v>91</v>
      </c>
      <c r="P34" s="199" t="s">
        <v>91</v>
      </c>
      <c r="Q34" s="190" t="str">
        <f t="shared" si="215"/>
        <v>n/a</v>
      </c>
      <c r="R34" s="190" t="str">
        <f t="shared" si="200"/>
        <v>n/a</v>
      </c>
      <c r="S34" s="190" t="str">
        <f t="shared" si="201"/>
        <v>n/a</v>
      </c>
      <c r="T34" s="200" t="str">
        <f t="shared" ref="T34" si="241">+IFERROR((P34-N34)/(#REF!-#REF!),"n/a")</f>
        <v>n/a</v>
      </c>
      <c r="V34" s="193" t="str">
        <f t="shared" ref="V34" si="242">+IFERROR(M34/#REF!,"n/a")</f>
        <v>n/a</v>
      </c>
      <c r="W34" s="193" t="str">
        <f t="shared" ref="W34" si="243">+IFERROR(N34/#REF!,"n/a")</f>
        <v>n/a</v>
      </c>
      <c r="X34" s="193" t="str">
        <f t="shared" ref="X34" si="244">+IFERROR(O34/#REF!,"n/a")</f>
        <v>n/a</v>
      </c>
      <c r="Y34" s="193" t="str">
        <f t="shared" ref="Y34" si="245">+IFERROR(P34/#REF!,"n/a")</f>
        <v>n/a</v>
      </c>
      <c r="Z34" s="195" t="str">
        <f t="shared" si="221"/>
        <v>n/a</v>
      </c>
      <c r="AA34" s="195" t="str">
        <f t="shared" si="205"/>
        <v>n/a</v>
      </c>
      <c r="AB34" s="195" t="str">
        <f t="shared" si="206"/>
        <v>n/a</v>
      </c>
      <c r="AC34" s="121"/>
      <c r="AD34" s="198">
        <v>-46</v>
      </c>
      <c r="AE34" s="171">
        <f t="shared" si="207"/>
        <v>-45</v>
      </c>
      <c r="AF34" s="198">
        <v>-44</v>
      </c>
      <c r="AG34" s="199">
        <v>-26.454999999999998</v>
      </c>
      <c r="AH34" s="190">
        <f t="shared" si="222"/>
        <v>19.545000000000002</v>
      </c>
      <c r="AI34" s="190">
        <f t="shared" si="208"/>
        <v>18.545000000000002</v>
      </c>
      <c r="AJ34" s="190">
        <f t="shared" si="209"/>
        <v>17.545000000000002</v>
      </c>
      <c r="AK34" s="200">
        <f t="shared" si="223"/>
        <v>4.2968025949953637</v>
      </c>
      <c r="AM34" s="193">
        <f t="shared" si="224"/>
        <v>-0.18473895582329317</v>
      </c>
      <c r="AN34" s="193">
        <f t="shared" si="210"/>
        <v>-0.18</v>
      </c>
      <c r="AO34" s="193">
        <f t="shared" si="211"/>
        <v>-0.1752988047808765</v>
      </c>
      <c r="AP34" s="193">
        <f t="shared" si="212"/>
        <v>-0.10402412746347063</v>
      </c>
      <c r="AQ34" s="195">
        <f t="shared" si="225"/>
        <v>8.0714828359822535E-2</v>
      </c>
      <c r="AR34" s="195">
        <f t="shared" si="213"/>
        <v>7.5975872536529362E-2</v>
      </c>
      <c r="AS34" s="195">
        <f t="shared" si="214"/>
        <v>7.1274677317405874E-2</v>
      </c>
    </row>
    <row r="35" spans="2:45" x14ac:dyDescent="0.2">
      <c r="B35" s="249">
        <v>44783</v>
      </c>
      <c r="C35" t="s">
        <v>305</v>
      </c>
      <c r="D35" s="181">
        <v>44926</v>
      </c>
      <c r="E35" s="11">
        <v>251</v>
      </c>
      <c r="F35" s="10">
        <f t="shared" si="195"/>
        <v>252</v>
      </c>
      <c r="G35" s="11">
        <v>253</v>
      </c>
      <c r="H35" s="11">
        <v>254.316</v>
      </c>
      <c r="I35" s="182">
        <f t="shared" si="196"/>
        <v>1.3211155378486161E-2</v>
      </c>
      <c r="J35" s="182">
        <f t="shared" si="197"/>
        <v>9.1904761904761934E-3</v>
      </c>
      <c r="K35" s="182">
        <f t="shared" si="198"/>
        <v>5.2015810276679897E-3</v>
      </c>
      <c r="M35" s="199" t="s">
        <v>91</v>
      </c>
      <c r="N35" s="225" t="str">
        <f t="shared" si="199"/>
        <v>n/a</v>
      </c>
      <c r="O35" s="199" t="s">
        <v>91</v>
      </c>
      <c r="P35" s="199" t="s">
        <v>91</v>
      </c>
      <c r="Q35" s="190" t="str">
        <f t="shared" si="215"/>
        <v>n/a</v>
      </c>
      <c r="R35" s="190" t="str">
        <f t="shared" si="200"/>
        <v>n/a</v>
      </c>
      <c r="S35" s="190" t="str">
        <f t="shared" si="201"/>
        <v>n/a</v>
      </c>
      <c r="T35" s="200" t="str">
        <f t="shared" ref="T35" si="246">+IFERROR((P35-N35)/(#REF!-#REF!),"n/a")</f>
        <v>n/a</v>
      </c>
      <c r="V35" s="193" t="str">
        <f t="shared" ref="V35" si="247">+IFERROR(M35/#REF!,"n/a")</f>
        <v>n/a</v>
      </c>
      <c r="W35" s="193" t="str">
        <f t="shared" ref="W35" si="248">+IFERROR(N35/#REF!,"n/a")</f>
        <v>n/a</v>
      </c>
      <c r="X35" s="193" t="str">
        <f t="shared" ref="X35" si="249">+IFERROR(O35/#REF!,"n/a")</f>
        <v>n/a</v>
      </c>
      <c r="Y35" s="193" t="str">
        <f t="shared" ref="Y35" si="250">+IFERROR(P35/#REF!,"n/a")</f>
        <v>n/a</v>
      </c>
      <c r="Z35" s="195" t="str">
        <f t="shared" si="221"/>
        <v>n/a</v>
      </c>
      <c r="AA35" s="195" t="str">
        <f t="shared" si="205"/>
        <v>n/a</v>
      </c>
      <c r="AB35" s="195" t="str">
        <f t="shared" si="206"/>
        <v>n/a</v>
      </c>
      <c r="AC35" s="121"/>
      <c r="AD35" s="198">
        <v>-32</v>
      </c>
      <c r="AE35" s="171">
        <f t="shared" si="207"/>
        <v>-30</v>
      </c>
      <c r="AF35" s="198">
        <v>-28</v>
      </c>
      <c r="AG35" s="199">
        <v>-26.454999999999998</v>
      </c>
      <c r="AH35" s="190">
        <f t="shared" si="222"/>
        <v>5.5450000000000017</v>
      </c>
      <c r="AI35" s="190">
        <f t="shared" si="208"/>
        <v>3.5450000000000017</v>
      </c>
      <c r="AJ35" s="190">
        <f t="shared" si="209"/>
        <v>1.5450000000000017</v>
      </c>
      <c r="AK35" s="200">
        <f t="shared" si="223"/>
        <v>1.5306563039723653</v>
      </c>
      <c r="AM35" s="193">
        <f t="shared" si="224"/>
        <v>-0.12749003984063745</v>
      </c>
      <c r="AN35" s="193">
        <f t="shared" si="210"/>
        <v>-0.11904761904761904</v>
      </c>
      <c r="AO35" s="193">
        <f t="shared" si="211"/>
        <v>-0.11067193675889328</v>
      </c>
      <c r="AP35" s="193">
        <f t="shared" si="212"/>
        <v>-0.10402412746347063</v>
      </c>
      <c r="AQ35" s="195">
        <f t="shared" si="225"/>
        <v>2.3465912377166817E-2</v>
      </c>
      <c r="AR35" s="195">
        <f t="shared" si="213"/>
        <v>1.502349158414841E-2</v>
      </c>
      <c r="AS35" s="195">
        <f t="shared" si="214"/>
        <v>6.6478092954226492E-3</v>
      </c>
    </row>
    <row r="36" spans="2:45" x14ac:dyDescent="0.2">
      <c r="B36" s="249">
        <v>44879</v>
      </c>
      <c r="C36" t="s">
        <v>305</v>
      </c>
      <c r="D36" s="181">
        <v>44926</v>
      </c>
      <c r="E36" s="11">
        <v>252.8</v>
      </c>
      <c r="F36" s="10">
        <f t="shared" si="195"/>
        <v>253.05</v>
      </c>
      <c r="G36" s="11">
        <v>253.3</v>
      </c>
      <c r="H36" s="11">
        <v>254.316</v>
      </c>
      <c r="I36" s="182">
        <f t="shared" si="196"/>
        <v>5.9968354430379733E-3</v>
      </c>
      <c r="J36" s="182">
        <f t="shared" si="197"/>
        <v>5.002963841138186E-3</v>
      </c>
      <c r="K36" s="182">
        <f t="shared" si="198"/>
        <v>4.0110540860638366E-3</v>
      </c>
      <c r="M36" s="199" t="s">
        <v>91</v>
      </c>
      <c r="N36" s="225" t="str">
        <f t="shared" si="199"/>
        <v>n/a</v>
      </c>
      <c r="O36" s="199" t="s">
        <v>91</v>
      </c>
      <c r="P36" s="199" t="s">
        <v>91</v>
      </c>
      <c r="Q36" s="190" t="str">
        <f t="shared" si="215"/>
        <v>n/a</v>
      </c>
      <c r="R36" s="190" t="str">
        <f t="shared" si="200"/>
        <v>n/a</v>
      </c>
      <c r="S36" s="190" t="str">
        <f t="shared" si="201"/>
        <v>n/a</v>
      </c>
      <c r="T36" s="200" t="str">
        <f t="shared" ref="T36" si="251">+IFERROR((P36-N36)/(#REF!-#REF!),"n/a")</f>
        <v>n/a</v>
      </c>
      <c r="V36" s="193" t="str">
        <f t="shared" ref="V36" si="252">+IFERROR(M36/#REF!,"n/a")</f>
        <v>n/a</v>
      </c>
      <c r="W36" s="193" t="str">
        <f t="shared" ref="W36" si="253">+IFERROR(N36/#REF!,"n/a")</f>
        <v>n/a</v>
      </c>
      <c r="X36" s="193" t="str">
        <f t="shared" ref="X36" si="254">+IFERROR(O36/#REF!,"n/a")</f>
        <v>n/a</v>
      </c>
      <c r="Y36" s="193" t="str">
        <f t="shared" ref="Y36" si="255">+IFERROR(P36/#REF!,"n/a")</f>
        <v>n/a</v>
      </c>
      <c r="Z36" s="195" t="str">
        <f t="shared" si="221"/>
        <v>n/a</v>
      </c>
      <c r="AA36" s="195" t="str">
        <f t="shared" si="205"/>
        <v>n/a</v>
      </c>
      <c r="AB36" s="195" t="str">
        <f t="shared" si="206"/>
        <v>n/a</v>
      </c>
      <c r="AC36" s="121"/>
      <c r="AD36" s="198">
        <v>-26</v>
      </c>
      <c r="AE36" s="171">
        <f t="shared" si="207"/>
        <v>-25.5</v>
      </c>
      <c r="AF36" s="198">
        <v>-25</v>
      </c>
      <c r="AG36" s="199">
        <v>-26.454999999999998</v>
      </c>
      <c r="AH36" s="190">
        <f t="shared" si="222"/>
        <v>-0.45499999999999829</v>
      </c>
      <c r="AI36" s="190">
        <f t="shared" si="208"/>
        <v>-0.95499999999999829</v>
      </c>
      <c r="AJ36" s="190">
        <f t="shared" si="209"/>
        <v>-1.4549999999999983</v>
      </c>
      <c r="AK36" s="200">
        <f t="shared" si="223"/>
        <v>-0.754344391785154</v>
      </c>
      <c r="AM36" s="193">
        <f t="shared" si="224"/>
        <v>-0.10284810126582278</v>
      </c>
      <c r="AN36" s="193">
        <f t="shared" si="210"/>
        <v>-0.10077059869590989</v>
      </c>
      <c r="AO36" s="193">
        <f t="shared" si="211"/>
        <v>-9.8697196999605205E-2</v>
      </c>
      <c r="AP36" s="193">
        <f t="shared" si="212"/>
        <v>-0.10402412746347063</v>
      </c>
      <c r="AQ36" s="195">
        <f t="shared" si="225"/>
        <v>-1.1760261976478531E-3</v>
      </c>
      <c r="AR36" s="195">
        <f t="shared" si="213"/>
        <v>-3.2535287675607427E-3</v>
      </c>
      <c r="AS36" s="195">
        <f t="shared" si="214"/>
        <v>-5.3269304638654258E-3</v>
      </c>
    </row>
    <row r="37" spans="2:45" x14ac:dyDescent="0.2">
      <c r="B37" s="249">
        <v>44998</v>
      </c>
      <c r="C37" t="s">
        <v>327</v>
      </c>
      <c r="D37" s="181">
        <v>45291</v>
      </c>
      <c r="E37" s="11">
        <v>306</v>
      </c>
      <c r="F37" s="10">
        <f t="shared" si="195"/>
        <v>307.5</v>
      </c>
      <c r="G37" s="11">
        <v>309</v>
      </c>
      <c r="H37" s="112">
        <v>307.67500000000001</v>
      </c>
      <c r="I37" s="182">
        <f t="shared" si="196"/>
        <v>5.4738562091503074E-3</v>
      </c>
      <c r="J37" s="182">
        <f t="shared" si="197"/>
        <v>5.6910569105683706E-4</v>
      </c>
      <c r="K37" s="182">
        <f t="shared" si="198"/>
        <v>-4.2880258899675727E-3</v>
      </c>
      <c r="M37" s="199" t="s">
        <v>91</v>
      </c>
      <c r="N37" s="225" t="str">
        <f t="shared" si="199"/>
        <v>n/a</v>
      </c>
      <c r="O37" s="199" t="s">
        <v>91</v>
      </c>
      <c r="P37" s="199" t="s">
        <v>91</v>
      </c>
      <c r="Q37" s="190" t="str">
        <f t="shared" si="215"/>
        <v>n/a</v>
      </c>
      <c r="R37" s="190" t="str">
        <f t="shared" si="200"/>
        <v>n/a</v>
      </c>
      <c r="S37" s="190" t="str">
        <f t="shared" si="201"/>
        <v>n/a</v>
      </c>
      <c r="T37" s="200" t="str">
        <f t="shared" ref="T37" si="256">+IFERROR((P37-N37)/(#REF!-#REF!),"n/a")</f>
        <v>n/a</v>
      </c>
      <c r="V37" s="193" t="str">
        <f t="shared" ref="V37" si="257">+IFERROR(M37/#REF!,"n/a")</f>
        <v>n/a</v>
      </c>
      <c r="W37" s="193" t="str">
        <f t="shared" ref="W37" si="258">+IFERROR(N37/#REF!,"n/a")</f>
        <v>n/a</v>
      </c>
      <c r="X37" s="193" t="str">
        <f t="shared" ref="X37" si="259">+IFERROR(O37/#REF!,"n/a")</f>
        <v>n/a</v>
      </c>
      <c r="Y37" s="193" t="str">
        <f t="shared" ref="Y37" si="260">+IFERROR(P37/#REF!,"n/a")</f>
        <v>n/a</v>
      </c>
      <c r="Z37" s="195" t="str">
        <f t="shared" si="221"/>
        <v>n/a</v>
      </c>
      <c r="AA37" s="195" t="str">
        <f t="shared" si="205"/>
        <v>n/a</v>
      </c>
      <c r="AB37" s="195" t="str">
        <f t="shared" si="206"/>
        <v>n/a</v>
      </c>
      <c r="AC37" s="121"/>
      <c r="AD37" s="198">
        <v>0</v>
      </c>
      <c r="AE37" s="171">
        <f t="shared" si="207"/>
        <v>1.5</v>
      </c>
      <c r="AF37" s="198">
        <v>3</v>
      </c>
      <c r="AG37" s="199">
        <v>16.287000000000031</v>
      </c>
      <c r="AH37" s="190">
        <f t="shared" si="222"/>
        <v>16.287000000000031</v>
      </c>
      <c r="AI37" s="190">
        <f t="shared" si="208"/>
        <v>14.787000000000031</v>
      </c>
      <c r="AJ37" s="190">
        <f t="shared" si="209"/>
        <v>13.287000000000031</v>
      </c>
      <c r="AK37" s="200">
        <f t="shared" si="223"/>
        <v>84.497142857137547</v>
      </c>
      <c r="AM37" s="193">
        <f t="shared" si="224"/>
        <v>0</v>
      </c>
      <c r="AN37" s="193">
        <f t="shared" si="210"/>
        <v>4.8780487804878049E-3</v>
      </c>
      <c r="AO37" s="193">
        <f t="shared" si="211"/>
        <v>9.7087378640776691E-3</v>
      </c>
      <c r="AP37" s="193">
        <f t="shared" si="212"/>
        <v>5.2935727634679547E-2</v>
      </c>
      <c r="AQ37" s="195">
        <f t="shared" si="225"/>
        <v>5.2935727634679547E-2</v>
      </c>
      <c r="AR37" s="195">
        <f t="shared" si="213"/>
        <v>4.8057678854191745E-2</v>
      </c>
      <c r="AS37" s="195">
        <f t="shared" si="214"/>
        <v>4.3226989770601881E-2</v>
      </c>
    </row>
    <row r="38" spans="2:45" x14ac:dyDescent="0.2">
      <c r="B38" s="249">
        <v>45054</v>
      </c>
      <c r="C38" t="s">
        <v>327</v>
      </c>
      <c r="D38" s="181"/>
      <c r="E38" s="11">
        <v>306</v>
      </c>
      <c r="F38" s="10">
        <f t="shared" ref="F38" si="261">+AVERAGE(E38,G38)</f>
        <v>307.5</v>
      </c>
      <c r="G38" s="11">
        <v>309</v>
      </c>
      <c r="H38" s="112">
        <v>307.67500000000001</v>
      </c>
      <c r="I38" s="182">
        <f t="shared" ref="I38" si="262">+IFERROR($H38/E38-1,"n/a")</f>
        <v>5.4738562091503074E-3</v>
      </c>
      <c r="J38" s="182">
        <f t="shared" ref="J38" si="263">+IFERROR($H38/F38-1,"n/a")</f>
        <v>5.6910569105683706E-4</v>
      </c>
      <c r="K38" s="182">
        <f t="shared" ref="K38" si="264">+IFERROR($H38/G38-1,"n/a")</f>
        <v>-4.2880258899675727E-3</v>
      </c>
      <c r="M38" s="199" t="s">
        <v>91</v>
      </c>
      <c r="N38" s="225" t="str">
        <f t="shared" si="199"/>
        <v>n/a</v>
      </c>
      <c r="O38" s="199" t="s">
        <v>91</v>
      </c>
      <c r="P38" s="199" t="s">
        <v>91</v>
      </c>
      <c r="Q38" s="190" t="str">
        <f t="shared" si="215"/>
        <v>n/a</v>
      </c>
      <c r="R38" s="190" t="str">
        <f t="shared" si="200"/>
        <v>n/a</v>
      </c>
      <c r="S38" s="190" t="str">
        <f t="shared" si="201"/>
        <v>n/a</v>
      </c>
      <c r="T38" s="200" t="str">
        <f t="shared" ref="T38" si="265">+IFERROR((P38-N38)/(#REF!-#REF!),"n/a")</f>
        <v>n/a</v>
      </c>
      <c r="V38" s="193" t="str">
        <f t="shared" ref="V38" si="266">+IFERROR(M38/#REF!,"n/a")</f>
        <v>n/a</v>
      </c>
      <c r="W38" s="193" t="str">
        <f t="shared" ref="W38" si="267">+IFERROR(N38/#REF!,"n/a")</f>
        <v>n/a</v>
      </c>
      <c r="X38" s="193" t="str">
        <f t="shared" ref="X38" si="268">+IFERROR(O38/#REF!,"n/a")</f>
        <v>n/a</v>
      </c>
      <c r="Y38" s="193" t="str">
        <f t="shared" ref="Y38" si="269">+IFERROR(P38/#REF!,"n/a")</f>
        <v>n/a</v>
      </c>
      <c r="Z38" s="195" t="str">
        <f t="shared" si="221"/>
        <v>n/a</v>
      </c>
      <c r="AA38" s="195" t="str">
        <f t="shared" si="205"/>
        <v>n/a</v>
      </c>
      <c r="AB38" s="195" t="str">
        <f t="shared" si="206"/>
        <v>n/a</v>
      </c>
      <c r="AC38" s="121"/>
      <c r="AD38" s="198">
        <v>0</v>
      </c>
      <c r="AE38" s="171">
        <f t="shared" ref="AE38" si="270">+AVERAGE(AD38,AF38)</f>
        <v>1.5</v>
      </c>
      <c r="AF38" s="198">
        <v>3</v>
      </c>
      <c r="AG38" s="199">
        <v>16.287000000000031</v>
      </c>
      <c r="AH38" s="190">
        <f t="shared" ref="AH38" si="271">+IFERROR($AG38-AD38,"n/a")</f>
        <v>16.287000000000031</v>
      </c>
      <c r="AI38" s="190">
        <f t="shared" ref="AI38" si="272">+IFERROR($AG38-AE38,"n/a")</f>
        <v>14.787000000000031</v>
      </c>
      <c r="AJ38" s="190">
        <f t="shared" ref="AJ38" si="273">+IFERROR($AG38-AF38,"n/a")</f>
        <v>13.287000000000031</v>
      </c>
      <c r="AK38" s="200">
        <f t="shared" ref="AK38" si="274">+IFERROR((AG38-AE38)/(H38-F38),"n/a")</f>
        <v>84.497142857137547</v>
      </c>
      <c r="AM38" s="193">
        <f t="shared" ref="AM38" si="275">+IFERROR(AD38/E38,"n/a")</f>
        <v>0</v>
      </c>
      <c r="AN38" s="193">
        <f t="shared" ref="AN38" si="276">+IFERROR(AE38/F38,"n/a")</f>
        <v>4.8780487804878049E-3</v>
      </c>
      <c r="AO38" s="193">
        <f t="shared" ref="AO38" si="277">+IFERROR(AF38/G38,"n/a")</f>
        <v>9.7087378640776691E-3</v>
      </c>
      <c r="AP38" s="193">
        <f t="shared" ref="AP38" si="278">+IFERROR(AG38/H38,"n/a")</f>
        <v>5.2935727634679547E-2</v>
      </c>
      <c r="AQ38" s="195">
        <f t="shared" ref="AQ38" si="279">+IFERROR($AP38-AM38,"n/a")</f>
        <v>5.2935727634679547E-2</v>
      </c>
      <c r="AR38" s="195">
        <f t="shared" ref="AR38" si="280">+IFERROR($AP38-AN38,"n/a")</f>
        <v>4.8057678854191745E-2</v>
      </c>
      <c r="AS38" s="195">
        <f t="shared" ref="AS38" si="281">+IFERROR($AP38-AO38,"n/a")</f>
        <v>4.3226989770601881E-2</v>
      </c>
    </row>
    <row r="39" spans="2:45" x14ac:dyDescent="0.2">
      <c r="B39" s="249">
        <v>45141</v>
      </c>
      <c r="C39" t="s">
        <v>327</v>
      </c>
      <c r="D39" s="181"/>
      <c r="E39" s="11">
        <v>307</v>
      </c>
      <c r="F39" s="10">
        <f t="shared" ref="F39" si="282">+AVERAGE(E39,G39)</f>
        <v>308</v>
      </c>
      <c r="G39" s="11">
        <v>309</v>
      </c>
      <c r="H39" s="112">
        <v>307.67500000000001</v>
      </c>
      <c r="I39" s="182">
        <f t="shared" ref="I39" si="283">+IFERROR($H39/E39-1,"n/a")</f>
        <v>2.1986970684040319E-3</v>
      </c>
      <c r="J39" s="182">
        <f t="shared" ref="J39" si="284">+IFERROR($H39/F39-1,"n/a")</f>
        <v>-1.0551948051947813E-3</v>
      </c>
      <c r="K39" s="182">
        <f t="shared" ref="K39" si="285">+IFERROR($H39/G39-1,"n/a")</f>
        <v>-4.2880258899675727E-3</v>
      </c>
      <c r="M39" s="199" t="s">
        <v>91</v>
      </c>
      <c r="N39" s="225" t="str">
        <f t="shared" si="199"/>
        <v>n/a</v>
      </c>
      <c r="O39" s="199" t="s">
        <v>91</v>
      </c>
      <c r="P39" s="199" t="s">
        <v>91</v>
      </c>
      <c r="Q39" s="190" t="str">
        <f t="shared" si="215"/>
        <v>n/a</v>
      </c>
      <c r="R39" s="190" t="str">
        <f t="shared" si="200"/>
        <v>n/a</v>
      </c>
      <c r="S39" s="190" t="str">
        <f t="shared" si="201"/>
        <v>n/a</v>
      </c>
      <c r="T39" s="200" t="str">
        <f t="shared" ref="T39" si="286">+IFERROR((P39-N39)/(#REF!-#REF!),"n/a")</f>
        <v>n/a</v>
      </c>
      <c r="V39" s="193" t="str">
        <f t="shared" ref="V39" si="287">+IFERROR(M39/#REF!,"n/a")</f>
        <v>n/a</v>
      </c>
      <c r="W39" s="193" t="str">
        <f t="shared" ref="W39" si="288">+IFERROR(N39/#REF!,"n/a")</f>
        <v>n/a</v>
      </c>
      <c r="X39" s="193" t="str">
        <f t="shared" ref="X39" si="289">+IFERROR(O39/#REF!,"n/a")</f>
        <v>n/a</v>
      </c>
      <c r="Y39" s="193" t="str">
        <f t="shared" ref="Y39" si="290">+IFERROR(P39/#REF!,"n/a")</f>
        <v>n/a</v>
      </c>
      <c r="Z39" s="195" t="str">
        <f t="shared" si="221"/>
        <v>n/a</v>
      </c>
      <c r="AA39" s="195" t="str">
        <f t="shared" si="205"/>
        <v>n/a</v>
      </c>
      <c r="AB39" s="195" t="str">
        <f t="shared" si="206"/>
        <v>n/a</v>
      </c>
      <c r="AC39" s="121"/>
      <c r="AD39" s="198">
        <v>2</v>
      </c>
      <c r="AE39" s="171">
        <f t="shared" ref="AE39" si="291">+AVERAGE(AD39,AF39)</f>
        <v>3</v>
      </c>
      <c r="AF39" s="198">
        <v>4</v>
      </c>
      <c r="AG39" s="199">
        <v>16.287000000000031</v>
      </c>
      <c r="AH39" s="190">
        <f t="shared" ref="AH39" si="292">+IFERROR($AG39-AD39,"n/a")</f>
        <v>14.287000000000031</v>
      </c>
      <c r="AI39" s="190">
        <f t="shared" ref="AI39" si="293">+IFERROR($AG39-AE39,"n/a")</f>
        <v>13.287000000000031</v>
      </c>
      <c r="AJ39" s="190">
        <f t="shared" ref="AJ39" si="294">+IFERROR($AG39-AF39,"n/a")</f>
        <v>12.287000000000031</v>
      </c>
      <c r="AK39" s="200">
        <f t="shared" ref="AK39" si="295">+IFERROR((AG39-AE39)/(H39-F39),"n/a")</f>
        <v>-40.883076923078448</v>
      </c>
      <c r="AM39" s="193">
        <f t="shared" ref="AM39" si="296">+IFERROR(AD39/E39,"n/a")</f>
        <v>6.5146579804560263E-3</v>
      </c>
      <c r="AN39" s="193">
        <f t="shared" ref="AN39" si="297">+IFERROR(AE39/F39,"n/a")</f>
        <v>9.74025974025974E-3</v>
      </c>
      <c r="AO39" s="193">
        <f t="shared" ref="AO39" si="298">+IFERROR(AF39/G39,"n/a")</f>
        <v>1.2944983818770227E-2</v>
      </c>
      <c r="AP39" s="193">
        <f t="shared" ref="AP39" si="299">+IFERROR(AG39/H39,"n/a")</f>
        <v>5.2935727634679547E-2</v>
      </c>
      <c r="AQ39" s="195">
        <f t="shared" ref="AQ39" si="300">+IFERROR($AP39-AM39,"n/a")</f>
        <v>4.6421069654223518E-2</v>
      </c>
      <c r="AR39" s="195">
        <f t="shared" ref="AR39" si="301">+IFERROR($AP39-AN39,"n/a")</f>
        <v>4.3195467894419803E-2</v>
      </c>
      <c r="AS39" s="195">
        <f t="shared" ref="AS39" si="302">+IFERROR($AP39-AO39,"n/a")</f>
        <v>3.9990743815909321E-2</v>
      </c>
    </row>
    <row r="40" spans="2:45" x14ac:dyDescent="0.2">
      <c r="B40" s="249">
        <v>45231</v>
      </c>
      <c r="C40" t="s">
        <v>327</v>
      </c>
      <c r="D40" s="181"/>
      <c r="E40" s="11">
        <v>307</v>
      </c>
      <c r="F40" s="10">
        <f t="shared" ref="F40" si="303">+AVERAGE(E40,G40)</f>
        <v>307.5</v>
      </c>
      <c r="G40" s="11">
        <v>308</v>
      </c>
      <c r="H40" s="112">
        <v>307.67500000000001</v>
      </c>
      <c r="I40" s="182">
        <f t="shared" ref="I40" si="304">+IFERROR($H40/E40-1,"n/a")</f>
        <v>2.1986970684040319E-3</v>
      </c>
      <c r="J40" s="182">
        <f t="shared" ref="J40" si="305">+IFERROR($H40/F40-1,"n/a")</f>
        <v>5.6910569105683706E-4</v>
      </c>
      <c r="K40" s="182">
        <f t="shared" ref="K40" si="306">+IFERROR($H40/G40-1,"n/a")</f>
        <v>-1.0551948051947813E-3</v>
      </c>
      <c r="M40" s="199" t="s">
        <v>91</v>
      </c>
      <c r="N40" s="225" t="str">
        <f t="shared" si="199"/>
        <v>n/a</v>
      </c>
      <c r="O40" s="199" t="s">
        <v>91</v>
      </c>
      <c r="P40" s="199" t="s">
        <v>91</v>
      </c>
      <c r="Q40" s="190" t="str">
        <f t="shared" si="215"/>
        <v>n/a</v>
      </c>
      <c r="R40" s="190" t="str">
        <f t="shared" si="200"/>
        <v>n/a</v>
      </c>
      <c r="S40" s="190" t="str">
        <f t="shared" si="201"/>
        <v>n/a</v>
      </c>
      <c r="T40" s="200" t="str">
        <f t="shared" ref="T40" si="307">+IFERROR((P40-N40)/(#REF!-#REF!),"n/a")</f>
        <v>n/a</v>
      </c>
      <c r="V40" s="193" t="str">
        <f t="shared" ref="V40" si="308">+IFERROR(M40/#REF!,"n/a")</f>
        <v>n/a</v>
      </c>
      <c r="W40" s="193" t="str">
        <f t="shared" ref="W40" si="309">+IFERROR(N40/#REF!,"n/a")</f>
        <v>n/a</v>
      </c>
      <c r="X40" s="193" t="str">
        <f t="shared" ref="X40" si="310">+IFERROR(O40/#REF!,"n/a")</f>
        <v>n/a</v>
      </c>
      <c r="Y40" s="193" t="str">
        <f t="shared" ref="Y40" si="311">+IFERROR(P40/#REF!,"n/a")</f>
        <v>n/a</v>
      </c>
      <c r="Z40" s="195" t="str">
        <f t="shared" si="221"/>
        <v>n/a</v>
      </c>
      <c r="AA40" s="195" t="str">
        <f t="shared" si="205"/>
        <v>n/a</v>
      </c>
      <c r="AB40" s="195" t="str">
        <f t="shared" si="206"/>
        <v>n/a</v>
      </c>
      <c r="AC40" s="121"/>
      <c r="AD40" s="198">
        <v>9</v>
      </c>
      <c r="AE40" s="171">
        <f t="shared" ref="AE40" si="312">+AVERAGE(AD40,AF40)</f>
        <v>10</v>
      </c>
      <c r="AF40" s="198">
        <v>11</v>
      </c>
      <c r="AG40" s="199">
        <v>16.287000000000031</v>
      </c>
      <c r="AH40" s="190">
        <f t="shared" ref="AH40" si="313">+IFERROR($AG40-AD40,"n/a")</f>
        <v>7.287000000000031</v>
      </c>
      <c r="AI40" s="190">
        <f t="shared" ref="AI40" si="314">+IFERROR($AG40-AE40,"n/a")</f>
        <v>6.287000000000031</v>
      </c>
      <c r="AJ40" s="190">
        <f t="shared" ref="AJ40" si="315">+IFERROR($AG40-AF40,"n/a")</f>
        <v>5.287000000000031</v>
      </c>
      <c r="AK40" s="200">
        <f t="shared" ref="AK40" si="316">+IFERROR((AG40-AE40)/(H40-F40),"n/a")</f>
        <v>35.925714285712132</v>
      </c>
      <c r="AM40" s="193">
        <f t="shared" ref="AM40" si="317">+IFERROR(AD40/E40,"n/a")</f>
        <v>2.9315960912052116E-2</v>
      </c>
      <c r="AN40" s="193">
        <f t="shared" ref="AN40" si="318">+IFERROR(AE40/F40,"n/a")</f>
        <v>3.2520325203252036E-2</v>
      </c>
      <c r="AO40" s="193">
        <f t="shared" ref="AO40" si="319">+IFERROR(AF40/G40,"n/a")</f>
        <v>3.5714285714285712E-2</v>
      </c>
      <c r="AP40" s="193">
        <f t="shared" ref="AP40" si="320">+IFERROR(AG40/H40,"n/a")</f>
        <v>5.2935727634679547E-2</v>
      </c>
      <c r="AQ40" s="195">
        <f t="shared" ref="AQ40" si="321">+IFERROR($AP40-AM40,"n/a")</f>
        <v>2.361976672262743E-2</v>
      </c>
      <c r="AR40" s="195">
        <f t="shared" ref="AR40" si="322">+IFERROR($AP40-AN40,"n/a")</f>
        <v>2.0415402431427511E-2</v>
      </c>
      <c r="AS40" s="195">
        <f t="shared" ref="AS40" si="323">+IFERROR($AP40-AO40,"n/a")</f>
        <v>1.7221441920393835E-2</v>
      </c>
    </row>
    <row r="41" spans="2:45" x14ac:dyDescent="0.2">
      <c r="B41" s="249">
        <v>45355</v>
      </c>
      <c r="C41" t="s">
        <v>357</v>
      </c>
      <c r="D41" s="181"/>
      <c r="E41" s="11">
        <v>364</v>
      </c>
      <c r="F41" s="10">
        <f t="shared" ref="F41" si="324">+AVERAGE(E41,G41)</f>
        <v>366</v>
      </c>
      <c r="G41" s="11">
        <v>368</v>
      </c>
      <c r="H41" s="112" t="s">
        <v>91</v>
      </c>
      <c r="I41" s="182" t="str">
        <f t="shared" ref="I41" si="325">+IFERROR($H41/E41-1,"n/a")</f>
        <v>n/a</v>
      </c>
      <c r="J41" s="182" t="str">
        <f t="shared" ref="J41" si="326">+IFERROR($H41/F41-1,"n/a")</f>
        <v>n/a</v>
      </c>
      <c r="K41" s="182" t="str">
        <f t="shared" ref="K41" si="327">+IFERROR($H41/G41-1,"n/a")</f>
        <v>n/a</v>
      </c>
      <c r="M41" s="232">
        <f>+V41*E41</f>
        <v>36.4</v>
      </c>
      <c r="N41" s="232">
        <f>+IFERROR(AVERAGE(M41,O41),"n/a")</f>
        <v>38.44</v>
      </c>
      <c r="O41" s="232">
        <f>+X41*G41</f>
        <v>40.479999999999997</v>
      </c>
      <c r="P41" s="199" t="s">
        <v>91</v>
      </c>
      <c r="Q41" s="190" t="str">
        <f>+IFERROR($P41-M41,"n/a")</f>
        <v>n/a</v>
      </c>
      <c r="R41" s="190" t="str">
        <f t="shared" ref="R41:R42" si="328">+IFERROR($P41-N41,"n/a")</f>
        <v>n/a</v>
      </c>
      <c r="S41" s="190" t="str">
        <f t="shared" ref="S41:S42" si="329">+IFERROR($P41-O41,"n/a")</f>
        <v>n/a</v>
      </c>
      <c r="T41" s="200" t="str">
        <f t="shared" ref="T41:T42" si="330">+IFERROR((P41-N41)/(H41-F41),"n/a")</f>
        <v>n/a</v>
      </c>
      <c r="V41" s="277">
        <v>0.1</v>
      </c>
      <c r="W41" s="193">
        <f>+IFERROR(AVERAGE(V41,X41),"n/a")</f>
        <v>0.10500000000000001</v>
      </c>
      <c r="X41" s="277">
        <v>0.11</v>
      </c>
      <c r="Y41" s="199" t="s">
        <v>91</v>
      </c>
      <c r="Z41" s="195" t="str">
        <f>+IFERROR($Y41-V41,"n/a")</f>
        <v>n/a</v>
      </c>
      <c r="AA41" s="195" t="str">
        <f t="shared" ref="AA41:AA42" si="331">+IFERROR($Y41-W41,"n/a")</f>
        <v>n/a</v>
      </c>
      <c r="AB41" s="195" t="str">
        <f t="shared" ref="AB41:AB42" si="332">+IFERROR($Y41-X41,"n/a")</f>
        <v>n/a</v>
      </c>
      <c r="AC41" s="121"/>
      <c r="AD41" s="199" t="s">
        <v>91</v>
      </c>
      <c r="AE41" s="225" t="str">
        <f>+IFERROR(AVERAGE(AD41,AF41),"n/a")</f>
        <v>n/a</v>
      </c>
      <c r="AF41" s="199" t="s">
        <v>91</v>
      </c>
      <c r="AG41" s="199" t="s">
        <v>91</v>
      </c>
      <c r="AH41" s="190" t="str">
        <f t="shared" ref="AH41:AH42" si="333">+IFERROR($AG41-AD41,"n/a")</f>
        <v>n/a</v>
      </c>
      <c r="AI41" s="190" t="str">
        <f t="shared" ref="AI41:AI42" si="334">+IFERROR($AG41-AE41,"n/a")</f>
        <v>n/a</v>
      </c>
      <c r="AJ41" s="190" t="str">
        <f t="shared" ref="AJ41:AJ42" si="335">+IFERROR($AG41-AF41,"n/a")</f>
        <v>n/a</v>
      </c>
      <c r="AK41" s="200" t="str">
        <f t="shared" ref="AK41:AK42" si="336">+IFERROR((AG41-AE41)/(H41-F41),"n/a")</f>
        <v>n/a</v>
      </c>
      <c r="AM41" s="193" t="str">
        <f t="shared" ref="AM41:AM42" si="337">+IFERROR(AD41/E41,"n/a")</f>
        <v>n/a</v>
      </c>
      <c r="AN41" s="193" t="str">
        <f t="shared" ref="AN41:AN42" si="338">+IFERROR(AE41/F41,"n/a")</f>
        <v>n/a</v>
      </c>
      <c r="AO41" s="193" t="str">
        <f t="shared" ref="AO41:AO42" si="339">+IFERROR(AF41/G41,"n/a")</f>
        <v>n/a</v>
      </c>
      <c r="AP41" s="193" t="str">
        <f t="shared" ref="AP41:AP42" si="340">+IFERROR(AG41/H41,"n/a")</f>
        <v>n/a</v>
      </c>
      <c r="AQ41" s="195" t="str">
        <f t="shared" ref="AQ41:AQ42" si="341">+IFERROR($AP41-AM41,"n/a")</f>
        <v>n/a</v>
      </c>
      <c r="AR41" s="195" t="str">
        <f t="shared" ref="AR41:AR42" si="342">+IFERROR($AP41-AN41,"n/a")</f>
        <v>n/a</v>
      </c>
      <c r="AS41" s="195" t="str">
        <f t="shared" ref="AS41:AS42" si="343">+IFERROR($AP41-AO41,"n/a")</f>
        <v>n/a</v>
      </c>
    </row>
    <row r="42" spans="2:45" x14ac:dyDescent="0.2">
      <c r="B42" s="249">
        <v>45418</v>
      </c>
      <c r="C42" t="s">
        <v>357</v>
      </c>
      <c r="D42" s="181"/>
      <c r="E42" s="11">
        <v>366</v>
      </c>
      <c r="F42" s="10">
        <f t="shared" ref="F42" si="344">+AVERAGE(E42,G42)</f>
        <v>367.5</v>
      </c>
      <c r="G42" s="11">
        <v>369</v>
      </c>
      <c r="H42" s="112" t="s">
        <v>91</v>
      </c>
      <c r="I42" s="182" t="str">
        <f t="shared" ref="I42" si="345">+IFERROR($H42/E42-1,"n/a")</f>
        <v>n/a</v>
      </c>
      <c r="J42" s="182" t="str">
        <f t="shared" ref="J42" si="346">+IFERROR($H42/F42-1,"n/a")</f>
        <v>n/a</v>
      </c>
      <c r="K42" s="182" t="str">
        <f t="shared" ref="K42" si="347">+IFERROR($H42/G42-1,"n/a")</f>
        <v>n/a</v>
      </c>
      <c r="M42" s="232">
        <f>+V42*E42</f>
        <v>38.43</v>
      </c>
      <c r="N42" s="232">
        <f>+IFERROR(AVERAGE(M42,O42),"n/a")</f>
        <v>40.432500000000005</v>
      </c>
      <c r="O42" s="232">
        <f>+X42*G42</f>
        <v>42.435000000000002</v>
      </c>
      <c r="P42" s="199" t="s">
        <v>91</v>
      </c>
      <c r="Q42" s="190" t="str">
        <f>+IFERROR($P42-M42,"n/a")</f>
        <v>n/a</v>
      </c>
      <c r="R42" s="190" t="str">
        <f t="shared" si="328"/>
        <v>n/a</v>
      </c>
      <c r="S42" s="190" t="str">
        <f t="shared" si="329"/>
        <v>n/a</v>
      </c>
      <c r="T42" s="200" t="str">
        <f t="shared" si="330"/>
        <v>n/a</v>
      </c>
      <c r="V42" s="277">
        <v>0.105</v>
      </c>
      <c r="W42" s="193">
        <f>+IFERROR(AVERAGE(V42,X42),"n/a")</f>
        <v>0.11</v>
      </c>
      <c r="X42" s="277">
        <v>0.115</v>
      </c>
      <c r="Y42" s="199" t="s">
        <v>91</v>
      </c>
      <c r="Z42" s="195" t="str">
        <f>+IFERROR($Y42-V42,"n/a")</f>
        <v>n/a</v>
      </c>
      <c r="AA42" s="195" t="str">
        <f t="shared" si="331"/>
        <v>n/a</v>
      </c>
      <c r="AB42" s="195" t="str">
        <f t="shared" si="332"/>
        <v>n/a</v>
      </c>
      <c r="AC42" s="121"/>
      <c r="AD42" s="199" t="s">
        <v>91</v>
      </c>
      <c r="AE42" s="225" t="str">
        <f>+IFERROR(AVERAGE(AD42,AF42),"n/a")</f>
        <v>n/a</v>
      </c>
      <c r="AF42" s="199" t="s">
        <v>91</v>
      </c>
      <c r="AG42" s="199" t="s">
        <v>91</v>
      </c>
      <c r="AH42" s="190" t="str">
        <f t="shared" si="333"/>
        <v>n/a</v>
      </c>
      <c r="AI42" s="190" t="str">
        <f t="shared" si="334"/>
        <v>n/a</v>
      </c>
      <c r="AJ42" s="190" t="str">
        <f t="shared" si="335"/>
        <v>n/a</v>
      </c>
      <c r="AK42" s="200" t="str">
        <f t="shared" si="336"/>
        <v>n/a</v>
      </c>
      <c r="AM42" s="193" t="str">
        <f t="shared" si="337"/>
        <v>n/a</v>
      </c>
      <c r="AN42" s="193" t="str">
        <f t="shared" si="338"/>
        <v>n/a</v>
      </c>
      <c r="AO42" s="193" t="str">
        <f t="shared" si="339"/>
        <v>n/a</v>
      </c>
      <c r="AP42" s="193" t="str">
        <f t="shared" si="340"/>
        <v>n/a</v>
      </c>
      <c r="AQ42" s="195" t="str">
        <f t="shared" si="341"/>
        <v>n/a</v>
      </c>
      <c r="AR42" s="195" t="str">
        <f t="shared" si="342"/>
        <v>n/a</v>
      </c>
      <c r="AS42" s="195" t="str">
        <f t="shared" si="343"/>
        <v>n/a</v>
      </c>
    </row>
    <row r="43" spans="2:45" s="149" customFormat="1" ht="10.15" x14ac:dyDescent="0.2">
      <c r="B43" s="250">
        <v>45418</v>
      </c>
      <c r="C43" s="149" t="s">
        <v>357</v>
      </c>
      <c r="D43" s="183"/>
      <c r="E43" s="184">
        <v>373</v>
      </c>
      <c r="F43" s="185">
        <f t="shared" ref="F43" si="348">+AVERAGE(E43,G43)</f>
        <v>374</v>
      </c>
      <c r="G43" s="184">
        <v>375</v>
      </c>
      <c r="H43" s="186" t="s">
        <v>91</v>
      </c>
      <c r="I43" s="187" t="str">
        <f t="shared" ref="I43" si="349">+IFERROR($H43/E43-1,"n/a")</f>
        <v>n/a</v>
      </c>
      <c r="J43" s="187" t="str">
        <f t="shared" ref="J43" si="350">+IFERROR($H43/F43-1,"n/a")</f>
        <v>n/a</v>
      </c>
      <c r="K43" s="187" t="str">
        <f t="shared" ref="K43" si="351">+IFERROR($H43/G43-1,"n/a")</f>
        <v>n/a</v>
      </c>
      <c r="M43" s="278">
        <f>+V43*E43</f>
        <v>39.164999999999999</v>
      </c>
      <c r="N43" s="278">
        <f>+IFERROR(AVERAGE(M43,O43),"n/a")</f>
        <v>41.144999999999996</v>
      </c>
      <c r="O43" s="278">
        <f>+X43*G43</f>
        <v>43.125</v>
      </c>
      <c r="P43" s="259" t="s">
        <v>91</v>
      </c>
      <c r="Q43" s="191" t="str">
        <f>+IFERROR($P43-M43,"n/a")</f>
        <v>n/a</v>
      </c>
      <c r="R43" s="191" t="str">
        <f t="shared" ref="R43" si="352">+IFERROR($P43-N43,"n/a")</f>
        <v>n/a</v>
      </c>
      <c r="S43" s="191" t="str">
        <f t="shared" ref="S43" si="353">+IFERROR($P43-O43,"n/a")</f>
        <v>n/a</v>
      </c>
      <c r="T43" s="201" t="str">
        <f t="shared" ref="T43" si="354">+IFERROR((P43-N43)/(H43-F43),"n/a")</f>
        <v>n/a</v>
      </c>
      <c r="V43" s="279">
        <v>0.105</v>
      </c>
      <c r="W43" s="194">
        <f>+IFERROR(AVERAGE(V43,X43),"n/a")</f>
        <v>0.11</v>
      </c>
      <c r="X43" s="279">
        <v>0.115</v>
      </c>
      <c r="Y43" s="259" t="s">
        <v>91</v>
      </c>
      <c r="Z43" s="196" t="str">
        <f>+IFERROR($Y43-V43,"n/a")</f>
        <v>n/a</v>
      </c>
      <c r="AA43" s="196" t="str">
        <f t="shared" ref="AA43" si="355">+IFERROR($Y43-W43,"n/a")</f>
        <v>n/a</v>
      </c>
      <c r="AB43" s="196" t="str">
        <f t="shared" ref="AB43" si="356">+IFERROR($Y43-X43,"n/a")</f>
        <v>n/a</v>
      </c>
      <c r="AC43" s="275"/>
      <c r="AD43" s="259" t="s">
        <v>91</v>
      </c>
      <c r="AE43" s="273" t="str">
        <f>+IFERROR(AVERAGE(AD43,AF43),"n/a")</f>
        <v>n/a</v>
      </c>
      <c r="AF43" s="259" t="s">
        <v>91</v>
      </c>
      <c r="AG43" s="259" t="s">
        <v>91</v>
      </c>
      <c r="AH43" s="191" t="str">
        <f t="shared" ref="AH43" si="357">+IFERROR($AG43-AD43,"n/a")</f>
        <v>n/a</v>
      </c>
      <c r="AI43" s="191" t="str">
        <f t="shared" ref="AI43" si="358">+IFERROR($AG43-AE43,"n/a")</f>
        <v>n/a</v>
      </c>
      <c r="AJ43" s="191" t="str">
        <f t="shared" ref="AJ43" si="359">+IFERROR($AG43-AF43,"n/a")</f>
        <v>n/a</v>
      </c>
      <c r="AK43" s="201" t="str">
        <f t="shared" ref="AK43" si="360">+IFERROR((AG43-AE43)/(H43-F43),"n/a")</f>
        <v>n/a</v>
      </c>
      <c r="AM43" s="194" t="str">
        <f t="shared" ref="AM43" si="361">+IFERROR(AD43/E43,"n/a")</f>
        <v>n/a</v>
      </c>
      <c r="AN43" s="194" t="str">
        <f t="shared" ref="AN43" si="362">+IFERROR(AE43/F43,"n/a")</f>
        <v>n/a</v>
      </c>
      <c r="AO43" s="194" t="str">
        <f t="shared" ref="AO43" si="363">+IFERROR(AF43/G43,"n/a")</f>
        <v>n/a</v>
      </c>
      <c r="AP43" s="194" t="str">
        <f t="shared" ref="AP43" si="364">+IFERROR(AG43/H43,"n/a")</f>
        <v>n/a</v>
      </c>
      <c r="AQ43" s="196" t="str">
        <f t="shared" ref="AQ43" si="365">+IFERROR($AP43-AM43,"n/a")</f>
        <v>n/a</v>
      </c>
      <c r="AR43" s="196" t="str">
        <f t="shared" ref="AR43" si="366">+IFERROR($AP43-AN43,"n/a")</f>
        <v>n/a</v>
      </c>
      <c r="AS43" s="196" t="str">
        <f t="shared" ref="AS43" si="367">+IFERROR($AP43-AO43,"n/a")</f>
        <v>n/a</v>
      </c>
    </row>
    <row r="44" spans="2:45" ht="10.15" x14ac:dyDescent="0.2">
      <c r="B44" s="3" t="s">
        <v>227</v>
      </c>
      <c r="C44" s="3"/>
      <c r="I44" s="251" t="s">
        <v>59</v>
      </c>
      <c r="J44" s="251" t="s">
        <v>59</v>
      </c>
      <c r="K44" s="251" t="s">
        <v>59</v>
      </c>
      <c r="Q44" s="251" t="s">
        <v>59</v>
      </c>
      <c r="R44" s="251" t="s">
        <v>59</v>
      </c>
      <c r="S44" s="251" t="s">
        <v>59</v>
      </c>
      <c r="T44" s="252" t="s">
        <v>59</v>
      </c>
      <c r="Z44" s="251" t="s">
        <v>59</v>
      </c>
      <c r="AA44" s="251" t="s">
        <v>59</v>
      </c>
      <c r="AB44" s="251" t="s">
        <v>59</v>
      </c>
      <c r="AC44" s="252"/>
      <c r="AH44" s="251" t="s">
        <v>59</v>
      </c>
      <c r="AI44" s="251" t="s">
        <v>59</v>
      </c>
      <c r="AJ44" s="251" t="s">
        <v>59</v>
      </c>
      <c r="AK44" s="252" t="s">
        <v>59</v>
      </c>
      <c r="AQ44" s="251" t="s">
        <v>59</v>
      </c>
      <c r="AR44" s="251" t="s">
        <v>59</v>
      </c>
      <c r="AS44" s="251" t="s">
        <v>59</v>
      </c>
    </row>
    <row r="45" spans="2:45" ht="10.15" x14ac:dyDescent="0.2">
      <c r="B45" s="3" t="s">
        <v>228</v>
      </c>
      <c r="C45" s="3"/>
      <c r="I45" s="251" t="s">
        <v>59</v>
      </c>
      <c r="J45" s="251" t="s">
        <v>59</v>
      </c>
      <c r="K45" s="251" t="s">
        <v>59</v>
      </c>
      <c r="Q45" s="251" t="s">
        <v>59</v>
      </c>
      <c r="R45" s="251" t="s">
        <v>59</v>
      </c>
      <c r="S45" s="251" t="s">
        <v>59</v>
      </c>
      <c r="T45" s="252" t="s">
        <v>59</v>
      </c>
      <c r="Z45" s="251" t="s">
        <v>59</v>
      </c>
      <c r="AA45" s="251" t="s">
        <v>59</v>
      </c>
      <c r="AB45" s="251" t="s">
        <v>59</v>
      </c>
      <c r="AC45" s="252"/>
      <c r="AH45" s="251" t="s">
        <v>59</v>
      </c>
      <c r="AI45" s="251" t="s">
        <v>59</v>
      </c>
      <c r="AJ45" s="251" t="s">
        <v>59</v>
      </c>
      <c r="AK45" s="252" t="s">
        <v>59</v>
      </c>
      <c r="AQ45" s="251" t="s">
        <v>59</v>
      </c>
      <c r="AR45" s="251" t="s">
        <v>59</v>
      </c>
      <c r="AS45" s="251" t="s">
        <v>59</v>
      </c>
    </row>
  </sheetData>
  <pageMargins left="0.3" right="0.3" top="0.3" bottom="0.5" header="0.3" footer="0.3"/>
  <pageSetup scale="50" orientation="landscape"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D5A7-CBB3-4708-BE45-52E8578402C5}">
  <dimension ref="A1"/>
  <sheetViews>
    <sheetView workbookViewId="0">
      <selection activeCell="E97" sqref="E97"/>
    </sheetView>
  </sheetViews>
  <sheetFormatPr defaultRowHeight="11.25" x14ac:dyDescent="0.2"/>
  <cols>
    <col min="1" max="1" width="2.8320312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4E95-D105-4262-8524-A3454BD67AF8}">
  <dimension ref="B2:E20"/>
  <sheetViews>
    <sheetView zoomScale="145" zoomScaleNormal="145" workbookViewId="0">
      <selection activeCell="K9" sqref="K9"/>
    </sheetView>
  </sheetViews>
  <sheetFormatPr defaultRowHeight="11.25" outlineLevelRow="1" x14ac:dyDescent="0.2"/>
  <cols>
    <col min="1" max="1" width="2.6640625" customWidth="1"/>
    <col min="2" max="2" width="31" customWidth="1"/>
    <col min="3" max="3" width="2.6640625" customWidth="1"/>
    <col min="4" max="5" width="10.6640625" customWidth="1"/>
  </cols>
  <sheetData>
    <row r="2" spans="2:5" x14ac:dyDescent="0.2">
      <c r="B2" s="3" t="s">
        <v>0</v>
      </c>
    </row>
    <row r="3" spans="2:5" s="149" customFormat="1" x14ac:dyDescent="0.2">
      <c r="B3" s="5" t="s">
        <v>343</v>
      </c>
    </row>
    <row r="4" spans="2:5" x14ac:dyDescent="0.2">
      <c r="B4" s="6" t="s">
        <v>2</v>
      </c>
    </row>
    <row r="5" spans="2:5" x14ac:dyDescent="0.2">
      <c r="D5" s="294" t="s">
        <v>346</v>
      </c>
      <c r="E5" s="294"/>
    </row>
    <row r="6" spans="2:5" ht="22.5" x14ac:dyDescent="0.2">
      <c r="D6" s="175" t="s">
        <v>345</v>
      </c>
      <c r="E6" s="265" t="s">
        <v>352</v>
      </c>
    </row>
    <row r="7" spans="2:5" x14ac:dyDescent="0.2">
      <c r="D7" s="176"/>
      <c r="E7" s="266"/>
    </row>
    <row r="8" spans="2:5" hidden="1" outlineLevel="1" x14ac:dyDescent="0.2">
      <c r="B8" t="s">
        <v>17</v>
      </c>
      <c r="D8" s="11">
        <v>366</v>
      </c>
      <c r="E8" s="267">
        <f>+IFERROR(D8/D$8,"n/a")</f>
        <v>1</v>
      </c>
    </row>
    <row r="9" spans="2:5" collapsed="1" x14ac:dyDescent="0.2">
      <c r="B9" t="s">
        <v>344</v>
      </c>
      <c r="D9" s="109">
        <f>+IFERROR(E9*D8,"n/a")</f>
        <v>38.43</v>
      </c>
      <c r="E9" s="267">
        <v>0.105</v>
      </c>
    </row>
    <row r="10" spans="2:5" ht="13.5" x14ac:dyDescent="0.35">
      <c r="B10" t="s">
        <v>347</v>
      </c>
      <c r="D10" s="29">
        <v>6</v>
      </c>
      <c r="E10" s="268">
        <f>+IFERROR(D10/D$8,"n/a")</f>
        <v>1.6393442622950821E-2</v>
      </c>
    </row>
    <row r="11" spans="2:5" x14ac:dyDescent="0.2">
      <c r="B11" s="12" t="s">
        <v>77</v>
      </c>
      <c r="D11" s="109">
        <f>+IFERROR(D9+D10,"n/a")</f>
        <v>44.43</v>
      </c>
      <c r="E11" s="267">
        <f>+IFERROR(D11/D$8,"n/a")</f>
        <v>0.12139344262295082</v>
      </c>
    </row>
    <row r="12" spans="2:5" x14ac:dyDescent="0.2">
      <c r="B12" t="s">
        <v>348</v>
      </c>
      <c r="D12" s="109">
        <v>8</v>
      </c>
      <c r="E12" s="267">
        <f>+IFERROR(D12/D$8,"n/a")</f>
        <v>2.185792349726776E-2</v>
      </c>
    </row>
    <row r="13" spans="2:5" x14ac:dyDescent="0.2">
      <c r="B13" t="s">
        <v>28</v>
      </c>
      <c r="D13" s="109">
        <v>-6</v>
      </c>
      <c r="E13" s="267">
        <f>+IFERROR(D13/D$8,"n/a")</f>
        <v>-1.6393442622950821E-2</v>
      </c>
    </row>
    <row r="14" spans="2:5" ht="13.5" x14ac:dyDescent="0.35">
      <c r="B14" t="s">
        <v>38</v>
      </c>
      <c r="D14" s="29">
        <f>+E14*D8</f>
        <v>-9.15</v>
      </c>
      <c r="E14" s="268">
        <v>-2.5000000000000001E-2</v>
      </c>
    </row>
    <row r="15" spans="2:5" x14ac:dyDescent="0.2">
      <c r="B15" s="12" t="s">
        <v>350</v>
      </c>
      <c r="D15" s="109">
        <f>+IFERROR(D11+D12+D13+D14,"n/a")</f>
        <v>37.28</v>
      </c>
      <c r="E15" s="267">
        <f>+IFERROR(D15/D$8,"n/a")</f>
        <v>0.10185792349726776</v>
      </c>
    </row>
    <row r="16" spans="2:5" ht="13.5" x14ac:dyDescent="0.35">
      <c r="B16" s="269" t="s">
        <v>349</v>
      </c>
      <c r="C16" s="269"/>
      <c r="D16" s="270">
        <f>+IFERROR(D17-D15,"n/a")</f>
        <v>-9.8300000000000018</v>
      </c>
      <c r="E16" s="271">
        <f>+IFERROR(D16/D$8,"n/a")</f>
        <v>-2.6857923497267764E-2</v>
      </c>
    </row>
    <row r="17" spans="2:5" x14ac:dyDescent="0.2">
      <c r="B17" s="12" t="s">
        <v>351</v>
      </c>
      <c r="D17" s="109">
        <f>+E17*D8</f>
        <v>27.45</v>
      </c>
      <c r="E17" s="267">
        <v>7.4999999999999997E-2</v>
      </c>
    </row>
    <row r="19" spans="2:5" s="149" customFormat="1" x14ac:dyDescent="0.2">
      <c r="B19" s="5" t="s">
        <v>177</v>
      </c>
    </row>
    <row r="20" spans="2:5" x14ac:dyDescent="0.2">
      <c r="B20" s="122" t="s">
        <v>353</v>
      </c>
    </row>
  </sheetData>
  <mergeCells count="1">
    <mergeCell ref="D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3D49-37AB-449F-B1DF-2BD8AFDA5F7B}">
  <sheetPr>
    <pageSetUpPr fitToPage="1"/>
  </sheetPr>
  <dimension ref="B2:AD91"/>
  <sheetViews>
    <sheetView view="pageBreakPreview" zoomScale="85" zoomScaleNormal="100" zoomScaleSheetLayoutView="85" workbookViewId="0">
      <selection activeCell="I54" sqref="I54"/>
    </sheetView>
  </sheetViews>
  <sheetFormatPr defaultColWidth="10.6640625" defaultRowHeight="11.25" x14ac:dyDescent="0.2"/>
  <cols>
    <col min="1" max="1" width="4.1640625" style="34" customWidth="1"/>
    <col min="2" max="2" width="30" style="34" customWidth="1"/>
    <col min="3" max="3" width="3.1640625" style="34" customWidth="1"/>
    <col min="4" max="20" width="9.1640625" style="34" customWidth="1"/>
    <col min="21" max="16384" width="10.6640625" style="34"/>
  </cols>
  <sheetData>
    <row r="2" spans="2:24" x14ac:dyDescent="0.2">
      <c r="B2" s="33" t="s">
        <v>0</v>
      </c>
      <c r="L2" s="35"/>
      <c r="M2" s="36"/>
      <c r="N2" s="36"/>
      <c r="O2" s="36"/>
      <c r="T2" s="37">
        <f ca="1">+TODAY()</f>
        <v>45796</v>
      </c>
    </row>
    <row r="3" spans="2:24" s="39" customFormat="1" x14ac:dyDescent="0.2">
      <c r="B3" s="38" t="s">
        <v>320</v>
      </c>
    </row>
    <row r="4" spans="2:24" x14ac:dyDescent="0.2">
      <c r="B4" s="55" t="s">
        <v>76</v>
      </c>
      <c r="D4" s="40" t="s">
        <v>45</v>
      </c>
      <c r="E4" s="41"/>
      <c r="F4" s="41"/>
      <c r="G4" s="41"/>
      <c r="H4" s="41"/>
      <c r="I4" s="41"/>
      <c r="J4" s="41"/>
      <c r="K4" s="41"/>
      <c r="L4" s="41"/>
      <c r="M4" s="41"/>
      <c r="N4" s="41"/>
      <c r="O4" s="41"/>
      <c r="P4" s="41"/>
      <c r="Q4" s="41"/>
      <c r="R4" s="41"/>
      <c r="S4" s="41"/>
      <c r="T4" s="41"/>
    </row>
    <row r="5" spans="2:24" ht="13.5" x14ac:dyDescent="0.35">
      <c r="D5" s="42" t="s">
        <v>15</v>
      </c>
      <c r="E5" s="42" t="s">
        <v>16</v>
      </c>
      <c r="F5" s="42" t="s">
        <v>218</v>
      </c>
      <c r="G5" s="42" t="s">
        <v>305</v>
      </c>
      <c r="H5" s="42" t="s">
        <v>327</v>
      </c>
      <c r="I5" s="42" t="s">
        <v>48</v>
      </c>
      <c r="J5" s="42" t="s">
        <v>49</v>
      </c>
      <c r="K5" s="42" t="s">
        <v>50</v>
      </c>
      <c r="L5" s="42" t="s">
        <v>51</v>
      </c>
      <c r="M5" s="42" t="s">
        <v>52</v>
      </c>
      <c r="N5" s="42" t="s">
        <v>53</v>
      </c>
      <c r="O5" s="42" t="s">
        <v>54</v>
      </c>
      <c r="P5" s="42" t="s">
        <v>55</v>
      </c>
      <c r="Q5" s="42" t="s">
        <v>56</v>
      </c>
      <c r="R5" s="42" t="s">
        <v>244</v>
      </c>
      <c r="S5" s="42" t="s">
        <v>317</v>
      </c>
      <c r="T5" s="42" t="s">
        <v>342</v>
      </c>
    </row>
    <row r="6" spans="2:24" x14ac:dyDescent="0.2">
      <c r="D6" s="43"/>
      <c r="E6" s="43"/>
      <c r="F6" s="43"/>
      <c r="G6" s="43"/>
      <c r="H6" s="43">
        <f ca="1">+TODAY()</f>
        <v>45796</v>
      </c>
      <c r="I6" s="43">
        <f ca="1">+TODAY()</f>
        <v>45796</v>
      </c>
      <c r="J6" s="43">
        <v>46022</v>
      </c>
      <c r="K6" s="43">
        <v>46387</v>
      </c>
      <c r="L6" s="43">
        <v>46752</v>
      </c>
      <c r="M6" s="43">
        <v>47118</v>
      </c>
      <c r="N6" s="43">
        <v>47483</v>
      </c>
      <c r="O6" s="43">
        <v>47848</v>
      </c>
      <c r="P6" s="43">
        <v>48213</v>
      </c>
      <c r="Q6" s="43">
        <v>48579</v>
      </c>
      <c r="R6" s="43">
        <v>48944</v>
      </c>
      <c r="S6" s="43">
        <v>49309</v>
      </c>
      <c r="T6" s="43">
        <v>49674</v>
      </c>
    </row>
    <row r="7" spans="2:24" x14ac:dyDescent="0.2">
      <c r="B7" s="44" t="s">
        <v>17</v>
      </c>
      <c r="C7" s="45"/>
      <c r="D7" s="165">
        <f>+'Historical Financials'!AS12</f>
        <v>92.108999999999995</v>
      </c>
      <c r="E7" s="165">
        <f>+'Historical Financials'!AT12</f>
        <v>124.875</v>
      </c>
      <c r="F7" s="165">
        <f>+'Historical Financials'!AU12</f>
        <v>188.001</v>
      </c>
      <c r="G7" s="165">
        <f>+'Historical Financials'!AV12</f>
        <v>254.316</v>
      </c>
      <c r="H7" s="165">
        <f>+'Historical Financials'!AW12</f>
        <v>307.67500000000001</v>
      </c>
      <c r="I7" s="45">
        <f t="shared" ref="I7:T7" si="0">H7*(1+I8)</f>
        <v>363.05649999999997</v>
      </c>
      <c r="J7" s="45">
        <f t="shared" si="0"/>
        <v>421.14553999999993</v>
      </c>
      <c r="K7" s="45">
        <f t="shared" si="0"/>
        <v>480.10591559999995</v>
      </c>
      <c r="L7" s="45">
        <f t="shared" si="0"/>
        <v>537.71862547199999</v>
      </c>
      <c r="M7" s="45">
        <f t="shared" si="0"/>
        <v>591.49048801920003</v>
      </c>
      <c r="N7" s="45">
        <f t="shared" si="0"/>
        <v>650.63953682112003</v>
      </c>
      <c r="O7" s="45">
        <f t="shared" si="0"/>
        <v>715.70349050323205</v>
      </c>
      <c r="P7" s="45">
        <f t="shared" si="0"/>
        <v>787.27383955355526</v>
      </c>
      <c r="Q7" s="45">
        <f t="shared" si="0"/>
        <v>866.00122350891081</v>
      </c>
      <c r="R7" s="45">
        <f t="shared" si="0"/>
        <v>952.601345859802</v>
      </c>
      <c r="S7" s="45">
        <f t="shared" si="0"/>
        <v>1047.8614804457823</v>
      </c>
      <c r="T7" s="45">
        <f t="shared" si="0"/>
        <v>1152.6476284903606</v>
      </c>
      <c r="U7" s="148"/>
      <c r="V7" s="77"/>
      <c r="W7" s="45"/>
    </row>
    <row r="8" spans="2:24" s="55" customFormat="1" x14ac:dyDescent="0.2">
      <c r="B8" s="78" t="s">
        <v>18</v>
      </c>
      <c r="C8" s="52"/>
      <c r="D8" s="79"/>
      <c r="E8" s="105">
        <f>+E7/D7-1</f>
        <v>0.35573071035403725</v>
      </c>
      <c r="F8" s="105">
        <f>+F7/E7-1</f>
        <v>0.50551351351351359</v>
      </c>
      <c r="G8" s="105">
        <f>+G7/F7-1</f>
        <v>0.35273748543890715</v>
      </c>
      <c r="H8" s="105">
        <f>+H7/G7-1</f>
        <v>0.20981377498859688</v>
      </c>
      <c r="I8" s="106">
        <v>0.18</v>
      </c>
      <c r="J8" s="106">
        <v>0.16</v>
      </c>
      <c r="K8" s="106">
        <v>0.14000000000000001</v>
      </c>
      <c r="L8" s="106">
        <v>0.12</v>
      </c>
      <c r="M8" s="106">
        <v>0.1</v>
      </c>
      <c r="N8" s="106">
        <v>0.1</v>
      </c>
      <c r="O8" s="106">
        <v>0.1</v>
      </c>
      <c r="P8" s="106">
        <v>0.1</v>
      </c>
      <c r="Q8" s="106">
        <v>0.1</v>
      </c>
      <c r="R8" s="106">
        <v>0.1</v>
      </c>
      <c r="S8" s="106">
        <v>0.1</v>
      </c>
      <c r="T8" s="106">
        <v>0.1</v>
      </c>
      <c r="V8" s="81"/>
      <c r="W8" s="52"/>
      <c r="X8" s="52"/>
    </row>
    <row r="9" spans="2:24" s="55" customFormat="1" x14ac:dyDescent="0.2">
      <c r="B9" s="78"/>
      <c r="C9" s="52"/>
      <c r="D9" s="79"/>
      <c r="E9" s="105"/>
      <c r="F9" s="105"/>
      <c r="G9" s="105"/>
      <c r="H9" s="105"/>
      <c r="I9" s="106"/>
      <c r="J9" s="106"/>
      <c r="K9" s="106"/>
      <c r="L9" s="106"/>
      <c r="M9" s="106"/>
      <c r="N9" s="106"/>
      <c r="O9" s="106"/>
      <c r="P9" s="106"/>
      <c r="Q9" s="106"/>
      <c r="R9" s="106"/>
      <c r="S9" s="106"/>
      <c r="T9" s="106"/>
      <c r="V9" s="81"/>
      <c r="W9" s="52"/>
      <c r="X9" s="52"/>
    </row>
    <row r="10" spans="2:24" s="55" customFormat="1" x14ac:dyDescent="0.2">
      <c r="B10" s="253" t="s">
        <v>250</v>
      </c>
      <c r="C10" s="52"/>
      <c r="D10" s="165">
        <f>+'Historical Financials'!AS31</f>
        <v>69.578000000000003</v>
      </c>
      <c r="E10" s="165">
        <f>+'Historical Financials'!AT31</f>
        <v>95.031999999999996</v>
      </c>
      <c r="F10" s="165">
        <f>+'Historical Financials'!AU31</f>
        <v>146.33000000000001</v>
      </c>
      <c r="G10" s="165">
        <f>+'Historical Financials'!AV31</f>
        <v>207.71700000000001</v>
      </c>
      <c r="H10" s="165">
        <f>+'Historical Financials'!AW31</f>
        <v>257.78500000000003</v>
      </c>
      <c r="I10" s="45">
        <f>+I12*I7</f>
        <v>304.18629999999996</v>
      </c>
      <c r="J10" s="45">
        <f t="shared" ref="J10:S10" si="1">+J12*J7</f>
        <v>352.85610799999995</v>
      </c>
      <c r="K10" s="45">
        <f t="shared" si="1"/>
        <v>402.25596311999993</v>
      </c>
      <c r="L10" s="45">
        <f t="shared" si="1"/>
        <v>450.5266786944</v>
      </c>
      <c r="M10" s="45">
        <f t="shared" si="1"/>
        <v>495.57934656384003</v>
      </c>
      <c r="N10" s="45">
        <f t="shared" si="1"/>
        <v>545.13728122022405</v>
      </c>
      <c r="O10" s="45">
        <f t="shared" si="1"/>
        <v>599.65100934224643</v>
      </c>
      <c r="P10" s="45">
        <f t="shared" si="1"/>
        <v>659.61611027647109</v>
      </c>
      <c r="Q10" s="45">
        <f t="shared" si="1"/>
        <v>725.5777213041182</v>
      </c>
      <c r="R10" s="45">
        <f t="shared" si="1"/>
        <v>798.13549343453019</v>
      </c>
      <c r="S10" s="45">
        <f t="shared" si="1"/>
        <v>877.94904277798321</v>
      </c>
      <c r="T10" s="45">
        <f t="shared" ref="T10" si="2">+T12*T7</f>
        <v>965.74394705578163</v>
      </c>
      <c r="V10" s="81"/>
      <c r="W10" s="52"/>
      <c r="X10" s="52"/>
    </row>
    <row r="11" spans="2:24" s="55" customFormat="1" x14ac:dyDescent="0.2">
      <c r="B11" s="78" t="s">
        <v>18</v>
      </c>
      <c r="C11" s="52"/>
      <c r="D11" s="79"/>
      <c r="E11" s="105">
        <f>+E10/D10-1</f>
        <v>0.36583402799735532</v>
      </c>
      <c r="F11" s="105">
        <f>+F10/E10-1</f>
        <v>0.53979712096977872</v>
      </c>
      <c r="G11" s="105">
        <f>+G10/F10-1</f>
        <v>0.41951069500444205</v>
      </c>
      <c r="H11" s="105">
        <f>+H10/G10-1</f>
        <v>0.24103949123085733</v>
      </c>
      <c r="I11" s="105">
        <f t="shared" ref="I11:T11" si="3">+I10/H10-1</f>
        <v>0.17999999999999972</v>
      </c>
      <c r="J11" s="105">
        <f t="shared" si="3"/>
        <v>0.15999999999999992</v>
      </c>
      <c r="K11" s="105">
        <f t="shared" si="3"/>
        <v>0.1399999999999999</v>
      </c>
      <c r="L11" s="105">
        <f t="shared" si="3"/>
        <v>0.12000000000000011</v>
      </c>
      <c r="M11" s="105">
        <f t="shared" si="3"/>
        <v>0.10000000000000009</v>
      </c>
      <c r="N11" s="105">
        <f t="shared" si="3"/>
        <v>0.10000000000000009</v>
      </c>
      <c r="O11" s="105">
        <f t="shared" si="3"/>
        <v>9.9999999999999867E-2</v>
      </c>
      <c r="P11" s="105">
        <f t="shared" si="3"/>
        <v>0.10000000000000009</v>
      </c>
      <c r="Q11" s="105">
        <f t="shared" si="3"/>
        <v>0.10000000000000009</v>
      </c>
      <c r="R11" s="105">
        <f t="shared" si="3"/>
        <v>0.10000000000000031</v>
      </c>
      <c r="S11" s="105">
        <f t="shared" si="3"/>
        <v>0.10000000000000009</v>
      </c>
      <c r="T11" s="105">
        <f t="shared" si="3"/>
        <v>0.10000000000000009</v>
      </c>
      <c r="V11" s="81"/>
      <c r="W11" s="52"/>
      <c r="X11" s="52"/>
    </row>
    <row r="12" spans="2:24" s="55" customFormat="1" x14ac:dyDescent="0.2">
      <c r="B12" s="78" t="s">
        <v>20</v>
      </c>
      <c r="C12" s="52"/>
      <c r="D12" s="79">
        <f>+IFERROR(D10/D7,"n/a")</f>
        <v>0.75538763855866431</v>
      </c>
      <c r="E12" s="79">
        <f t="shared" ref="E12:H12" si="4">+IFERROR(E10/E7,"n/a")</f>
        <v>0.76101701701701696</v>
      </c>
      <c r="F12" s="79">
        <f t="shared" si="4"/>
        <v>0.77834692368657621</v>
      </c>
      <c r="G12" s="79">
        <f t="shared" si="4"/>
        <v>0.8167673288349927</v>
      </c>
      <c r="H12" s="79">
        <f t="shared" si="4"/>
        <v>0.83784837897131714</v>
      </c>
      <c r="I12" s="80">
        <f>+H12</f>
        <v>0.83784837897131714</v>
      </c>
      <c r="J12" s="80">
        <f t="shared" ref="J12:T12" si="5">+I12</f>
        <v>0.83784837897131714</v>
      </c>
      <c r="K12" s="80">
        <f t="shared" si="5"/>
        <v>0.83784837897131714</v>
      </c>
      <c r="L12" s="80">
        <f t="shared" si="5"/>
        <v>0.83784837897131714</v>
      </c>
      <c r="M12" s="80">
        <f t="shared" si="5"/>
        <v>0.83784837897131714</v>
      </c>
      <c r="N12" s="80">
        <f t="shared" si="5"/>
        <v>0.83784837897131714</v>
      </c>
      <c r="O12" s="80">
        <f t="shared" si="5"/>
        <v>0.83784837897131714</v>
      </c>
      <c r="P12" s="80">
        <f t="shared" si="5"/>
        <v>0.83784837897131714</v>
      </c>
      <c r="Q12" s="80">
        <f t="shared" si="5"/>
        <v>0.83784837897131714</v>
      </c>
      <c r="R12" s="80">
        <f t="shared" si="5"/>
        <v>0.83784837897131714</v>
      </c>
      <c r="S12" s="80">
        <f t="shared" si="5"/>
        <v>0.83784837897131714</v>
      </c>
      <c r="T12" s="80">
        <f t="shared" si="5"/>
        <v>0.83784837897131714</v>
      </c>
      <c r="V12" s="81"/>
      <c r="W12" s="52"/>
      <c r="X12" s="52"/>
    </row>
    <row r="13" spans="2:24" s="55" customFormat="1" x14ac:dyDescent="0.2">
      <c r="B13" s="78"/>
      <c r="C13" s="52"/>
      <c r="D13" s="79"/>
      <c r="E13" s="79"/>
      <c r="F13" s="79"/>
      <c r="G13" s="79"/>
      <c r="H13" s="79"/>
      <c r="I13" s="80"/>
      <c r="J13" s="80"/>
      <c r="K13" s="80"/>
      <c r="L13" s="80"/>
      <c r="M13" s="80"/>
      <c r="N13" s="80"/>
      <c r="O13" s="80"/>
      <c r="P13" s="80"/>
      <c r="Q13" s="80"/>
      <c r="R13" s="80"/>
      <c r="S13" s="80"/>
      <c r="T13" s="80"/>
      <c r="V13" s="81"/>
      <c r="W13" s="52"/>
      <c r="X13" s="52"/>
    </row>
    <row r="14" spans="2:24" s="55" customFormat="1" x14ac:dyDescent="0.2">
      <c r="B14" s="254" t="s">
        <v>249</v>
      </c>
      <c r="C14" s="52"/>
      <c r="D14" s="45">
        <f ca="1">+D10-D18</f>
        <v>75.816999999999993</v>
      </c>
      <c r="E14" s="45">
        <f t="shared" ref="E14:S14" si="6">+E10-E18</f>
        <v>98.61399999999999</v>
      </c>
      <c r="F14" s="45">
        <f t="shared" si="6"/>
        <v>142.54599999999999</v>
      </c>
      <c r="G14" s="45">
        <f t="shared" si="6"/>
        <v>218.78299999999999</v>
      </c>
      <c r="H14" s="45">
        <f t="shared" si="6"/>
        <v>241.66099999999997</v>
      </c>
      <c r="I14" s="45">
        <f t="shared" si="6"/>
        <v>272.55547999999993</v>
      </c>
      <c r="J14" s="45">
        <f t="shared" si="6"/>
        <v>304.96035679999994</v>
      </c>
      <c r="K14" s="45">
        <f t="shared" si="6"/>
        <v>337.85130675199991</v>
      </c>
      <c r="L14" s="45">
        <f t="shared" si="6"/>
        <v>369.99046356223994</v>
      </c>
      <c r="M14" s="45">
        <f t="shared" si="6"/>
        <v>399.98700991846397</v>
      </c>
      <c r="N14" s="45">
        <f t="shared" si="6"/>
        <v>432.98321091031039</v>
      </c>
      <c r="O14" s="45">
        <f t="shared" si="6"/>
        <v>469.27903200134142</v>
      </c>
      <c r="P14" s="45">
        <f t="shared" si="6"/>
        <v>509.20443520147558</v>
      </c>
      <c r="Q14" s="45">
        <f t="shared" si="6"/>
        <v>553.12237872162314</v>
      </c>
      <c r="R14" s="45">
        <f t="shared" si="6"/>
        <v>601.43211659378562</v>
      </c>
      <c r="S14" s="45">
        <f t="shared" si="6"/>
        <v>654.57282825316418</v>
      </c>
      <c r="T14" s="45">
        <f t="shared" ref="T14" si="7">+T10-T18</f>
        <v>713.02761107848062</v>
      </c>
      <c r="V14" s="81"/>
      <c r="W14" s="52"/>
      <c r="X14" s="52"/>
    </row>
    <row r="15" spans="2:24" s="55" customFormat="1" x14ac:dyDescent="0.2">
      <c r="B15" s="78" t="s">
        <v>18</v>
      </c>
      <c r="C15" s="52"/>
      <c r="D15" s="79"/>
      <c r="E15" s="105">
        <f ca="1">+E14/D14-1</f>
        <v>0.30068454304443604</v>
      </c>
      <c r="F15" s="105">
        <f>+F14/E14-1</f>
        <v>0.44549455452572673</v>
      </c>
      <c r="G15" s="105">
        <f>+G14/F14-1</f>
        <v>0.53482384633732272</v>
      </c>
      <c r="H15" s="105">
        <f>+H14/G14-1</f>
        <v>0.10456936782108284</v>
      </c>
      <c r="I15" s="105">
        <f t="shared" ref="I15:T15" si="8">+I14/H14-1</f>
        <v>0.12784222526597167</v>
      </c>
      <c r="J15" s="105">
        <f t="shared" si="8"/>
        <v>0.11889277295029999</v>
      </c>
      <c r="K15" s="105">
        <f t="shared" si="8"/>
        <v>0.10785319868172438</v>
      </c>
      <c r="L15" s="105">
        <f t="shared" si="8"/>
        <v>9.5128111592096998E-2</v>
      </c>
      <c r="M15" s="105">
        <f t="shared" si="8"/>
        <v>8.1073836518432252E-2</v>
      </c>
      <c r="N15" s="105">
        <f t="shared" si="8"/>
        <v>8.2493181462499399E-2</v>
      </c>
      <c r="O15" s="105">
        <f t="shared" si="8"/>
        <v>8.382731749511052E-2</v>
      </c>
      <c r="P15" s="105">
        <f t="shared" si="8"/>
        <v>8.5078174129928019E-2</v>
      </c>
      <c r="Q15" s="105">
        <f t="shared" si="8"/>
        <v>8.6248155915552127E-2</v>
      </c>
      <c r="R15" s="105">
        <f t="shared" si="8"/>
        <v>8.7340052998426732E-2</v>
      </c>
      <c r="S15" s="105">
        <f t="shared" si="8"/>
        <v>8.8356956991823665E-2</v>
      </c>
      <c r="T15" s="105">
        <f t="shared" si="8"/>
        <v>8.9302183503877863E-2</v>
      </c>
      <c r="V15" s="81"/>
      <c r="W15" s="52"/>
      <c r="X15" s="52"/>
    </row>
    <row r="16" spans="2:24" s="55" customFormat="1" x14ac:dyDescent="0.2">
      <c r="B16" s="78" t="s">
        <v>26</v>
      </c>
      <c r="C16" s="52"/>
      <c r="D16" s="79">
        <f ca="1">+IFERROR(D14/D7,"n/a")</f>
        <v>0.82312260474003618</v>
      </c>
      <c r="E16" s="79">
        <f t="shared" ref="E16:S16" si="9">+IFERROR(E14/E7,"n/a")</f>
        <v>0.78970170170170162</v>
      </c>
      <c r="F16" s="79">
        <f t="shared" si="9"/>
        <v>0.75821937117355753</v>
      </c>
      <c r="G16" s="79">
        <f t="shared" si="9"/>
        <v>0.86028012394029474</v>
      </c>
      <c r="H16" s="79">
        <f t="shared" si="9"/>
        <v>0.78544243113675127</v>
      </c>
      <c r="I16" s="79">
        <f t="shared" si="9"/>
        <v>0.75072469436575284</v>
      </c>
      <c r="J16" s="79">
        <f t="shared" si="9"/>
        <v>0.72412106465617565</v>
      </c>
      <c r="K16" s="79">
        <f t="shared" si="9"/>
        <v>0.70370161202821047</v>
      </c>
      <c r="L16" s="79">
        <f t="shared" si="9"/>
        <v>0.68807447991497184</v>
      </c>
      <c r="M16" s="79">
        <f t="shared" si="9"/>
        <v>0.67623574346554871</v>
      </c>
      <c r="N16" s="79">
        <f t="shared" si="9"/>
        <v>0.66547325578425498</v>
      </c>
      <c r="O16" s="79">
        <f t="shared" si="9"/>
        <v>0.65568917607398791</v>
      </c>
      <c r="P16" s="79">
        <f t="shared" si="9"/>
        <v>0.6467945581555633</v>
      </c>
      <c r="Q16" s="79">
        <f t="shared" si="9"/>
        <v>0.63870854186608628</v>
      </c>
      <c r="R16" s="79">
        <f t="shared" si="9"/>
        <v>0.63135761796656198</v>
      </c>
      <c r="S16" s="79">
        <f t="shared" si="9"/>
        <v>0.62467495987608512</v>
      </c>
      <c r="T16" s="79">
        <f t="shared" ref="T16" si="10">+IFERROR(T14/T7,"n/a")</f>
        <v>0.61859981615746984</v>
      </c>
      <c r="V16" s="81"/>
      <c r="W16" s="52"/>
      <c r="X16" s="52"/>
    </row>
    <row r="17" spans="2:30" s="55" customFormat="1" x14ac:dyDescent="0.2">
      <c r="B17" s="49"/>
      <c r="C17" s="52"/>
      <c r="D17" s="62"/>
      <c r="E17" s="62"/>
      <c r="F17" s="62"/>
      <c r="G17" s="62"/>
      <c r="H17" s="62"/>
      <c r="I17" s="62"/>
      <c r="J17" s="62"/>
      <c r="K17" s="62"/>
      <c r="L17" s="62"/>
      <c r="M17" s="62"/>
      <c r="N17" s="62"/>
      <c r="O17" s="62"/>
      <c r="P17" s="62"/>
      <c r="Q17" s="62"/>
      <c r="R17" s="62"/>
      <c r="S17" s="62"/>
      <c r="T17" s="62"/>
    </row>
    <row r="18" spans="2:30" x14ac:dyDescent="0.2">
      <c r="B18" s="34" t="s">
        <v>77</v>
      </c>
      <c r="C18" s="45"/>
      <c r="D18" s="165">
        <f ca="1">+'Historical Financials'!AS71+'Historical Financials'!AS80</f>
        <v>-6.2389999999999937</v>
      </c>
      <c r="E18" s="165">
        <f>+'Historical Financials'!AT71+'Historical Financials'!AT80</f>
        <v>-3.5819999999999999</v>
      </c>
      <c r="F18" s="165">
        <f>'Historical Financials'!AU81-'Historical Financials'!AU74</f>
        <v>3.7840000000000278</v>
      </c>
      <c r="G18" s="165">
        <f>'Historical Financials'!AV81-'Historical Financials'!AV74</f>
        <v>-11.065999999999987</v>
      </c>
      <c r="H18" s="165">
        <f>'Historical Financials'!AW81-'Historical Financials'!AW74</f>
        <v>16.124000000000049</v>
      </c>
      <c r="I18" s="45">
        <f t="shared" ref="I18:T18" si="11">+(I7-H7)*I21+H18</f>
        <v>31.630820000000039</v>
      </c>
      <c r="J18" s="45">
        <f t="shared" si="11"/>
        <v>47.895751200000028</v>
      </c>
      <c r="K18" s="45">
        <f t="shared" si="11"/>
        <v>64.404656368000033</v>
      </c>
      <c r="L18" s="45">
        <f t="shared" si="11"/>
        <v>80.536215132160038</v>
      </c>
      <c r="M18" s="45">
        <f t="shared" si="11"/>
        <v>95.592336645376051</v>
      </c>
      <c r="N18" s="45">
        <f t="shared" si="11"/>
        <v>112.15407030991365</v>
      </c>
      <c r="O18" s="45">
        <f t="shared" si="11"/>
        <v>130.371977340905</v>
      </c>
      <c r="P18" s="45">
        <f t="shared" si="11"/>
        <v>150.41167507499551</v>
      </c>
      <c r="Q18" s="45">
        <f t="shared" si="11"/>
        <v>172.45534258249506</v>
      </c>
      <c r="R18" s="45">
        <f t="shared" si="11"/>
        <v>196.7033768407446</v>
      </c>
      <c r="S18" s="45">
        <f t="shared" si="11"/>
        <v>223.37621452481906</v>
      </c>
      <c r="T18" s="45">
        <f t="shared" si="11"/>
        <v>252.71633597730101</v>
      </c>
      <c r="U18" s="77"/>
      <c r="V18" s="77"/>
    </row>
    <row r="19" spans="2:30" s="55" customFormat="1" x14ac:dyDescent="0.2">
      <c r="B19" s="78" t="s">
        <v>18</v>
      </c>
      <c r="C19" s="52"/>
      <c r="D19" s="62"/>
      <c r="E19" s="107">
        <f t="shared" ref="E19:T19" ca="1" si="12">E18/D18-1</f>
        <v>-0.42586953037345676</v>
      </c>
      <c r="F19" s="107">
        <f t="shared" si="12"/>
        <v>-2.0563930764935865</v>
      </c>
      <c r="G19" s="107">
        <f t="shared" si="12"/>
        <v>-3.9244186046511378</v>
      </c>
      <c r="H19" s="107">
        <f t="shared" si="12"/>
        <v>-2.4570757274534669</v>
      </c>
      <c r="I19" s="107">
        <f t="shared" si="12"/>
        <v>0.96172289754403018</v>
      </c>
      <c r="J19" s="107">
        <f t="shared" si="12"/>
        <v>0.51421149372668706</v>
      </c>
      <c r="K19" s="107">
        <f t="shared" si="12"/>
        <v>0.34468412655358871</v>
      </c>
      <c r="L19" s="107">
        <f t="shared" si="12"/>
        <v>0.25047193283644464</v>
      </c>
      <c r="M19" s="107">
        <f t="shared" si="12"/>
        <v>0.18694846149038535</v>
      </c>
      <c r="N19" s="107">
        <f t="shared" si="12"/>
        <v>0.17325378001771763</v>
      </c>
      <c r="O19" s="107">
        <f t="shared" si="12"/>
        <v>0.1624364321388434</v>
      </c>
      <c r="P19" s="107">
        <f t="shared" si="12"/>
        <v>0.15371169589373812</v>
      </c>
      <c r="Q19" s="107">
        <f t="shared" si="12"/>
        <v>0.14655556157132432</v>
      </c>
      <c r="R19" s="107">
        <f t="shared" si="12"/>
        <v>0.14060471479247072</v>
      </c>
      <c r="S19" s="107">
        <f t="shared" si="12"/>
        <v>0.13559928717273317</v>
      </c>
      <c r="T19" s="107">
        <f t="shared" si="12"/>
        <v>0.13134845854065635</v>
      </c>
    </row>
    <row r="20" spans="2:30" s="55" customFormat="1" x14ac:dyDescent="0.2">
      <c r="B20" s="49" t="s">
        <v>20</v>
      </c>
      <c r="C20" s="52"/>
      <c r="D20" s="62">
        <f t="shared" ref="D20:R20" ca="1" si="13">D18/D7</f>
        <v>-6.7734966181372008E-2</v>
      </c>
      <c r="E20" s="62">
        <f t="shared" si="13"/>
        <v>-2.8684684684684682E-2</v>
      </c>
      <c r="F20" s="62">
        <f t="shared" si="13"/>
        <v>2.0127552513018693E-2</v>
      </c>
      <c r="G20" s="62">
        <f t="shared" si="13"/>
        <v>-4.351279510530201E-2</v>
      </c>
      <c r="H20" s="62">
        <f t="shared" si="13"/>
        <v>5.2405947834565848E-2</v>
      </c>
      <c r="I20" s="62">
        <f t="shared" si="13"/>
        <v>8.7123684605564258E-2</v>
      </c>
      <c r="J20" s="62">
        <f t="shared" si="13"/>
        <v>0.11372731431514159</v>
      </c>
      <c r="K20" s="62">
        <f t="shared" si="13"/>
        <v>0.13414676694310668</v>
      </c>
      <c r="L20" s="62">
        <f t="shared" si="13"/>
        <v>0.14977389905634525</v>
      </c>
      <c r="M20" s="62">
        <f t="shared" si="13"/>
        <v>0.1616126355057684</v>
      </c>
      <c r="N20" s="62">
        <f t="shared" si="13"/>
        <v>0.17237512318706219</v>
      </c>
      <c r="O20" s="62">
        <f t="shared" si="13"/>
        <v>0.18215920289732926</v>
      </c>
      <c r="P20" s="62">
        <f t="shared" si="13"/>
        <v>0.19105382081575387</v>
      </c>
      <c r="Q20" s="62">
        <f t="shared" si="13"/>
        <v>0.19913983710523078</v>
      </c>
      <c r="R20" s="62">
        <f t="shared" si="13"/>
        <v>0.20649076100475527</v>
      </c>
      <c r="S20" s="62">
        <f t="shared" ref="S20:T20" si="14">S18/S7</f>
        <v>0.21317341909523208</v>
      </c>
      <c r="T20" s="62">
        <f t="shared" si="14"/>
        <v>0.21924856281384736</v>
      </c>
    </row>
    <row r="21" spans="2:30" s="55" customFormat="1" x14ac:dyDescent="0.2">
      <c r="B21" s="49" t="s">
        <v>57</v>
      </c>
      <c r="C21" s="52"/>
      <c r="D21" s="62"/>
      <c r="E21" s="62">
        <f ca="1">+(E18-D18)/(E7-D7)</f>
        <v>8.109015442837067E-2</v>
      </c>
      <c r="F21" s="62">
        <f>+(F18-E18)/(F7-E7)</f>
        <v>0.11668726039983568</v>
      </c>
      <c r="G21" s="62">
        <f t="shared" ref="G21:H21" si="15">+(G18-F18)/(G7-F7)</f>
        <v>-0.22393123727663447</v>
      </c>
      <c r="H21" s="62">
        <f t="shared" si="15"/>
        <v>0.50956727075095165</v>
      </c>
      <c r="I21" s="80">
        <v>0.28000000000000003</v>
      </c>
      <c r="J21" s="80">
        <v>0.28000000000000003</v>
      </c>
      <c r="K21" s="80">
        <v>0.28000000000000003</v>
      </c>
      <c r="L21" s="80">
        <v>0.28000000000000003</v>
      </c>
      <c r="M21" s="80">
        <v>0.28000000000000003</v>
      </c>
      <c r="N21" s="80">
        <v>0.28000000000000003</v>
      </c>
      <c r="O21" s="80">
        <v>0.28000000000000003</v>
      </c>
      <c r="P21" s="80">
        <v>0.28000000000000003</v>
      </c>
      <c r="Q21" s="80">
        <v>0.28000000000000003</v>
      </c>
      <c r="R21" s="80">
        <v>0.28000000000000003</v>
      </c>
      <c r="S21" s="80">
        <v>0.28000000000000003</v>
      </c>
      <c r="T21" s="80">
        <v>0.28000000000000003</v>
      </c>
    </row>
    <row r="22" spans="2:30" x14ac:dyDescent="0.2">
      <c r="B22" s="82"/>
      <c r="C22" s="45"/>
      <c r="D22" s="83"/>
      <c r="E22" s="83"/>
      <c r="F22" s="83"/>
      <c r="G22" s="45"/>
      <c r="H22" s="45"/>
      <c r="I22" s="45"/>
      <c r="J22" s="45"/>
      <c r="K22" s="45"/>
      <c r="L22" s="84"/>
      <c r="M22" s="84"/>
      <c r="N22" s="84"/>
      <c r="O22" s="84"/>
      <c r="P22" s="84"/>
      <c r="Q22" s="84"/>
      <c r="R22" s="84"/>
      <c r="S22" s="84"/>
      <c r="T22" s="84"/>
    </row>
    <row r="23" spans="2:30" ht="13.5" x14ac:dyDescent="0.35">
      <c r="B23" s="34" t="s">
        <v>24</v>
      </c>
      <c r="C23" s="45"/>
      <c r="D23" s="166">
        <f>+'Historical Financials'!AS74</f>
        <v>-0.503</v>
      </c>
      <c r="E23" s="166">
        <f>+'Historical Financials'!AT74</f>
        <v>-1.079</v>
      </c>
      <c r="F23" s="166">
        <f>+'Historical Financials'!AU74</f>
        <v>-2.742</v>
      </c>
      <c r="G23" s="166">
        <f>+'Historical Financials'!AV74</f>
        <v>-7.3929999999999989</v>
      </c>
      <c r="H23" s="166">
        <f>+'Historical Financials'!AW74</f>
        <v>-15.337</v>
      </c>
      <c r="I23" s="56">
        <f t="shared" ref="I23:T23" si="16">+(I7-I18)/(H7-H18)*H23</f>
        <v>-17.434602022150496</v>
      </c>
      <c r="J23" s="56">
        <f t="shared" si="16"/>
        <v>-19.634753476495018</v>
      </c>
      <c r="K23" s="56">
        <f t="shared" si="16"/>
        <v>-21.86790720265471</v>
      </c>
      <c r="L23" s="56">
        <f t="shared" si="16"/>
        <v>-24.050017415073608</v>
      </c>
      <c r="M23" s="56">
        <f t="shared" si="16"/>
        <v>-26.086653613331244</v>
      </c>
      <c r="N23" s="56">
        <f t="shared" si="16"/>
        <v>-28.326953431414648</v>
      </c>
      <c r="O23" s="56">
        <f t="shared" si="16"/>
        <v>-30.791283231306394</v>
      </c>
      <c r="P23" s="56">
        <f t="shared" si="16"/>
        <v>-33.502046011187311</v>
      </c>
      <c r="Q23" s="56">
        <f t="shared" si="16"/>
        <v>-36.483885069056321</v>
      </c>
      <c r="R23" s="56">
        <f t="shared" si="16"/>
        <v>-39.763908032712237</v>
      </c>
      <c r="S23" s="56">
        <f t="shared" si="16"/>
        <v>-43.371933292733736</v>
      </c>
      <c r="T23" s="56">
        <f t="shared" si="16"/>
        <v>-47.340761078757382</v>
      </c>
    </row>
    <row r="24" spans="2:30" x14ac:dyDescent="0.2">
      <c r="B24" s="57" t="s">
        <v>37</v>
      </c>
      <c r="C24" s="45"/>
      <c r="D24" s="45">
        <f t="shared" ref="D24:R24" ca="1" si="17">D18+D23</f>
        <v>-6.7419999999999938</v>
      </c>
      <c r="E24" s="45">
        <f t="shared" si="17"/>
        <v>-4.6609999999999996</v>
      </c>
      <c r="F24" s="45">
        <f>F18+F23</f>
        <v>1.0420000000000278</v>
      </c>
      <c r="G24" s="45">
        <f>G18+G23</f>
        <v>-18.458999999999985</v>
      </c>
      <c r="H24" s="45">
        <f>H18+H23</f>
        <v>0.78700000000004877</v>
      </c>
      <c r="I24" s="45">
        <f t="shared" si="17"/>
        <v>14.196217977849543</v>
      </c>
      <c r="J24" s="45">
        <f t="shared" si="17"/>
        <v>28.26099772350501</v>
      </c>
      <c r="K24" s="45">
        <f t="shared" si="17"/>
        <v>42.536749165345327</v>
      </c>
      <c r="L24" s="45">
        <f t="shared" si="17"/>
        <v>56.486197717086426</v>
      </c>
      <c r="M24" s="45">
        <f t="shared" si="17"/>
        <v>69.5056830320448</v>
      </c>
      <c r="N24" s="45">
        <f t="shared" si="17"/>
        <v>83.827116878498998</v>
      </c>
      <c r="O24" s="45">
        <f t="shared" si="17"/>
        <v>99.58069410959861</v>
      </c>
      <c r="P24" s="45">
        <f t="shared" si="17"/>
        <v>116.90962906380821</v>
      </c>
      <c r="Q24" s="45">
        <f t="shared" si="17"/>
        <v>135.97145751343874</v>
      </c>
      <c r="R24" s="45">
        <f t="shared" si="17"/>
        <v>156.93946880803236</v>
      </c>
      <c r="S24" s="45">
        <f t="shared" ref="S24:T24" si="18">S18+S23</f>
        <v>180.00428123208533</v>
      </c>
      <c r="T24" s="45">
        <f t="shared" si="18"/>
        <v>205.37557489854362</v>
      </c>
    </row>
    <row r="25" spans="2:30" x14ac:dyDescent="0.2">
      <c r="B25" s="85" t="s">
        <v>18</v>
      </c>
      <c r="C25" s="52"/>
      <c r="D25" s="62"/>
      <c r="E25" s="107">
        <f t="shared" ref="E25:T25" ca="1" si="19">E24/D24-1</f>
        <v>-0.30866211806585531</v>
      </c>
      <c r="F25" s="107">
        <f t="shared" si="19"/>
        <v>-1.2235571765715572</v>
      </c>
      <c r="G25" s="107">
        <f t="shared" si="19"/>
        <v>-18.714971209212564</v>
      </c>
      <c r="H25" s="107">
        <f t="shared" si="19"/>
        <v>-1.0426350289831545</v>
      </c>
      <c r="I25" s="107">
        <f t="shared" si="19"/>
        <v>17.03839641403896</v>
      </c>
      <c r="J25" s="107">
        <f t="shared" si="19"/>
        <v>0.99074132051232522</v>
      </c>
      <c r="K25" s="107">
        <f t="shared" si="19"/>
        <v>0.50513968337243109</v>
      </c>
      <c r="L25" s="107">
        <f t="shared" si="19"/>
        <v>0.32793875473459333</v>
      </c>
      <c r="M25" s="107">
        <f t="shared" si="19"/>
        <v>0.23048967431242295</v>
      </c>
      <c r="N25" s="107">
        <f t="shared" si="19"/>
        <v>0.20604694784240118</v>
      </c>
      <c r="O25" s="107">
        <f t="shared" si="19"/>
        <v>0.18792936960880113</v>
      </c>
      <c r="P25" s="107">
        <f t="shared" si="19"/>
        <v>0.17401902154987359</v>
      </c>
      <c r="Q25" s="107">
        <f t="shared" si="19"/>
        <v>0.16304754879708638</v>
      </c>
      <c r="R25" s="107">
        <f t="shared" si="19"/>
        <v>0.15420891765112721</v>
      </c>
      <c r="S25" s="107">
        <f t="shared" si="19"/>
        <v>0.14696629598170574</v>
      </c>
      <c r="T25" s="107">
        <f t="shared" si="19"/>
        <v>0.14094827907868623</v>
      </c>
    </row>
    <row r="26" spans="2:30" s="55" customFormat="1" x14ac:dyDescent="0.2">
      <c r="B26" s="50" t="s">
        <v>20</v>
      </c>
      <c r="C26" s="52"/>
      <c r="D26" s="62">
        <f t="shared" ref="D26:R26" ca="1" si="20">D24/D7</f>
        <v>-7.319588748113641E-2</v>
      </c>
      <c r="E26" s="62">
        <f t="shared" si="20"/>
        <v>-3.7325325325325322E-2</v>
      </c>
      <c r="F26" s="62">
        <f t="shared" si="20"/>
        <v>5.5425237099804136E-3</v>
      </c>
      <c r="G26" s="62">
        <f t="shared" si="20"/>
        <v>-7.25829283253904E-2</v>
      </c>
      <c r="H26" s="62">
        <f t="shared" si="20"/>
        <v>2.5578938815309944E-3</v>
      </c>
      <c r="I26" s="62">
        <f t="shared" si="20"/>
        <v>3.9101952389916012E-2</v>
      </c>
      <c r="J26" s="62">
        <f t="shared" si="20"/>
        <v>6.7105062358027143E-2</v>
      </c>
      <c r="K26" s="62">
        <f t="shared" si="20"/>
        <v>8.8598677465130019E-2</v>
      </c>
      <c r="L26" s="62">
        <f t="shared" si="20"/>
        <v>0.1050478727001577</v>
      </c>
      <c r="M26" s="62">
        <f t="shared" si="20"/>
        <v>0.11750938424184534</v>
      </c>
      <c r="N26" s="62">
        <f t="shared" si="20"/>
        <v>0.12883803109792502</v>
      </c>
      <c r="O26" s="62">
        <f t="shared" si="20"/>
        <v>0.13913680096708836</v>
      </c>
      <c r="P26" s="62">
        <f t="shared" si="20"/>
        <v>0.14849931902996416</v>
      </c>
      <c r="Q26" s="62">
        <f t="shared" si="20"/>
        <v>0.15701069908712392</v>
      </c>
      <c r="R26" s="62">
        <f t="shared" si="20"/>
        <v>0.16474831732090556</v>
      </c>
      <c r="S26" s="62">
        <f t="shared" ref="S26:T26" si="21">S24/S7</f>
        <v>0.17178251571525249</v>
      </c>
      <c r="T26" s="62">
        <f t="shared" si="21"/>
        <v>0.17817724152829517</v>
      </c>
      <c r="AB26" s="168"/>
      <c r="AD26" s="168"/>
    </row>
    <row r="27" spans="2:30" x14ac:dyDescent="0.2">
      <c r="C27" s="45"/>
      <c r="D27" s="86"/>
      <c r="E27" s="86"/>
      <c r="F27" s="86"/>
      <c r="G27" s="45"/>
      <c r="H27" s="45"/>
      <c r="I27" s="45"/>
      <c r="J27" s="45"/>
      <c r="K27" s="45"/>
      <c r="L27" s="45"/>
      <c r="M27" s="45"/>
      <c r="N27" s="45"/>
      <c r="O27" s="45"/>
      <c r="P27" s="45"/>
      <c r="Q27" s="45"/>
      <c r="R27" s="45"/>
      <c r="S27" s="45"/>
      <c r="T27" s="45"/>
    </row>
    <row r="28" spans="2:30" x14ac:dyDescent="0.2">
      <c r="B28" s="34" t="s">
        <v>38</v>
      </c>
      <c r="C28" s="45"/>
      <c r="D28" s="165">
        <f>-'Historical Financials'!AS93</f>
        <v>1.1629999999999998</v>
      </c>
      <c r="E28" s="165">
        <f>-'Historical Financials'!AT93</f>
        <v>3.399</v>
      </c>
      <c r="F28" s="165">
        <f>-'Historical Financials'!AU93</f>
        <v>5.1559999999999997</v>
      </c>
      <c r="G28" s="165">
        <f>-'Historical Financials'!AV93</f>
        <v>8.0239999999999991</v>
      </c>
      <c r="H28" s="165">
        <f>-'Historical Financials'!AW93</f>
        <v>10.173999999999999</v>
      </c>
      <c r="I28" s="45">
        <f t="shared" ref="I28:R28" si="22">+I29*I7</f>
        <v>11.82379175</v>
      </c>
      <c r="J28" s="45">
        <f t="shared" si="22"/>
        <v>13.505025659999998</v>
      </c>
      <c r="K28" s="45">
        <f t="shared" si="22"/>
        <v>15.155676294599997</v>
      </c>
      <c r="L28" s="45">
        <f t="shared" si="22"/>
        <v>16.705498137215997</v>
      </c>
      <c r="M28" s="45">
        <f t="shared" si="22"/>
        <v>18.080302706927998</v>
      </c>
      <c r="N28" s="45">
        <f t="shared" si="22"/>
        <v>19.56301320921024</v>
      </c>
      <c r="O28" s="45">
        <f t="shared" si="22"/>
        <v>21.161462784879646</v>
      </c>
      <c r="P28" s="45">
        <f t="shared" si="22"/>
        <v>22.883972143590835</v>
      </c>
      <c r="Q28" s="45">
        <f t="shared" si="22"/>
        <v>24.739368746195463</v>
      </c>
      <c r="R28" s="45">
        <f t="shared" si="22"/>
        <v>26.737004947885112</v>
      </c>
      <c r="S28" s="45">
        <f t="shared" ref="S28:T28" si="23">+S29*S7</f>
        <v>28.886774702450733</v>
      </c>
      <c r="T28" s="45">
        <f t="shared" si="23"/>
        <v>31.199128358450629</v>
      </c>
    </row>
    <row r="29" spans="2:30" s="55" customFormat="1" x14ac:dyDescent="0.2">
      <c r="B29" s="49" t="s">
        <v>26</v>
      </c>
      <c r="C29" s="52"/>
      <c r="D29" s="62">
        <f>+D28/D7</f>
        <v>1.2626344874007968E-2</v>
      </c>
      <c r="E29" s="62">
        <f>+E28/E7</f>
        <v>2.7219219219219219E-2</v>
      </c>
      <c r="F29" s="62">
        <f>+F28/F7</f>
        <v>2.742538603518066E-2</v>
      </c>
      <c r="G29" s="62">
        <f t="shared" ref="G29:H29" si="24">+G28/G7</f>
        <v>3.1551298384686767E-2</v>
      </c>
      <c r="H29" s="62">
        <f t="shared" si="24"/>
        <v>3.3067360039002194E-2</v>
      </c>
      <c r="I29" s="80">
        <f t="shared" ref="I29:T29" si="25">+H29-0.05%</f>
        <v>3.2567360039002194E-2</v>
      </c>
      <c r="J29" s="80">
        <f t="shared" si="25"/>
        <v>3.2067360039002193E-2</v>
      </c>
      <c r="K29" s="80">
        <f t="shared" si="25"/>
        <v>3.1567360039002193E-2</v>
      </c>
      <c r="L29" s="80">
        <f t="shared" si="25"/>
        <v>3.1067360039002193E-2</v>
      </c>
      <c r="M29" s="80">
        <f t="shared" si="25"/>
        <v>3.0567360039002192E-2</v>
      </c>
      <c r="N29" s="80">
        <f t="shared" si="25"/>
        <v>3.0067360039002192E-2</v>
      </c>
      <c r="O29" s="80">
        <f t="shared" si="25"/>
        <v>2.9567360039002191E-2</v>
      </c>
      <c r="P29" s="80">
        <f t="shared" si="25"/>
        <v>2.9067360039002191E-2</v>
      </c>
      <c r="Q29" s="80">
        <f t="shared" si="25"/>
        <v>2.856736003900219E-2</v>
      </c>
      <c r="R29" s="80">
        <f t="shared" si="25"/>
        <v>2.806736003900219E-2</v>
      </c>
      <c r="S29" s="80">
        <f t="shared" si="25"/>
        <v>2.7567360039002189E-2</v>
      </c>
      <c r="T29" s="80">
        <f t="shared" si="25"/>
        <v>2.7067360039002189E-2</v>
      </c>
    </row>
    <row r="30" spans="2:30" x14ac:dyDescent="0.2">
      <c r="C30" s="45"/>
      <c r="D30" s="45"/>
      <c r="E30" s="45"/>
      <c r="F30" s="45"/>
      <c r="G30" s="45"/>
      <c r="H30" s="45"/>
      <c r="I30" s="45"/>
      <c r="J30" s="45"/>
      <c r="K30" s="45"/>
      <c r="L30" s="45"/>
      <c r="M30" s="45"/>
      <c r="N30" s="45"/>
      <c r="O30" s="45"/>
      <c r="P30" s="45"/>
      <c r="Q30" s="45"/>
      <c r="R30" s="45"/>
      <c r="S30" s="45"/>
      <c r="T30" s="45"/>
    </row>
    <row r="31" spans="2:30" x14ac:dyDescent="0.2">
      <c r="B31" s="34" t="s">
        <v>78</v>
      </c>
      <c r="C31" s="45"/>
      <c r="D31" s="45">
        <f t="shared" ref="D31:R31" ca="1" si="26">D24-D28</f>
        <v>-7.904999999999994</v>
      </c>
      <c r="E31" s="45">
        <f t="shared" si="26"/>
        <v>-8.0599999999999987</v>
      </c>
      <c r="F31" s="45">
        <f t="shared" si="26"/>
        <v>-4.1139999999999723</v>
      </c>
      <c r="G31" s="45">
        <f t="shared" si="26"/>
        <v>-26.482999999999983</v>
      </c>
      <c r="H31" s="45">
        <f t="shared" si="26"/>
        <v>-9.3869999999999507</v>
      </c>
      <c r="I31" s="45">
        <f t="shared" si="26"/>
        <v>2.3724262278495427</v>
      </c>
      <c r="J31" s="45">
        <f t="shared" si="26"/>
        <v>14.755972063505013</v>
      </c>
      <c r="K31" s="45">
        <f t="shared" si="26"/>
        <v>27.381072870745328</v>
      </c>
      <c r="L31" s="45">
        <f t="shared" si="26"/>
        <v>39.780699579870429</v>
      </c>
      <c r="M31" s="45">
        <f t="shared" si="26"/>
        <v>51.425380325116805</v>
      </c>
      <c r="N31" s="45">
        <f t="shared" si="26"/>
        <v>64.264103669288758</v>
      </c>
      <c r="O31" s="45">
        <f t="shared" si="26"/>
        <v>78.419231324718965</v>
      </c>
      <c r="P31" s="45">
        <f t="shared" si="26"/>
        <v>94.025656920217372</v>
      </c>
      <c r="Q31" s="45">
        <f t="shared" si="26"/>
        <v>111.23208876724327</v>
      </c>
      <c r="R31" s="45">
        <f t="shared" si="26"/>
        <v>130.20246386014725</v>
      </c>
      <c r="S31" s="45">
        <f t="shared" ref="S31:T31" si="27">S24-S28</f>
        <v>151.1175065296346</v>
      </c>
      <c r="T31" s="45">
        <f t="shared" si="27"/>
        <v>174.176446540093</v>
      </c>
    </row>
    <row r="32" spans="2:30" s="55" customFormat="1" x14ac:dyDescent="0.2">
      <c r="B32" s="78" t="s">
        <v>18</v>
      </c>
      <c r="C32" s="52"/>
      <c r="D32" s="62"/>
      <c r="E32" s="107">
        <f t="shared" ref="E32:T32" ca="1" si="28">E31/D31-1</f>
        <v>1.9607843137255498E-2</v>
      </c>
      <c r="F32" s="107">
        <f t="shared" si="28"/>
        <v>-0.48957816377171548</v>
      </c>
      <c r="G32" s="107">
        <f t="shared" si="28"/>
        <v>5.4372873116189018</v>
      </c>
      <c r="H32" s="107">
        <f t="shared" si="28"/>
        <v>-0.64554619944870462</v>
      </c>
      <c r="I32" s="107">
        <f t="shared" si="28"/>
        <v>-1.25273529645782</v>
      </c>
      <c r="J32" s="107">
        <f t="shared" si="28"/>
        <v>5.2197812055384274</v>
      </c>
      <c r="K32" s="107">
        <f t="shared" si="28"/>
        <v>0.85559262059496288</v>
      </c>
      <c r="L32" s="107">
        <f t="shared" si="28"/>
        <v>0.45285393920313455</v>
      </c>
      <c r="M32" s="107">
        <f t="shared" si="28"/>
        <v>0.2927218693544229</v>
      </c>
      <c r="N32" s="107">
        <f t="shared" si="28"/>
        <v>0.24965733384963151</v>
      </c>
      <c r="O32" s="107">
        <f t="shared" si="28"/>
        <v>0.2202649200286726</v>
      </c>
      <c r="P32" s="107">
        <f t="shared" si="28"/>
        <v>0.19901273363513594</v>
      </c>
      <c r="Q32" s="107">
        <f t="shared" si="28"/>
        <v>0.18299719896268196</v>
      </c>
      <c r="R32" s="107">
        <f t="shared" si="28"/>
        <v>0.17054768370483542</v>
      </c>
      <c r="S32" s="107">
        <f t="shared" si="28"/>
        <v>0.1606347687241354</v>
      </c>
      <c r="T32" s="107">
        <f t="shared" si="28"/>
        <v>0.15258946855331068</v>
      </c>
    </row>
    <row r="33" spans="2:22" s="55" customFormat="1" x14ac:dyDescent="0.2">
      <c r="B33" s="49" t="s">
        <v>20</v>
      </c>
      <c r="C33" s="52"/>
      <c r="D33" s="62">
        <f t="shared" ref="D33:R33" ca="1" si="29">D31/D7</f>
        <v>-8.5822232355144384E-2</v>
      </c>
      <c r="E33" s="62">
        <f t="shared" si="29"/>
        <v>-6.454454454454453E-2</v>
      </c>
      <c r="F33" s="62">
        <f t="shared" si="29"/>
        <v>-2.1882862325200252E-2</v>
      </c>
      <c r="G33" s="62">
        <f t="shared" si="29"/>
        <v>-0.10413422671007716</v>
      </c>
      <c r="H33" s="62">
        <f t="shared" si="29"/>
        <v>-3.0509466157471195E-2</v>
      </c>
      <c r="I33" s="62">
        <f t="shared" si="29"/>
        <v>6.5345923509138185E-3</v>
      </c>
      <c r="J33" s="62">
        <f t="shared" si="29"/>
        <v>3.5037702319024949E-2</v>
      </c>
      <c r="K33" s="62">
        <f t="shared" si="29"/>
        <v>5.7031317426127819E-2</v>
      </c>
      <c r="L33" s="62">
        <f t="shared" si="29"/>
        <v>7.3980512661155504E-2</v>
      </c>
      <c r="M33" s="62">
        <f t="shared" si="29"/>
        <v>8.6942024202843166E-2</v>
      </c>
      <c r="N33" s="62">
        <f t="shared" si="29"/>
        <v>9.8770671058922829E-2</v>
      </c>
      <c r="O33" s="62">
        <f t="shared" si="29"/>
        <v>0.10956944092808617</v>
      </c>
      <c r="P33" s="62">
        <f t="shared" si="29"/>
        <v>0.11943195899096196</v>
      </c>
      <c r="Q33" s="62">
        <f t="shared" si="29"/>
        <v>0.12844333904812172</v>
      </c>
      <c r="R33" s="62">
        <f t="shared" si="29"/>
        <v>0.13668095728190335</v>
      </c>
      <c r="S33" s="62">
        <f t="shared" ref="S33:T33" si="30">S31/S7</f>
        <v>0.14421515567625029</v>
      </c>
      <c r="T33" s="62">
        <f t="shared" si="30"/>
        <v>0.151109881489293</v>
      </c>
      <c r="U33" s="34"/>
    </row>
    <row r="34" spans="2:22" x14ac:dyDescent="0.2">
      <c r="B34" s="63"/>
      <c r="C34" s="45"/>
      <c r="D34" s="87"/>
      <c r="E34" s="45"/>
      <c r="F34" s="45"/>
      <c r="G34" s="45"/>
      <c r="H34" s="45"/>
      <c r="I34" s="45"/>
      <c r="J34" s="45"/>
      <c r="K34" s="45"/>
      <c r="L34" s="45"/>
      <c r="M34" s="45"/>
      <c r="N34" s="45"/>
      <c r="O34" s="45"/>
      <c r="P34" s="45"/>
      <c r="Q34" s="45"/>
      <c r="R34" s="45"/>
      <c r="S34" s="45"/>
      <c r="T34" s="45"/>
    </row>
    <row r="35" spans="2:22" x14ac:dyDescent="0.2">
      <c r="B35" s="34" t="s">
        <v>27</v>
      </c>
      <c r="C35" s="45"/>
      <c r="D35" s="165">
        <f>-'Historical Financials'!AS84</f>
        <v>1.4800000000000002</v>
      </c>
      <c r="E35" s="165">
        <f>-'Historical Financials'!AT84</f>
        <v>0.28999999999999998</v>
      </c>
      <c r="F35" s="165">
        <f>-'Historical Financials'!AU84</f>
        <v>0.52200000000000002</v>
      </c>
      <c r="G35" s="165">
        <f>-'Historical Financials'!AV84</f>
        <v>-3.4560000000000004</v>
      </c>
      <c r="H35" s="165">
        <f>-'Historical Financials'!AW84</f>
        <v>-12.313000000000001</v>
      </c>
      <c r="I35" s="45">
        <f t="shared" ref="I35:T35" si="31">+MAX((I36)*AVERAGE(H54:I54),0)</f>
        <v>0</v>
      </c>
      <c r="J35" s="45">
        <f t="shared" si="31"/>
        <v>0</v>
      </c>
      <c r="K35" s="45">
        <f t="shared" si="31"/>
        <v>0</v>
      </c>
      <c r="L35" s="45">
        <f t="shared" si="31"/>
        <v>0</v>
      </c>
      <c r="M35" s="45">
        <f t="shared" si="31"/>
        <v>0</v>
      </c>
      <c r="N35" s="45">
        <f t="shared" si="31"/>
        <v>0</v>
      </c>
      <c r="O35" s="45">
        <f t="shared" si="31"/>
        <v>0</v>
      </c>
      <c r="P35" s="45">
        <f t="shared" si="31"/>
        <v>0</v>
      </c>
      <c r="Q35" s="45">
        <f t="shared" si="31"/>
        <v>0</v>
      </c>
      <c r="R35" s="45">
        <f t="shared" si="31"/>
        <v>0</v>
      </c>
      <c r="S35" s="45">
        <f t="shared" si="31"/>
        <v>0</v>
      </c>
      <c r="T35" s="45">
        <f t="shared" si="31"/>
        <v>0</v>
      </c>
      <c r="U35" s="77"/>
      <c r="V35" s="77"/>
    </row>
    <row r="36" spans="2:22" s="55" customFormat="1" x14ac:dyDescent="0.2">
      <c r="B36" s="78" t="s">
        <v>58</v>
      </c>
      <c r="C36" s="52"/>
      <c r="D36" s="88" t="s">
        <v>59</v>
      </c>
      <c r="E36" s="88" t="s">
        <v>59</v>
      </c>
      <c r="F36" s="88" t="s">
        <v>59</v>
      </c>
      <c r="G36" s="88" t="s">
        <v>59</v>
      </c>
      <c r="H36" s="88" t="s">
        <v>59</v>
      </c>
      <c r="I36" s="80">
        <v>0</v>
      </c>
      <c r="J36" s="80">
        <v>0</v>
      </c>
      <c r="K36" s="80">
        <v>0</v>
      </c>
      <c r="L36" s="80">
        <v>0</v>
      </c>
      <c r="M36" s="80">
        <v>0</v>
      </c>
      <c r="N36" s="80">
        <v>0</v>
      </c>
      <c r="O36" s="80">
        <v>0</v>
      </c>
      <c r="P36" s="80">
        <v>0</v>
      </c>
      <c r="Q36" s="80">
        <v>0</v>
      </c>
      <c r="R36" s="80">
        <v>0</v>
      </c>
      <c r="S36" s="80">
        <v>0</v>
      </c>
      <c r="T36" s="80">
        <v>0</v>
      </c>
    </row>
    <row r="37" spans="2:22" x14ac:dyDescent="0.2">
      <c r="C37" s="45"/>
      <c r="D37" s="45"/>
      <c r="E37" s="45"/>
      <c r="F37" s="45"/>
      <c r="G37" s="45"/>
      <c r="H37" s="45"/>
      <c r="I37" s="45"/>
      <c r="J37" s="45"/>
      <c r="K37" s="45"/>
      <c r="L37" s="45"/>
      <c r="M37" s="45"/>
      <c r="N37" s="45"/>
      <c r="O37" s="45"/>
      <c r="P37" s="45"/>
      <c r="Q37" s="45"/>
      <c r="R37" s="45"/>
      <c r="S37" s="45"/>
      <c r="T37" s="45"/>
    </row>
    <row r="38" spans="2:22" x14ac:dyDescent="0.2">
      <c r="B38" s="34" t="s">
        <v>28</v>
      </c>
      <c r="C38" s="45"/>
      <c r="D38" s="45">
        <f t="shared" ref="D38:R38" ca="1" si="32">+MAX((D24-D42-D35)*D39,0)</f>
        <v>0</v>
      </c>
      <c r="E38" s="45">
        <f t="shared" si="32"/>
        <v>0</v>
      </c>
      <c r="F38" s="45">
        <f t="shared" si="32"/>
        <v>0</v>
      </c>
      <c r="G38" s="45">
        <f t="shared" si="32"/>
        <v>0</v>
      </c>
      <c r="H38" s="45">
        <f t="shared" si="32"/>
        <v>1.8095700000000106</v>
      </c>
      <c r="I38" s="45">
        <f t="shared" si="32"/>
        <v>1.6797137128484039</v>
      </c>
      <c r="J38" s="45">
        <f t="shared" si="32"/>
        <v>4.2039773209360529</v>
      </c>
      <c r="K38" s="45">
        <f t="shared" si="32"/>
        <v>6.7075130098925193</v>
      </c>
      <c r="L38" s="45">
        <f t="shared" si="32"/>
        <v>9.0875704096057497</v>
      </c>
      <c r="M38" s="45">
        <f t="shared" si="32"/>
        <v>11.233676708438688</v>
      </c>
      <c r="N38" s="45">
        <f t="shared" si="32"/>
        <v>13.837047527381726</v>
      </c>
      <c r="O38" s="45">
        <f t="shared" si="32"/>
        <v>16.84378291070518</v>
      </c>
      <c r="P38" s="45">
        <f t="shared" si="32"/>
        <v>20.158706719011267</v>
      </c>
      <c r="Q38" s="45">
        <f t="shared" si="32"/>
        <v>23.813389283463266</v>
      </c>
      <c r="R38" s="45">
        <f t="shared" si="32"/>
        <v>27.84263311720732</v>
      </c>
      <c r="S38" s="45">
        <f t="shared" ref="S38:T38" si="33">+MAX((S24-S42-S35)*S39,0)</f>
        <v>32.284803648457299</v>
      </c>
      <c r="T38" s="45">
        <f t="shared" si="33"/>
        <v>37.182193778376963</v>
      </c>
    </row>
    <row r="39" spans="2:22" x14ac:dyDescent="0.2">
      <c r="B39" s="78" t="s">
        <v>58</v>
      </c>
      <c r="C39" s="45"/>
      <c r="D39" s="80">
        <v>0.21</v>
      </c>
      <c r="E39" s="62">
        <f t="shared" ref="E39:T39" si="34">D39</f>
        <v>0.21</v>
      </c>
      <c r="F39" s="62">
        <f t="shared" si="34"/>
        <v>0.21</v>
      </c>
      <c r="G39" s="62">
        <f t="shared" si="34"/>
        <v>0.21</v>
      </c>
      <c r="H39" s="62">
        <f t="shared" si="34"/>
        <v>0.21</v>
      </c>
      <c r="I39" s="62">
        <f t="shared" si="34"/>
        <v>0.21</v>
      </c>
      <c r="J39" s="62">
        <f t="shared" si="34"/>
        <v>0.21</v>
      </c>
      <c r="K39" s="62">
        <f t="shared" si="34"/>
        <v>0.21</v>
      </c>
      <c r="L39" s="62">
        <f t="shared" si="34"/>
        <v>0.21</v>
      </c>
      <c r="M39" s="62">
        <f t="shared" si="34"/>
        <v>0.21</v>
      </c>
      <c r="N39" s="62">
        <f t="shared" si="34"/>
        <v>0.21</v>
      </c>
      <c r="O39" s="62">
        <f t="shared" si="34"/>
        <v>0.21</v>
      </c>
      <c r="P39" s="62">
        <f t="shared" si="34"/>
        <v>0.21</v>
      </c>
      <c r="Q39" s="62">
        <f t="shared" si="34"/>
        <v>0.21</v>
      </c>
      <c r="R39" s="62">
        <f t="shared" si="34"/>
        <v>0.21</v>
      </c>
      <c r="S39" s="62">
        <f t="shared" si="34"/>
        <v>0.21</v>
      </c>
      <c r="T39" s="62">
        <f t="shared" si="34"/>
        <v>0.21</v>
      </c>
    </row>
    <row r="40" spans="2:22" x14ac:dyDescent="0.2">
      <c r="C40" s="45"/>
      <c r="D40" s="45"/>
      <c r="E40" s="45"/>
      <c r="F40" s="45"/>
      <c r="G40" s="45"/>
      <c r="H40" s="45"/>
      <c r="I40" s="45"/>
      <c r="J40" s="45"/>
      <c r="K40" s="45"/>
      <c r="L40" s="45"/>
      <c r="M40" s="45"/>
      <c r="N40" s="45"/>
      <c r="O40" s="45"/>
      <c r="P40" s="45"/>
      <c r="Q40" s="45"/>
      <c r="R40" s="45"/>
      <c r="S40" s="45"/>
      <c r="T40" s="45"/>
    </row>
    <row r="41" spans="2:22" x14ac:dyDescent="0.2">
      <c r="B41" s="51" t="s">
        <v>35</v>
      </c>
      <c r="C41" s="45"/>
      <c r="D41" s="45"/>
      <c r="E41" s="45"/>
      <c r="F41" s="45"/>
      <c r="G41" s="45"/>
      <c r="H41" s="45"/>
      <c r="I41" s="45"/>
      <c r="J41" s="45"/>
      <c r="K41" s="45"/>
      <c r="L41" s="45"/>
      <c r="M41" s="45"/>
      <c r="N41" s="45"/>
      <c r="O41" s="45"/>
      <c r="P41" s="45"/>
      <c r="Q41" s="45"/>
      <c r="R41" s="45"/>
      <c r="S41" s="45"/>
      <c r="T41" s="45"/>
    </row>
    <row r="42" spans="2:22" s="55" customFormat="1" x14ac:dyDescent="0.2">
      <c r="B42" s="49" t="s">
        <v>36</v>
      </c>
      <c r="C42" s="52"/>
      <c r="D42" s="167">
        <f ca="1">+'Historical Financials'!AS80</f>
        <v>1.4800000000000002</v>
      </c>
      <c r="E42" s="167">
        <f>+'Historical Financials'!AT80</f>
        <v>1.415</v>
      </c>
      <c r="F42" s="167">
        <f>+'Historical Financials'!AU80</f>
        <v>3.3080000000000003</v>
      </c>
      <c r="G42" s="167">
        <f>+'Historical Financials'!AV80</f>
        <v>4.7700000000000005</v>
      </c>
      <c r="H42" s="167">
        <f>+'Historical Financials'!AW80</f>
        <v>4.4829999999999997</v>
      </c>
      <c r="I42" s="52">
        <f t="shared" ref="I42:R42" si="35">+I43*I7</f>
        <v>6.1975812499999998</v>
      </c>
      <c r="J42" s="52">
        <f t="shared" si="35"/>
        <v>8.2420580999999977</v>
      </c>
      <c r="K42" s="52">
        <f t="shared" si="35"/>
        <v>10.596211022999997</v>
      </c>
      <c r="L42" s="52">
        <f t="shared" si="35"/>
        <v>13.212052909439997</v>
      </c>
      <c r="M42" s="52">
        <f t="shared" si="35"/>
        <v>16.011984420431997</v>
      </c>
      <c r="N42" s="52">
        <f t="shared" si="35"/>
        <v>17.93641436715744</v>
      </c>
      <c r="O42" s="52">
        <f t="shared" si="35"/>
        <v>19.37220405862157</v>
      </c>
      <c r="P42" s="52">
        <f t="shared" si="35"/>
        <v>20.915787544706948</v>
      </c>
      <c r="Q42" s="52">
        <f t="shared" si="35"/>
        <v>22.574365687423185</v>
      </c>
      <c r="R42" s="52">
        <f t="shared" si="35"/>
        <v>24.355501583235608</v>
      </c>
      <c r="S42" s="52">
        <f t="shared" ref="S42:T42" si="36">+S43*S7</f>
        <v>26.267121001336278</v>
      </c>
      <c r="T42" s="52">
        <f t="shared" si="36"/>
        <v>28.317509287224727</v>
      </c>
    </row>
    <row r="43" spans="2:22" s="55" customFormat="1" x14ac:dyDescent="0.2">
      <c r="B43" s="50" t="s">
        <v>26</v>
      </c>
      <c r="C43" s="52"/>
      <c r="D43" s="62">
        <f ca="1">+D42/D7</f>
        <v>1.6067919530121925E-2</v>
      </c>
      <c r="E43" s="62">
        <f>+E42/E7</f>
        <v>1.1331331331331332E-2</v>
      </c>
      <c r="F43" s="62">
        <f>+F42/F7</f>
        <v>1.7595651086962306E-2</v>
      </c>
      <c r="G43" s="62">
        <f>+G42/G7</f>
        <v>1.8756193082621622E-2</v>
      </c>
      <c r="H43" s="62">
        <f>+H42/H7</f>
        <v>1.4570569594539692E-2</v>
      </c>
      <c r="I43" s="80">
        <f t="shared" ref="I43:T43" si="37">+MIN(H43+0.25%,I29-0.25%)</f>
        <v>1.7070569594539692E-2</v>
      </c>
      <c r="J43" s="80">
        <f t="shared" si="37"/>
        <v>1.9570569594539691E-2</v>
      </c>
      <c r="K43" s="80">
        <f t="shared" si="37"/>
        <v>2.207056959453969E-2</v>
      </c>
      <c r="L43" s="80">
        <f t="shared" si="37"/>
        <v>2.4570569594539689E-2</v>
      </c>
      <c r="M43" s="80">
        <f t="shared" si="37"/>
        <v>2.7070569594539688E-2</v>
      </c>
      <c r="N43" s="80">
        <f t="shared" si="37"/>
        <v>2.7567360039002193E-2</v>
      </c>
      <c r="O43" s="80">
        <f t="shared" si="37"/>
        <v>2.7067360039002192E-2</v>
      </c>
      <c r="P43" s="80">
        <f t="shared" si="37"/>
        <v>2.6567360039002192E-2</v>
      </c>
      <c r="Q43" s="80">
        <f t="shared" si="37"/>
        <v>2.6067360039002192E-2</v>
      </c>
      <c r="R43" s="80">
        <f t="shared" si="37"/>
        <v>2.5567360039002191E-2</v>
      </c>
      <c r="S43" s="80">
        <f t="shared" si="37"/>
        <v>2.5067360039002191E-2</v>
      </c>
      <c r="T43" s="80">
        <f t="shared" si="37"/>
        <v>2.456736003900219E-2</v>
      </c>
    </row>
    <row r="44" spans="2:22" x14ac:dyDescent="0.2">
      <c r="C44" s="45"/>
      <c r="D44" s="45"/>
      <c r="E44" s="45"/>
      <c r="F44" s="45"/>
      <c r="G44" s="45"/>
      <c r="H44" s="45"/>
      <c r="I44" s="45"/>
      <c r="J44" s="45"/>
      <c r="K44" s="45"/>
      <c r="L44" s="45"/>
      <c r="M44" s="45"/>
      <c r="N44" s="45"/>
      <c r="O44" s="45"/>
      <c r="P44" s="45"/>
      <c r="Q44" s="45"/>
      <c r="R44" s="45"/>
      <c r="S44" s="45"/>
      <c r="T44" s="45"/>
    </row>
    <row r="45" spans="2:22" x14ac:dyDescent="0.2">
      <c r="B45" s="34" t="s">
        <v>40</v>
      </c>
      <c r="C45" s="45"/>
      <c r="D45" s="45">
        <f t="shared" ref="D45:R45" ca="1" si="38">D31-D35-D38</f>
        <v>-9.3849999999999945</v>
      </c>
      <c r="E45" s="45">
        <f t="shared" si="38"/>
        <v>-8.3499999999999979</v>
      </c>
      <c r="F45" s="45">
        <f t="shared" si="38"/>
        <v>-4.6359999999999726</v>
      </c>
      <c r="G45" s="45">
        <f t="shared" si="38"/>
        <v>-23.026999999999983</v>
      </c>
      <c r="H45" s="45">
        <f t="shared" si="38"/>
        <v>1.1164300000000393</v>
      </c>
      <c r="I45" s="45">
        <f t="shared" si="38"/>
        <v>0.69271251500113884</v>
      </c>
      <c r="J45" s="45">
        <f t="shared" si="38"/>
        <v>10.55199474256896</v>
      </c>
      <c r="K45" s="45">
        <f t="shared" si="38"/>
        <v>20.673559860852809</v>
      </c>
      <c r="L45" s="45">
        <f t="shared" si="38"/>
        <v>30.69312917026468</v>
      </c>
      <c r="M45" s="45">
        <f t="shared" si="38"/>
        <v>40.191703616678119</v>
      </c>
      <c r="N45" s="45">
        <f t="shared" si="38"/>
        <v>50.42705614190703</v>
      </c>
      <c r="O45" s="45">
        <f t="shared" si="38"/>
        <v>61.575448414013785</v>
      </c>
      <c r="P45" s="45">
        <f t="shared" si="38"/>
        <v>73.866950201206109</v>
      </c>
      <c r="Q45" s="45">
        <f t="shared" si="38"/>
        <v>87.418699483780003</v>
      </c>
      <c r="R45" s="45">
        <f t="shared" si="38"/>
        <v>102.35983074293992</v>
      </c>
      <c r="S45" s="45">
        <f t="shared" ref="S45:T45" si="39">S31-S35-S38</f>
        <v>118.8327028811773</v>
      </c>
      <c r="T45" s="45">
        <f t="shared" si="39"/>
        <v>136.99425276171604</v>
      </c>
    </row>
    <row r="46" spans="2:22" x14ac:dyDescent="0.2">
      <c r="B46" s="49" t="s">
        <v>18</v>
      </c>
      <c r="C46" s="45"/>
      <c r="D46" s="62"/>
      <c r="E46" s="107">
        <f t="shared" ref="E46:T46" ca="1" si="40">E45/D45-1</f>
        <v>-0.11028236547682446</v>
      </c>
      <c r="F46" s="107">
        <f t="shared" si="40"/>
        <v>-0.44479041916167983</v>
      </c>
      <c r="G46" s="107">
        <f t="shared" si="40"/>
        <v>3.9669974115617173</v>
      </c>
      <c r="H46" s="107">
        <f t="shared" si="40"/>
        <v>-1.0484835193468554</v>
      </c>
      <c r="I46" s="107">
        <f t="shared" si="40"/>
        <v>-0.37952893150388789</v>
      </c>
      <c r="J46" s="107">
        <f t="shared" si="40"/>
        <v>14.232862860217868</v>
      </c>
      <c r="K46" s="107">
        <f t="shared" si="40"/>
        <v>0.95920869610096871</v>
      </c>
      <c r="L46" s="107">
        <f t="shared" si="40"/>
        <v>0.48465621677400605</v>
      </c>
      <c r="M46" s="107">
        <f t="shared" si="40"/>
        <v>0.30946907999252171</v>
      </c>
      <c r="N46" s="107">
        <f t="shared" si="40"/>
        <v>0.25466331616213478</v>
      </c>
      <c r="O46" s="107">
        <f t="shared" si="40"/>
        <v>0.22107957761274033</v>
      </c>
      <c r="P46" s="107">
        <f t="shared" si="40"/>
        <v>0.19961692693731048</v>
      </c>
      <c r="Q46" s="107">
        <f t="shared" si="40"/>
        <v>0.18346160557137248</v>
      </c>
      <c r="R46" s="107">
        <f t="shared" si="40"/>
        <v>0.17091459089862293</v>
      </c>
      <c r="S46" s="107">
        <f t="shared" si="40"/>
        <v>0.1609310216583526</v>
      </c>
      <c r="T46" s="107">
        <f t="shared" si="40"/>
        <v>0.15283292763860445</v>
      </c>
    </row>
    <row r="47" spans="2:22" x14ac:dyDescent="0.2">
      <c r="C47" s="45"/>
      <c r="D47" s="45"/>
      <c r="E47" s="45"/>
      <c r="F47" s="45"/>
      <c r="G47" s="45"/>
      <c r="H47" s="45"/>
      <c r="I47" s="45"/>
      <c r="J47" s="45"/>
      <c r="K47" s="45"/>
      <c r="L47" s="45"/>
      <c r="M47" s="45"/>
      <c r="N47" s="45"/>
      <c r="O47" s="45"/>
      <c r="P47" s="45"/>
      <c r="Q47" s="45"/>
      <c r="R47" s="45"/>
      <c r="S47" s="45"/>
      <c r="T47" s="45"/>
    </row>
    <row r="48" spans="2:22" x14ac:dyDescent="0.2">
      <c r="B48" s="34" t="s">
        <v>24</v>
      </c>
      <c r="C48" s="45"/>
      <c r="D48" s="45">
        <f>+-D23</f>
        <v>0.503</v>
      </c>
      <c r="E48" s="45">
        <f>+-E23</f>
        <v>1.079</v>
      </c>
      <c r="F48" s="45">
        <f>+-F23</f>
        <v>2.742</v>
      </c>
      <c r="G48" s="45">
        <f>+-G23</f>
        <v>7.3929999999999989</v>
      </c>
      <c r="H48" s="45">
        <f>+-H23</f>
        <v>15.337</v>
      </c>
      <c r="I48" s="165">
        <f>+'Historical Financials'!AX103</f>
        <v>12.281000000000001</v>
      </c>
      <c r="J48" s="54">
        <v>0</v>
      </c>
      <c r="K48" s="54">
        <v>0</v>
      </c>
      <c r="L48" s="54">
        <v>0</v>
      </c>
      <c r="M48" s="54">
        <v>0</v>
      </c>
      <c r="N48" s="54">
        <v>0</v>
      </c>
      <c r="O48" s="54">
        <v>0</v>
      </c>
      <c r="P48" s="54">
        <v>0</v>
      </c>
      <c r="Q48" s="54">
        <v>0</v>
      </c>
      <c r="R48" s="54">
        <v>0</v>
      </c>
      <c r="S48" s="54">
        <v>0</v>
      </c>
      <c r="T48" s="54">
        <v>0</v>
      </c>
    </row>
    <row r="49" spans="2:20" ht="13.5" x14ac:dyDescent="0.35">
      <c r="B49" s="34" t="s">
        <v>41</v>
      </c>
      <c r="C49" s="45"/>
      <c r="D49" s="48">
        <f ca="1">+D50-D48-D45</f>
        <v>9.5939999999999959</v>
      </c>
      <c r="E49" s="48">
        <f>+E50-E48-E45</f>
        <v>9.7239999999999984</v>
      </c>
      <c r="F49" s="48">
        <f>+F50-F48-F45</f>
        <v>20.498999999999974</v>
      </c>
      <c r="G49" s="48">
        <f>+G50-G48-G45</f>
        <v>-2.0140000000000278</v>
      </c>
      <c r="H49" s="48">
        <f>+H50-H48-H45</f>
        <v>-18.641430000000039</v>
      </c>
      <c r="I49" s="166" t="e">
        <f>+'Historical Financials'!#REF!+'Historical Financials'!AX104</f>
        <v>#REF!</v>
      </c>
      <c r="J49" s="56">
        <v>0</v>
      </c>
      <c r="K49" s="56">
        <v>0</v>
      </c>
      <c r="L49" s="56">
        <v>0</v>
      </c>
      <c r="M49" s="56">
        <v>0</v>
      </c>
      <c r="N49" s="56">
        <v>0</v>
      </c>
      <c r="O49" s="56">
        <v>0</v>
      </c>
      <c r="P49" s="56">
        <v>0</v>
      </c>
      <c r="Q49" s="56">
        <v>0</v>
      </c>
      <c r="R49" s="56">
        <v>0</v>
      </c>
      <c r="S49" s="56">
        <v>0</v>
      </c>
      <c r="T49" s="56">
        <v>0</v>
      </c>
    </row>
    <row r="50" spans="2:20" x14ac:dyDescent="0.2">
      <c r="B50" s="57" t="s">
        <v>42</v>
      </c>
      <c r="C50" s="45"/>
      <c r="D50" s="165">
        <f>+'Historical Financials'!AS105</f>
        <v>0.71200000000000196</v>
      </c>
      <c r="E50" s="165">
        <f>+'Historical Financials'!AT105</f>
        <v>2.4530000000000012</v>
      </c>
      <c r="F50" s="165">
        <f>+'Historical Financials'!AU105</f>
        <v>18.605</v>
      </c>
      <c r="G50" s="165">
        <f>+'Historical Financials'!AV105</f>
        <v>-17.64800000000001</v>
      </c>
      <c r="H50" s="165">
        <f>+'Historical Financials'!AW105</f>
        <v>-2.1879999999999997</v>
      </c>
      <c r="I50" s="45" t="e">
        <f t="shared" ref="I50:P50" si="41">+I45+SUM(I48:I49)</f>
        <v>#REF!</v>
      </c>
      <c r="J50" s="45">
        <f t="shared" si="41"/>
        <v>10.55199474256896</v>
      </c>
      <c r="K50" s="45">
        <f t="shared" si="41"/>
        <v>20.673559860852809</v>
      </c>
      <c r="L50" s="45">
        <f t="shared" si="41"/>
        <v>30.69312917026468</v>
      </c>
      <c r="M50" s="45">
        <f t="shared" si="41"/>
        <v>40.191703616678119</v>
      </c>
      <c r="N50" s="45">
        <f t="shared" si="41"/>
        <v>50.42705614190703</v>
      </c>
      <c r="O50" s="45">
        <f t="shared" si="41"/>
        <v>61.575448414013785</v>
      </c>
      <c r="P50" s="45">
        <f t="shared" si="41"/>
        <v>73.866950201206109</v>
      </c>
      <c r="Q50" s="45">
        <f t="shared" ref="Q50:R50" si="42">+Q45+SUM(Q48:Q49)</f>
        <v>87.418699483780003</v>
      </c>
      <c r="R50" s="45">
        <f t="shared" si="42"/>
        <v>102.35983074293992</v>
      </c>
      <c r="S50" s="45">
        <f t="shared" ref="S50:T50" si="43">+S45+SUM(S48:S49)</f>
        <v>118.8327028811773</v>
      </c>
      <c r="T50" s="45">
        <f t="shared" si="43"/>
        <v>136.99425276171604</v>
      </c>
    </row>
    <row r="51" spans="2:20" x14ac:dyDescent="0.2">
      <c r="B51" s="57"/>
      <c r="C51" s="45"/>
      <c r="D51" s="165"/>
      <c r="E51" s="165"/>
      <c r="F51" s="165"/>
      <c r="G51" s="45"/>
      <c r="H51" s="45"/>
      <c r="I51" s="45"/>
      <c r="J51" s="45"/>
      <c r="K51" s="45"/>
      <c r="L51" s="45"/>
      <c r="M51" s="45"/>
      <c r="N51" s="45"/>
      <c r="O51" s="45"/>
      <c r="P51" s="45"/>
      <c r="Q51" s="45"/>
      <c r="R51" s="45"/>
      <c r="S51" s="45"/>
      <c r="T51" s="45"/>
    </row>
    <row r="52" spans="2:20" x14ac:dyDescent="0.2">
      <c r="B52" s="49" t="s">
        <v>243</v>
      </c>
      <c r="C52" s="45"/>
      <c r="D52" s="167">
        <f>+'Historical Financials'!AS108</f>
        <v>0</v>
      </c>
      <c r="E52" s="167">
        <f>+'Historical Financials'!AT108</f>
        <v>-2.6850000000000001</v>
      </c>
      <c r="F52" s="167">
        <f>+'Historical Financials'!AU108</f>
        <v>-0.35</v>
      </c>
      <c r="G52" s="167">
        <f>+'Historical Financials'!AV108</f>
        <v>-13.993</v>
      </c>
      <c r="H52" s="167">
        <f>+'Historical Financials'!AW108</f>
        <v>-5.0659999999999998</v>
      </c>
      <c r="I52" s="167">
        <f>+'Historical Financials'!AX108</f>
        <v>-19.026</v>
      </c>
      <c r="J52" s="142">
        <v>0</v>
      </c>
      <c r="K52" s="142">
        <v>0</v>
      </c>
      <c r="L52" s="142">
        <v>0</v>
      </c>
      <c r="M52" s="142">
        <v>0</v>
      </c>
      <c r="N52" s="142">
        <v>0</v>
      </c>
      <c r="O52" s="142">
        <v>0</v>
      </c>
      <c r="P52" s="142">
        <v>0</v>
      </c>
      <c r="Q52" s="142">
        <v>0</v>
      </c>
      <c r="R52" s="142">
        <v>0</v>
      </c>
      <c r="S52" s="142">
        <v>0</v>
      </c>
      <c r="T52" s="142">
        <v>0</v>
      </c>
    </row>
    <row r="53" spans="2:20" x14ac:dyDescent="0.2">
      <c r="C53" s="45"/>
      <c r="D53" s="45"/>
      <c r="E53" s="45"/>
      <c r="F53" s="45"/>
      <c r="G53" s="45"/>
      <c r="H53" s="45"/>
      <c r="I53" s="45"/>
      <c r="J53" s="45"/>
      <c r="K53" s="45"/>
      <c r="L53" s="45"/>
      <c r="M53" s="45"/>
      <c r="N53" s="45"/>
      <c r="O53" s="45"/>
      <c r="P53" s="45"/>
      <c r="Q53" s="45"/>
      <c r="R53" s="45"/>
      <c r="S53" s="45"/>
      <c r="T53" s="45"/>
    </row>
    <row r="54" spans="2:20" x14ac:dyDescent="0.2">
      <c r="B54" s="44" t="s">
        <v>79</v>
      </c>
      <c r="C54" s="45"/>
      <c r="D54" s="165">
        <f>+'Historical Financials'!AS111</f>
        <v>0</v>
      </c>
      <c r="E54" s="165">
        <f>+'Historical Financials'!AT111</f>
        <v>0</v>
      </c>
      <c r="F54" s="165">
        <f>+'Historical Financials'!AU111</f>
        <v>0</v>
      </c>
      <c r="G54" s="165">
        <f>+'Historical Financials'!AV111</f>
        <v>0</v>
      </c>
      <c r="H54" s="165">
        <f>+'Historical Financials'!AW111</f>
        <v>0</v>
      </c>
      <c r="I54" s="165">
        <f>+'Historical Financials'!AX111</f>
        <v>0</v>
      </c>
      <c r="J54" s="45">
        <f t="shared" ref="J54" si="44">+J56+J55</f>
        <v>0</v>
      </c>
      <c r="K54" s="45">
        <f t="shared" ref="K54:R54" si="45">+K56+K55</f>
        <v>0</v>
      </c>
      <c r="L54" s="45">
        <f t="shared" si="45"/>
        <v>0</v>
      </c>
      <c r="M54" s="45">
        <f t="shared" si="45"/>
        <v>0</v>
      </c>
      <c r="N54" s="45">
        <f t="shared" si="45"/>
        <v>0</v>
      </c>
      <c r="O54" s="45">
        <f>+O56+O55</f>
        <v>0</v>
      </c>
      <c r="P54" s="45">
        <f t="shared" si="45"/>
        <v>0</v>
      </c>
      <c r="Q54" s="45">
        <f t="shared" si="45"/>
        <v>0</v>
      </c>
      <c r="R54" s="45">
        <f t="shared" si="45"/>
        <v>0</v>
      </c>
      <c r="S54" s="45">
        <f t="shared" ref="S54:T54" si="46">+S56+S55</f>
        <v>0</v>
      </c>
      <c r="T54" s="45">
        <f t="shared" si="46"/>
        <v>0</v>
      </c>
    </row>
    <row r="55" spans="2:20" ht="13.5" x14ac:dyDescent="0.35">
      <c r="B55" s="34" t="s">
        <v>80</v>
      </c>
      <c r="C55" s="45"/>
      <c r="D55" s="166">
        <f>+'Historical Financials'!AS112</f>
        <v>37.435000000000002</v>
      </c>
      <c r="E55" s="166">
        <f>+'Historical Financials'!AT112</f>
        <v>35.530999999999999</v>
      </c>
      <c r="F55" s="166">
        <f>+'Historical Financials'!AU112</f>
        <v>539.33000000000004</v>
      </c>
      <c r="G55" s="166">
        <f>+'Historical Financials'!AV112</f>
        <v>237.53899999999999</v>
      </c>
      <c r="H55" s="166">
        <f>+'Historical Financials'!AW112</f>
        <v>238.56900000000002</v>
      </c>
      <c r="I55" s="166">
        <f>+'Historical Financials'!AX112</f>
        <v>231.04155724072854</v>
      </c>
      <c r="J55" s="56">
        <v>0</v>
      </c>
      <c r="K55" s="76">
        <f t="shared" ref="K55:T55" si="47">+J55</f>
        <v>0</v>
      </c>
      <c r="L55" s="76">
        <f t="shared" si="47"/>
        <v>0</v>
      </c>
      <c r="M55" s="76">
        <f t="shared" si="47"/>
        <v>0</v>
      </c>
      <c r="N55" s="76">
        <f t="shared" si="47"/>
        <v>0</v>
      </c>
      <c r="O55" s="76">
        <f t="shared" si="47"/>
        <v>0</v>
      </c>
      <c r="P55" s="76">
        <f t="shared" si="47"/>
        <v>0</v>
      </c>
      <c r="Q55" s="76">
        <f t="shared" si="47"/>
        <v>0</v>
      </c>
      <c r="R55" s="76">
        <f t="shared" si="47"/>
        <v>0</v>
      </c>
      <c r="S55" s="76">
        <f t="shared" si="47"/>
        <v>0</v>
      </c>
      <c r="T55" s="76">
        <f t="shared" si="47"/>
        <v>0</v>
      </c>
    </row>
    <row r="56" spans="2:20" ht="10.15" x14ac:dyDescent="0.2">
      <c r="B56" s="57" t="s">
        <v>60</v>
      </c>
      <c r="C56" s="60"/>
      <c r="D56" s="53">
        <f t="shared" ref="D56:I56" si="48">+D54-D55</f>
        <v>-37.435000000000002</v>
      </c>
      <c r="E56" s="53">
        <f t="shared" si="48"/>
        <v>-35.530999999999999</v>
      </c>
      <c r="F56" s="53">
        <f t="shared" si="48"/>
        <v>-539.33000000000004</v>
      </c>
      <c r="G56" s="53">
        <f t="shared" si="48"/>
        <v>-237.53899999999999</v>
      </c>
      <c r="H56" s="53">
        <f t="shared" si="48"/>
        <v>-238.56900000000002</v>
      </c>
      <c r="I56" s="53">
        <f t="shared" si="48"/>
        <v>-231.04155724072854</v>
      </c>
      <c r="J56" s="45">
        <f t="shared" ref="J56:R56" si="49">+J57*J18</f>
        <v>0</v>
      </c>
      <c r="K56" s="45">
        <f t="shared" si="49"/>
        <v>0</v>
      </c>
      <c r="L56" s="45">
        <f t="shared" si="49"/>
        <v>0</v>
      </c>
      <c r="M56" s="45">
        <f t="shared" si="49"/>
        <v>0</v>
      </c>
      <c r="N56" s="45">
        <f t="shared" si="49"/>
        <v>0</v>
      </c>
      <c r="O56" s="45">
        <f t="shared" si="49"/>
        <v>0</v>
      </c>
      <c r="P56" s="45">
        <f t="shared" si="49"/>
        <v>0</v>
      </c>
      <c r="Q56" s="45">
        <f t="shared" si="49"/>
        <v>0</v>
      </c>
      <c r="R56" s="45">
        <f t="shared" si="49"/>
        <v>0</v>
      </c>
      <c r="S56" s="45">
        <f t="shared" ref="S56:T56" si="50">+S57*S18</f>
        <v>0</v>
      </c>
      <c r="T56" s="45">
        <f t="shared" si="50"/>
        <v>0</v>
      </c>
    </row>
    <row r="57" spans="2:20" s="55" customFormat="1" ht="10.15" x14ac:dyDescent="0.2">
      <c r="B57" s="90" t="s">
        <v>61</v>
      </c>
      <c r="C57" s="52"/>
      <c r="D57" s="88" t="s">
        <v>59</v>
      </c>
      <c r="E57" s="88" t="s">
        <v>59</v>
      </c>
      <c r="F57" s="88" t="s">
        <v>59</v>
      </c>
      <c r="G57" s="88" t="s">
        <v>59</v>
      </c>
      <c r="H57" s="88" t="s">
        <v>59</v>
      </c>
      <c r="I57" s="88" t="s">
        <v>59</v>
      </c>
      <c r="J57" s="91">
        <v>0</v>
      </c>
      <c r="K57" s="92">
        <f t="shared" ref="K57:T57" si="51">J57</f>
        <v>0</v>
      </c>
      <c r="L57" s="92">
        <f t="shared" si="51"/>
        <v>0</v>
      </c>
      <c r="M57" s="92">
        <f t="shared" si="51"/>
        <v>0</v>
      </c>
      <c r="N57" s="92">
        <f t="shared" si="51"/>
        <v>0</v>
      </c>
      <c r="O57" s="92">
        <f t="shared" si="51"/>
        <v>0</v>
      </c>
      <c r="P57" s="92">
        <f t="shared" si="51"/>
        <v>0</v>
      </c>
      <c r="Q57" s="92">
        <f t="shared" si="51"/>
        <v>0</v>
      </c>
      <c r="R57" s="92">
        <f t="shared" si="51"/>
        <v>0</v>
      </c>
      <c r="S57" s="92">
        <f t="shared" si="51"/>
        <v>0</v>
      </c>
      <c r="T57" s="92">
        <f t="shared" si="51"/>
        <v>0</v>
      </c>
    </row>
    <row r="58" spans="2:20" ht="10.15" x14ac:dyDescent="0.2">
      <c r="B58" s="61"/>
      <c r="C58" s="45"/>
      <c r="D58" s="45"/>
      <c r="E58" s="45"/>
      <c r="F58" s="45"/>
      <c r="G58" s="45"/>
      <c r="H58" s="45"/>
      <c r="I58" s="45"/>
      <c r="J58" s="45"/>
      <c r="K58" s="45"/>
      <c r="L58" s="45"/>
      <c r="M58" s="45"/>
      <c r="N58" s="45"/>
      <c r="O58" s="45"/>
      <c r="P58" s="45"/>
      <c r="Q58" s="45"/>
      <c r="R58" s="45"/>
      <c r="S58" s="45"/>
      <c r="T58" s="45"/>
    </row>
    <row r="59" spans="2:20" ht="10.15" x14ac:dyDescent="0.2">
      <c r="B59" s="34" t="s">
        <v>62</v>
      </c>
      <c r="C59" s="45"/>
      <c r="D59" s="54"/>
      <c r="E59" s="45"/>
      <c r="F59" s="45"/>
      <c r="G59" s="45"/>
      <c r="H59" s="45"/>
      <c r="I59" s="45"/>
      <c r="J59" s="45">
        <f t="shared" ref="J59:T59" si="52">J50+(J56-I56)+J52</f>
        <v>241.59355198329749</v>
      </c>
      <c r="K59" s="45">
        <f t="shared" si="52"/>
        <v>20.673559860852809</v>
      </c>
      <c r="L59" s="45">
        <f t="shared" si="52"/>
        <v>30.69312917026468</v>
      </c>
      <c r="M59" s="45">
        <f t="shared" si="52"/>
        <v>40.191703616678119</v>
      </c>
      <c r="N59" s="45">
        <f t="shared" si="52"/>
        <v>50.42705614190703</v>
      </c>
      <c r="O59" s="45">
        <f t="shared" si="52"/>
        <v>61.575448414013785</v>
      </c>
      <c r="P59" s="45">
        <f t="shared" si="52"/>
        <v>73.866950201206109</v>
      </c>
      <c r="Q59" s="45">
        <f t="shared" si="52"/>
        <v>87.418699483780003</v>
      </c>
      <c r="R59" s="45">
        <f t="shared" si="52"/>
        <v>102.35983074293992</v>
      </c>
      <c r="S59" s="45">
        <f t="shared" si="52"/>
        <v>118.8327028811773</v>
      </c>
      <c r="T59" s="45">
        <f t="shared" si="52"/>
        <v>136.99425276171604</v>
      </c>
    </row>
    <row r="60" spans="2:20" x14ac:dyDescent="0.2">
      <c r="C60" s="45"/>
      <c r="D60" s="45"/>
      <c r="E60" s="45"/>
      <c r="F60" s="45"/>
      <c r="G60" s="45"/>
      <c r="H60" s="45"/>
      <c r="I60" s="45"/>
      <c r="J60" s="45"/>
      <c r="K60" s="45"/>
      <c r="L60" s="45"/>
      <c r="M60" s="45"/>
      <c r="N60" s="45"/>
      <c r="O60" s="45"/>
      <c r="P60" s="45"/>
      <c r="Q60" s="45"/>
      <c r="R60" s="45"/>
      <c r="S60" s="45"/>
      <c r="T60" s="45"/>
    </row>
    <row r="61" spans="2:20" x14ac:dyDescent="0.2">
      <c r="B61" s="34" t="s">
        <v>63</v>
      </c>
      <c r="C61" s="45"/>
      <c r="D61" s="45"/>
      <c r="E61" s="45"/>
      <c r="F61" s="45"/>
      <c r="G61" s="45"/>
      <c r="H61" s="45"/>
      <c r="I61" s="45"/>
      <c r="J61" s="45">
        <f t="shared" ref="J61:T61" si="53">I61+J59</f>
        <v>241.59355198329749</v>
      </c>
      <c r="K61" s="45">
        <f t="shared" si="53"/>
        <v>262.26711184415029</v>
      </c>
      <c r="L61" s="45">
        <f t="shared" si="53"/>
        <v>292.96024101441498</v>
      </c>
      <c r="M61" s="45">
        <f t="shared" si="53"/>
        <v>333.1519446310931</v>
      </c>
      <c r="N61" s="45">
        <f t="shared" si="53"/>
        <v>383.57900077300013</v>
      </c>
      <c r="O61" s="45">
        <f t="shared" si="53"/>
        <v>445.15444918701394</v>
      </c>
      <c r="P61" s="45">
        <f t="shared" si="53"/>
        <v>519.02139938822006</v>
      </c>
      <c r="Q61" s="45">
        <f t="shared" si="53"/>
        <v>606.44009887200002</v>
      </c>
      <c r="R61" s="45">
        <f t="shared" si="53"/>
        <v>708.79992961493997</v>
      </c>
      <c r="S61" s="45">
        <f t="shared" si="53"/>
        <v>827.63263249611725</v>
      </c>
      <c r="T61" s="45">
        <f t="shared" si="53"/>
        <v>964.62688525783324</v>
      </c>
    </row>
    <row r="62" spans="2:20" s="55" customFormat="1" x14ac:dyDescent="0.2">
      <c r="B62" s="49" t="s">
        <v>64</v>
      </c>
      <c r="C62" s="52"/>
      <c r="D62" s="62"/>
      <c r="E62" s="62"/>
      <c r="F62" s="62"/>
      <c r="G62" s="62"/>
      <c r="H62" s="62"/>
      <c r="I62" s="62"/>
      <c r="J62" s="62">
        <f t="shared" ref="J62:R62" si="54">J61/$D$85</f>
        <v>0.10333162584240564</v>
      </c>
      <c r="K62" s="62">
        <f t="shared" si="54"/>
        <v>0.11217388398561927</v>
      </c>
      <c r="L62" s="62">
        <f t="shared" si="54"/>
        <v>0.12530159750826197</v>
      </c>
      <c r="M62" s="62">
        <f t="shared" si="54"/>
        <v>0.1424919324571623</v>
      </c>
      <c r="N62" s="93">
        <f t="shared" si="54"/>
        <v>0.16406001511008741</v>
      </c>
      <c r="O62" s="62">
        <f t="shared" si="54"/>
        <v>0.1903963603658379</v>
      </c>
      <c r="P62" s="62">
        <f t="shared" si="54"/>
        <v>0.22198988592830129</v>
      </c>
      <c r="Q62" s="62">
        <f t="shared" si="54"/>
        <v>0.2593796104161144</v>
      </c>
      <c r="R62" s="62">
        <f t="shared" si="54"/>
        <v>0.30315978436857438</v>
      </c>
      <c r="S62" s="62">
        <f t="shared" ref="S62:T62" si="55">S61/$D$85</f>
        <v>0.3539855464435841</v>
      </c>
      <c r="T62" s="62">
        <f t="shared" si="55"/>
        <v>0.41257915853598071</v>
      </c>
    </row>
    <row r="63" spans="2:20" x14ac:dyDescent="0.2">
      <c r="C63" s="45"/>
      <c r="D63" s="45"/>
      <c r="E63" s="45"/>
      <c r="F63" s="45"/>
      <c r="G63" s="45"/>
      <c r="H63" s="45"/>
      <c r="I63" s="45"/>
      <c r="J63" s="45"/>
      <c r="K63" s="45"/>
      <c r="L63" s="45"/>
      <c r="M63" s="45"/>
      <c r="N63" s="45"/>
      <c r="O63" s="45"/>
      <c r="P63" s="45"/>
      <c r="Q63" s="45"/>
      <c r="R63" s="45"/>
      <c r="S63" s="45"/>
      <c r="T63" s="45"/>
    </row>
    <row r="64" spans="2:20" x14ac:dyDescent="0.2">
      <c r="B64" s="63" t="s">
        <v>65</v>
      </c>
      <c r="C64" s="45"/>
      <c r="D64" s="45"/>
      <c r="E64" s="45"/>
      <c r="F64" s="45"/>
      <c r="G64" s="45"/>
      <c r="H64" s="45"/>
      <c r="I64" s="45"/>
      <c r="J64" s="45"/>
      <c r="K64" s="45"/>
      <c r="L64" s="45"/>
      <c r="M64" s="45"/>
      <c r="N64" s="45"/>
      <c r="O64" s="45"/>
      <c r="P64" s="45"/>
      <c r="Q64" s="45"/>
      <c r="R64" s="45"/>
      <c r="S64" s="45"/>
      <c r="T64" s="45"/>
    </row>
    <row r="65" spans="2:27" x14ac:dyDescent="0.2">
      <c r="B65" s="58" t="s">
        <v>81</v>
      </c>
      <c r="C65" s="45"/>
      <c r="D65" s="64">
        <f>+$D$87/D7</f>
        <v>22.869738570606565</v>
      </c>
      <c r="E65" s="64">
        <f>+$D$87/E7</f>
        <v>16.868938938938939</v>
      </c>
      <c r="F65" s="64">
        <f>+$D$87/F7</f>
        <v>11.204774176733101</v>
      </c>
      <c r="G65" s="64">
        <f>+$D$87/G7</f>
        <v>8.2830366551848886</v>
      </c>
      <c r="H65" s="64">
        <f>+$D$87/H7</f>
        <v>6.8465385552937352</v>
      </c>
      <c r="I65" s="64">
        <f>+($D$85+$H$56-I61+I56-$H56)/I7</f>
        <v>5.8035021897673555</v>
      </c>
      <c r="J65" s="64">
        <f t="shared" ref="J65:S65" si="56">+($D$85+$H$56-J61+J56-$H56)/J7</f>
        <v>4.9779636702710972</v>
      </c>
      <c r="K65" s="64">
        <f t="shared" si="56"/>
        <v>4.3235743837101142</v>
      </c>
      <c r="L65" s="64">
        <f t="shared" si="56"/>
        <v>3.8032539921607684</v>
      </c>
      <c r="M65" s="64">
        <f t="shared" si="56"/>
        <v>3.389553756110153</v>
      </c>
      <c r="N65" s="64">
        <f t="shared" si="56"/>
        <v>3.0039086754181357</v>
      </c>
      <c r="O65" s="64">
        <f t="shared" si="56"/>
        <v>2.6447912102287532</v>
      </c>
      <c r="P65" s="64">
        <f t="shared" si="56"/>
        <v>2.3105293980596429</v>
      </c>
      <c r="Q65" s="64">
        <f t="shared" si="56"/>
        <v>1.9995360331152958</v>
      </c>
      <c r="R65" s="64">
        <f t="shared" si="56"/>
        <v>1.7103070738521102</v>
      </c>
      <c r="S65" s="64">
        <f t="shared" si="56"/>
        <v>1.4414196396085897</v>
      </c>
      <c r="T65" s="64">
        <f t="shared" ref="T65" si="57">+($D$85+$H$56-T61+T56-$H56)/T7</f>
        <v>1.191529684176722</v>
      </c>
    </row>
    <row r="66" spans="2:27" x14ac:dyDescent="0.2">
      <c r="B66" s="66" t="s">
        <v>322</v>
      </c>
      <c r="C66" s="45"/>
      <c r="D66" s="64">
        <f>+$D$87/D10</f>
        <v>30.275500158095948</v>
      </c>
      <c r="E66" s="64">
        <f t="shared" ref="E66:G66" si="58">+$D$87/E10</f>
        <v>22.166309769340852</v>
      </c>
      <c r="F66" s="64">
        <f t="shared" si="58"/>
        <v>14.395604113988927</v>
      </c>
      <c r="G66" s="64">
        <f t="shared" si="58"/>
        <v>10.141243855823067</v>
      </c>
      <c r="H66" s="64">
        <f t="shared" ref="H66" si="59">+$D$87/H10</f>
        <v>8.1715722404329174</v>
      </c>
      <c r="I66" s="64">
        <f>+($D$85+$H$56-I61+I56-$H56)/I10</f>
        <v>6.9266735311855667</v>
      </c>
      <c r="J66" s="64">
        <f t="shared" ref="J66:S66" si="60">+($D$85+$H$56-J61+J56-$H56)/J10</f>
        <v>5.9413657592593045</v>
      </c>
      <c r="K66" s="64">
        <f t="shared" si="60"/>
        <v>5.1603303082336422</v>
      </c>
      <c r="L66" s="64">
        <f t="shared" si="60"/>
        <v>4.5393105573949777</v>
      </c>
      <c r="M66" s="64">
        <f t="shared" si="60"/>
        <v>4.0455455201473765</v>
      </c>
      <c r="N66" s="64">
        <f t="shared" si="60"/>
        <v>3.5852652470441444</v>
      </c>
      <c r="O66" s="64">
        <f t="shared" si="60"/>
        <v>3.1566465682919165</v>
      </c>
      <c r="P66" s="64">
        <f t="shared" si="60"/>
        <v>2.7576939408732111</v>
      </c>
      <c r="Q66" s="64">
        <f t="shared" si="60"/>
        <v>2.3865129817047102</v>
      </c>
      <c r="R66" s="64">
        <f t="shared" si="60"/>
        <v>2.0413085670130071</v>
      </c>
      <c r="S66" s="64">
        <f t="shared" si="60"/>
        <v>1.7203824412458941</v>
      </c>
      <c r="T66" s="64">
        <f t="shared" ref="T66" si="61">+($D$85+$H$56-T61+T56-$H56)/T10</f>
        <v>1.4221304404021682</v>
      </c>
    </row>
    <row r="67" spans="2:27" x14ac:dyDescent="0.2">
      <c r="B67" s="66" t="s">
        <v>82</v>
      </c>
      <c r="C67" s="45"/>
      <c r="D67" s="64">
        <f ca="1">+$D$87/D24</f>
        <v>-312.4456763571643</v>
      </c>
      <c r="E67" s="64">
        <f t="shared" ref="E67:F67" si="62">+$D$87/E24</f>
        <v>-451.94352070371167</v>
      </c>
      <c r="F67" s="64">
        <f t="shared" si="62"/>
        <v>2021.6014875239384</v>
      </c>
      <c r="G67" s="64">
        <f t="shared" ref="G67:H67" si="63">+$D$87/G24</f>
        <v>-114.11824855084249</v>
      </c>
      <c r="H67" s="64">
        <f t="shared" si="63"/>
        <v>2676.6311944089825</v>
      </c>
      <c r="I67" s="64">
        <f>+($D$85+$H$56-I61+I56-$H56)/I24</f>
        <v>148.41975489858194</v>
      </c>
      <c r="J67" s="64">
        <f t="shared" ref="J67:S67" si="64">+($D$85+$H$56-J61+J56-$H56)/J24</f>
        <v>74.181641374715596</v>
      </c>
      <c r="K67" s="64">
        <f t="shared" si="64"/>
        <v>48.799536374702129</v>
      </c>
      <c r="L67" s="64">
        <f t="shared" si="64"/>
        <v>36.20495964746042</v>
      </c>
      <c r="M67" s="64">
        <f t="shared" si="64"/>
        <v>28.844962280919905</v>
      </c>
      <c r="N67" s="64">
        <f t="shared" si="64"/>
        <v>23.315387931805443</v>
      </c>
      <c r="O67" s="64">
        <f t="shared" si="64"/>
        <v>19.008567049449098</v>
      </c>
      <c r="P67" s="64">
        <f t="shared" si="64"/>
        <v>15.559191874768295</v>
      </c>
      <c r="Q67" s="64">
        <f t="shared" si="64"/>
        <v>12.735030445318699</v>
      </c>
      <c r="R67" s="64">
        <f t="shared" si="64"/>
        <v>10.381332578472914</v>
      </c>
      <c r="S67" s="64">
        <f t="shared" si="64"/>
        <v>8.3909566326173373</v>
      </c>
      <c r="T67" s="64">
        <f t="shared" ref="T67" si="65">+($D$85+$H$56-T61+T56-$H56)/T24</f>
        <v>6.6873281568202012</v>
      </c>
    </row>
    <row r="68" spans="2:27" x14ac:dyDescent="0.2">
      <c r="B68" s="66" t="s">
        <v>83</v>
      </c>
      <c r="C68" s="45"/>
      <c r="D68" s="64">
        <f ca="1">+$D$87/D31</f>
        <v>-266.4780202403544</v>
      </c>
      <c r="E68" s="64">
        <f t="shared" ref="E68:F68" si="66">+$D$87/E31</f>
        <v>-261.35344292803973</v>
      </c>
      <c r="F68" s="64">
        <f t="shared" si="66"/>
        <v>-512.03421244531216</v>
      </c>
      <c r="G68" s="64">
        <f t="shared" ref="G68:H68" si="67">+$D$87/G31</f>
        <v>-79.541923120492442</v>
      </c>
      <c r="H68" s="64">
        <f t="shared" si="67"/>
        <v>-224.40702567380538</v>
      </c>
      <c r="I68" s="64">
        <f>+($D$85+$H$56-I61+I56-$H56)/I31</f>
        <v>888.12000475527373</v>
      </c>
      <c r="J68" s="64">
        <f t="shared" ref="J68:S68" si="68">+($D$85+$H$56-J61+J56-$H56)/J31</f>
        <v>142.07448950121758</v>
      </c>
      <c r="K68" s="64">
        <f t="shared" si="68"/>
        <v>75.810529702569184</v>
      </c>
      <c r="L68" s="64">
        <f t="shared" si="68"/>
        <v>51.408862352446498</v>
      </c>
      <c r="M68" s="64">
        <f t="shared" si="68"/>
        <v>38.986368067553094</v>
      </c>
      <c r="N68" s="64">
        <f t="shared" si="68"/>
        <v>30.412962099104476</v>
      </c>
      <c r="O68" s="64">
        <f t="shared" si="68"/>
        <v>24.138036918200687</v>
      </c>
      <c r="P68" s="64">
        <f t="shared" si="68"/>
        <v>19.345989277748455</v>
      </c>
      <c r="Q68" s="64">
        <f t="shared" si="68"/>
        <v>15.56745603106879</v>
      </c>
      <c r="R68" s="64">
        <f t="shared" si="68"/>
        <v>12.513133562011976</v>
      </c>
      <c r="S68" s="64">
        <f t="shared" si="68"/>
        <v>9.9949248249916511</v>
      </c>
      <c r="T68" s="64">
        <f t="shared" ref="T68" si="69">+($D$85+$H$56-T61+T56-$H56)/T31</f>
        <v>7.8851870733625633</v>
      </c>
    </row>
    <row r="69" spans="2:27" x14ac:dyDescent="0.2">
      <c r="B69" s="58" t="s">
        <v>84</v>
      </c>
      <c r="C69" s="45"/>
      <c r="D69" s="64">
        <f ca="1">($D$85)/(D24-D42-D35-D38)</f>
        <v>-240.98544114615558</v>
      </c>
      <c r="E69" s="64">
        <f t="shared" ref="E69:F69" si="70">($D$85)/(E24-E42-E35-E38)</f>
        <v>-367.26998900408421</v>
      </c>
      <c r="F69" s="64">
        <f t="shared" si="70"/>
        <v>-838.60859038738272</v>
      </c>
      <c r="G69" s="64">
        <f t="shared" ref="G69:H69" si="71">($D$85)/(G24-G42-G35-G38)</f>
        <v>-118.24410812724432</v>
      </c>
      <c r="H69" s="64">
        <f t="shared" si="71"/>
        <v>343.45424778513865</v>
      </c>
      <c r="I69" s="64">
        <f t="shared" ref="I69" si="72">($D$85-I$61)/(I24-I42-I35-I38)</f>
        <v>370.0062090406048</v>
      </c>
      <c r="J69" s="64">
        <f t="shared" ref="J69:S69" si="73">($D$85-J$61)/(J24-J42-J35-J38)</f>
        <v>132.56099874965614</v>
      </c>
      <c r="K69" s="64">
        <f t="shared" si="73"/>
        <v>82.264160847133084</v>
      </c>
      <c r="L69" s="64">
        <f t="shared" si="73"/>
        <v>59.821159182968451</v>
      </c>
      <c r="M69" s="64">
        <f t="shared" si="73"/>
        <v>47.441736068251338</v>
      </c>
      <c r="N69" s="64">
        <f t="shared" si="73"/>
        <v>37.547060813102583</v>
      </c>
      <c r="O69" s="64">
        <f t="shared" si="73"/>
        <v>29.87288012903873</v>
      </c>
      <c r="P69" s="64">
        <f t="shared" si="73"/>
        <v>23.986498545917019</v>
      </c>
      <c r="Q69" s="64">
        <f t="shared" si="73"/>
        <v>19.329415976142418</v>
      </c>
      <c r="R69" s="64">
        <f t="shared" si="73"/>
        <v>15.554898496056172</v>
      </c>
      <c r="S69" s="64">
        <f t="shared" si="73"/>
        <v>12.436219106876568</v>
      </c>
      <c r="T69" s="64">
        <f t="shared" ref="T69" si="74">($D$85-T$61)/(T24-T42-T35-T38)</f>
        <v>9.8188046783542298</v>
      </c>
    </row>
    <row r="70" spans="2:27" x14ac:dyDescent="0.2">
      <c r="B70" s="66" t="s">
        <v>66</v>
      </c>
      <c r="C70" s="45"/>
      <c r="D70" s="64">
        <f ca="1">($D$85)/D45</f>
        <v>-249.12527970165172</v>
      </c>
      <c r="E70" s="64">
        <f t="shared" ref="E70:F70" si="75">($D$85)/E45</f>
        <v>-280.00488023952107</v>
      </c>
      <c r="F70" s="64">
        <f t="shared" si="75"/>
        <v>-504.32285375323858</v>
      </c>
      <c r="G70" s="64">
        <f t="shared" ref="G70:H70" si="76">($D$85)/G45</f>
        <v>-101.53475268163469</v>
      </c>
      <c r="H70" s="64">
        <f t="shared" si="76"/>
        <v>2094.2116836701966</v>
      </c>
      <c r="I70" s="64">
        <f t="shared" ref="I70" si="77">($D$85-I$61)/I45</f>
        <v>3375.1963467790911</v>
      </c>
      <c r="J70" s="64">
        <f t="shared" ref="J70:S70" si="78">($D$85-J$61)/J45</f>
        <v>198.67780918798178</v>
      </c>
      <c r="K70" s="64">
        <f t="shared" si="78"/>
        <v>100.40716993721573</v>
      </c>
      <c r="L70" s="64">
        <f t="shared" si="78"/>
        <v>66.629912435479113</v>
      </c>
      <c r="M70" s="64">
        <f t="shared" si="78"/>
        <v>49.883150624571932</v>
      </c>
      <c r="N70" s="64">
        <f t="shared" si="78"/>
        <v>38.758196467526069</v>
      </c>
      <c r="O70" s="64">
        <f t="shared" si="78"/>
        <v>30.740925962663219</v>
      </c>
      <c r="P70" s="64">
        <f t="shared" si="78"/>
        <v>24.625618705753453</v>
      </c>
      <c r="Q70" s="64">
        <f t="shared" si="78"/>
        <v>19.808126423217814</v>
      </c>
      <c r="R70" s="64">
        <f t="shared" si="78"/>
        <v>15.916798694955189</v>
      </c>
      <c r="S70" s="64">
        <f t="shared" si="78"/>
        <v>12.710374172117955</v>
      </c>
      <c r="T70" s="64">
        <f t="shared" ref="T70" si="79">($D$85-T$61)/T45</f>
        <v>10.025339290189381</v>
      </c>
      <c r="V70" s="65"/>
      <c r="W70" s="65"/>
      <c r="X70" s="65"/>
      <c r="Y70" s="65"/>
      <c r="Z70" s="65"/>
      <c r="AA70" s="65"/>
    </row>
    <row r="71" spans="2:27" x14ac:dyDescent="0.2">
      <c r="B71" s="58"/>
      <c r="C71" s="45"/>
      <c r="D71" s="64"/>
      <c r="E71" s="64"/>
      <c r="F71" s="64"/>
      <c r="G71" s="64"/>
      <c r="H71" s="64"/>
      <c r="I71" s="64"/>
      <c r="J71" s="64"/>
      <c r="K71" s="64"/>
      <c r="L71" s="64"/>
      <c r="M71" s="64"/>
      <c r="N71" s="64"/>
      <c r="O71" s="64"/>
      <c r="P71" s="64"/>
      <c r="Q71" s="64"/>
      <c r="R71" s="64"/>
      <c r="S71" s="64"/>
      <c r="T71" s="64"/>
      <c r="V71" s="65"/>
      <c r="W71" s="65"/>
      <c r="X71" s="65"/>
      <c r="Y71" s="65"/>
      <c r="Z71" s="65"/>
      <c r="AA71" s="65"/>
    </row>
    <row r="72" spans="2:27" x14ac:dyDescent="0.2">
      <c r="B72" s="66" t="s">
        <v>321</v>
      </c>
      <c r="C72" s="45"/>
      <c r="D72" s="94">
        <f>+$D$87/(D7*0.35*(1-D39))</f>
        <v>82.711531900927909</v>
      </c>
      <c r="E72" s="94">
        <f>+$D$87/(E7*0.35*(1-E39))</f>
        <v>61.008820755656195</v>
      </c>
      <c r="F72" s="94">
        <f>+$D$87/(F7*0.35*(1-F39))</f>
        <v>40.523595575888258</v>
      </c>
      <c r="G72" s="94">
        <f>+$D$87/(G7*0.35*(1-G39))</f>
        <v>29.956732930144259</v>
      </c>
      <c r="H72" s="94">
        <f>+($D$85+$H$56)/(H7*0.35*(1-H39))</f>
        <v>24.67872339518917</v>
      </c>
      <c r="I72" s="64">
        <f t="shared" ref="I72:S72" si="80">+($D$85+$H$56-I61+I56-$H56)/(I7*0.35*(1-I39))</f>
        <v>20.989158010008524</v>
      </c>
      <c r="J72" s="64">
        <f t="shared" si="80"/>
        <v>18.003485245103427</v>
      </c>
      <c r="K72" s="64">
        <f t="shared" si="80"/>
        <v>15.636797047776183</v>
      </c>
      <c r="L72" s="64">
        <f t="shared" si="80"/>
        <v>13.7549873134205</v>
      </c>
      <c r="M72" s="64">
        <f t="shared" si="80"/>
        <v>12.258783928065652</v>
      </c>
      <c r="N72" s="64">
        <f t="shared" si="80"/>
        <v>10.864045842380238</v>
      </c>
      <c r="O72" s="64">
        <f t="shared" si="80"/>
        <v>9.5652484999231593</v>
      </c>
      <c r="P72" s="64">
        <f t="shared" si="80"/>
        <v>8.3563450201072094</v>
      </c>
      <c r="Q72" s="64">
        <f t="shared" si="80"/>
        <v>7.2315950564748501</v>
      </c>
      <c r="R72" s="64">
        <f t="shared" si="80"/>
        <v>6.1855590374398215</v>
      </c>
      <c r="S72" s="64">
        <f t="shared" si="80"/>
        <v>5.2130909208267253</v>
      </c>
      <c r="T72" s="64">
        <f t="shared" ref="T72" si="81">+($D$85+$H$56-T61+T56-$H56)/(T7*0.35*(1-T39))</f>
        <v>4.3093297800243109</v>
      </c>
      <c r="V72" s="65"/>
      <c r="W72" s="65"/>
      <c r="X72" s="65"/>
      <c r="Y72" s="65"/>
      <c r="Z72" s="65"/>
      <c r="AA72" s="65"/>
    </row>
    <row r="73" spans="2:27" x14ac:dyDescent="0.2">
      <c r="B73" s="58" t="s">
        <v>85</v>
      </c>
      <c r="C73" s="45"/>
      <c r="D73" s="94">
        <f>+$D$87/(D7*0.45*(1-D39))</f>
        <v>64.331191478499463</v>
      </c>
      <c r="E73" s="94">
        <f>+$D$87/(E7*0.45*(1-E39))</f>
        <v>47.451305032177039</v>
      </c>
      <c r="F73" s="94">
        <f>+$D$87/(F7*0.45*(1-F39))</f>
        <v>31.518352114579745</v>
      </c>
      <c r="G73" s="94">
        <f>+$D$87/(G7*0.45*(1-G39))</f>
        <v>23.299681167889979</v>
      </c>
      <c r="H73" s="94">
        <f>+($D$85+$H$56)/(H7*0.45*(1-H39))</f>
        <v>19.194562640702689</v>
      </c>
      <c r="I73" s="64">
        <f>+($D$85+$H$56-I61+I56-$H56)/(I7*0.45*(1-I39))</f>
        <v>16.324900674451069</v>
      </c>
      <c r="J73" s="64">
        <f t="shared" ref="J73:S73" si="82">+($D$85+$H$56-J61+J56-$H56)/(J7*0.45*(1-J39))</f>
        <v>14.002710746191552</v>
      </c>
      <c r="K73" s="64">
        <f t="shared" si="82"/>
        <v>12.161953259381473</v>
      </c>
      <c r="L73" s="64">
        <f t="shared" si="82"/>
        <v>10.698323465993722</v>
      </c>
      <c r="M73" s="64">
        <f t="shared" si="82"/>
        <v>9.5346097218288417</v>
      </c>
      <c r="N73" s="64">
        <f t="shared" si="82"/>
        <v>8.4498134329624062</v>
      </c>
      <c r="O73" s="64">
        <f t="shared" si="82"/>
        <v>7.4396377221624563</v>
      </c>
      <c r="P73" s="64">
        <f t="shared" si="82"/>
        <v>6.4993794600833841</v>
      </c>
      <c r="Q73" s="64">
        <f t="shared" si="82"/>
        <v>5.6245739328137709</v>
      </c>
      <c r="R73" s="64">
        <f t="shared" si="82"/>
        <v>4.8109903624531931</v>
      </c>
      <c r="S73" s="64">
        <f t="shared" si="82"/>
        <v>4.0546262717541195</v>
      </c>
      <c r="T73" s="64">
        <f t="shared" ref="T73" si="83">+($D$85+$H$56-T61+T56-$H56)/(T7*0.45*(1-T39))</f>
        <v>3.3517009400189082</v>
      </c>
      <c r="V73" s="65"/>
      <c r="W73" s="65"/>
      <c r="X73" s="65"/>
      <c r="Y73" s="65"/>
      <c r="Z73" s="65"/>
      <c r="AA73" s="65"/>
    </row>
    <row r="74" spans="2:27" x14ac:dyDescent="0.2">
      <c r="C74" s="45"/>
      <c r="D74" s="45"/>
      <c r="E74" s="45"/>
      <c r="F74" s="45"/>
      <c r="G74" s="45"/>
      <c r="H74" s="45"/>
      <c r="I74" s="45"/>
      <c r="J74" s="45"/>
      <c r="K74" s="45"/>
      <c r="L74" s="45"/>
    </row>
    <row r="75" spans="2:27" x14ac:dyDescent="0.2">
      <c r="B75" s="63" t="s">
        <v>67</v>
      </c>
      <c r="C75" s="45"/>
      <c r="D75" s="45"/>
      <c r="E75" s="45"/>
      <c r="F75" s="45"/>
      <c r="G75" s="45"/>
      <c r="H75" s="45"/>
      <c r="I75" s="45"/>
      <c r="J75" s="45"/>
      <c r="K75" s="45"/>
      <c r="L75" s="45"/>
    </row>
    <row r="76" spans="2:27" ht="13.5" x14ac:dyDescent="0.35">
      <c r="B76" s="34" t="s">
        <v>68</v>
      </c>
      <c r="C76" s="45"/>
      <c r="D76" s="45"/>
      <c r="E76" s="45"/>
      <c r="F76" s="45"/>
      <c r="G76" s="45"/>
      <c r="H76" s="45"/>
      <c r="I76" s="45"/>
      <c r="J76" s="45"/>
      <c r="K76" s="67"/>
      <c r="L76" s="67"/>
      <c r="M76" s="67"/>
      <c r="N76" s="67"/>
      <c r="O76" s="67"/>
      <c r="P76" s="67"/>
      <c r="Q76" s="67"/>
      <c r="R76" s="67"/>
      <c r="S76" s="67">
        <v>15</v>
      </c>
    </row>
    <row r="77" spans="2:27" x14ac:dyDescent="0.2">
      <c r="B77" s="34" t="s">
        <v>69</v>
      </c>
      <c r="C77" s="45"/>
      <c r="D77" s="45"/>
      <c r="E77" s="45"/>
      <c r="F77" s="45"/>
      <c r="G77" s="45"/>
      <c r="H77" s="45"/>
      <c r="I77" s="45"/>
      <c r="J77" s="45"/>
      <c r="K77" s="45"/>
      <c r="L77" s="45"/>
      <c r="M77" s="45"/>
      <c r="N77" s="45"/>
      <c r="O77" s="45"/>
      <c r="P77" s="45"/>
      <c r="Q77" s="45"/>
      <c r="R77" s="45"/>
      <c r="S77" s="45">
        <f>S76*(T45)</f>
        <v>2054.9137914257408</v>
      </c>
    </row>
    <row r="78" spans="2:27" ht="13.5" x14ac:dyDescent="0.35">
      <c r="C78" s="45"/>
      <c r="D78" s="45"/>
      <c r="E78" s="45"/>
      <c r="F78" s="45"/>
      <c r="G78" s="45"/>
      <c r="H78" s="45"/>
      <c r="I78" s="45"/>
      <c r="J78" s="45"/>
      <c r="K78" s="45"/>
      <c r="L78" s="45"/>
      <c r="M78" s="68"/>
      <c r="N78" s="68"/>
      <c r="O78" s="68"/>
      <c r="P78" s="68"/>
      <c r="Q78" s="68"/>
      <c r="R78" s="68"/>
      <c r="S78" s="68"/>
      <c r="T78" s="68" t="s">
        <v>25</v>
      </c>
    </row>
    <row r="79" spans="2:27" x14ac:dyDescent="0.2">
      <c r="B79" s="34" t="s">
        <v>70</v>
      </c>
      <c r="C79" s="45"/>
      <c r="D79" s="45"/>
      <c r="E79" s="45"/>
      <c r="F79" s="45"/>
      <c r="G79" s="45"/>
      <c r="H79" s="45"/>
      <c r="I79" s="45">
        <f>-D85</f>
        <v>-2338.0407500000001</v>
      </c>
      <c r="J79" s="45">
        <f>+J59</f>
        <v>241.59355198329749</v>
      </c>
      <c r="K79" s="45">
        <f t="shared" ref="K79:R79" si="84">K59</f>
        <v>20.673559860852809</v>
      </c>
      <c r="L79" s="45">
        <f t="shared" si="84"/>
        <v>30.69312917026468</v>
      </c>
      <c r="M79" s="45">
        <f t="shared" si="84"/>
        <v>40.191703616678119</v>
      </c>
      <c r="N79" s="45">
        <f t="shared" si="84"/>
        <v>50.42705614190703</v>
      </c>
      <c r="O79" s="45">
        <f t="shared" si="84"/>
        <v>61.575448414013785</v>
      </c>
      <c r="P79" s="45">
        <f t="shared" si="84"/>
        <v>73.866950201206109</v>
      </c>
      <c r="Q79" s="45">
        <f t="shared" si="84"/>
        <v>87.418699483780003</v>
      </c>
      <c r="R79" s="45">
        <f t="shared" si="84"/>
        <v>102.35983074293992</v>
      </c>
      <c r="S79" s="45">
        <f>S77+S59</f>
        <v>2173.7464943069181</v>
      </c>
      <c r="T79" s="45">
        <f>+SUM(J79:S79)</f>
        <v>2882.5464239218581</v>
      </c>
    </row>
    <row r="80" spans="2:27" x14ac:dyDescent="0.2">
      <c r="C80" s="45"/>
      <c r="D80" s="45"/>
      <c r="E80" s="45"/>
      <c r="F80" s="45"/>
      <c r="G80" s="45"/>
      <c r="H80" s="45"/>
      <c r="I80" s="45"/>
      <c r="J80" s="45"/>
      <c r="L80" s="69"/>
      <c r="M80" s="69"/>
      <c r="N80" s="69"/>
      <c r="O80" s="69"/>
      <c r="P80" s="69"/>
      <c r="Q80" s="69"/>
      <c r="R80" s="69"/>
      <c r="S80" s="69" t="s">
        <v>71</v>
      </c>
      <c r="T80" s="64">
        <f>+T79/-I79</f>
        <v>1.2328897278295334</v>
      </c>
    </row>
    <row r="81" spans="2:29" x14ac:dyDescent="0.2">
      <c r="B81" s="70" t="s">
        <v>72</v>
      </c>
      <c r="C81" s="71"/>
      <c r="D81" s="71"/>
      <c r="E81" s="72">
        <f ca="1">XIRR(I79:S79,I6:S6)</f>
        <v>2.584522664546967E-2</v>
      </c>
      <c r="F81" s="45"/>
      <c r="G81" s="45"/>
      <c r="H81" s="45"/>
      <c r="I81" s="45"/>
      <c r="J81" s="45"/>
      <c r="K81" s="45"/>
      <c r="L81" s="45"/>
    </row>
    <row r="82" spans="2:29" x14ac:dyDescent="0.2">
      <c r="C82" s="45"/>
      <c r="D82" s="45"/>
      <c r="E82" s="45"/>
      <c r="F82" s="45"/>
      <c r="G82" s="45"/>
      <c r="H82" s="45"/>
      <c r="I82" s="45"/>
      <c r="J82" s="45"/>
      <c r="K82" s="45"/>
      <c r="L82" s="45"/>
    </row>
    <row r="83" spans="2:29" x14ac:dyDescent="0.2">
      <c r="B83" s="73" t="s">
        <v>73</v>
      </c>
      <c r="C83" s="40"/>
      <c r="D83" s="40"/>
      <c r="E83" s="74"/>
      <c r="F83" s="45"/>
      <c r="G83" s="45"/>
      <c r="H83" s="45"/>
      <c r="I83" s="45"/>
      <c r="J83" s="45"/>
      <c r="K83" s="45"/>
      <c r="L83" s="45"/>
    </row>
    <row r="84" spans="2:29" ht="13.5" x14ac:dyDescent="0.35">
      <c r="C84" s="45"/>
      <c r="D84" s="68" t="s">
        <v>74</v>
      </c>
      <c r="E84" s="68" t="s">
        <v>318</v>
      </c>
      <c r="F84" s="45"/>
      <c r="G84" s="45"/>
      <c r="H84" s="45"/>
      <c r="I84" s="45"/>
      <c r="J84" s="45"/>
      <c r="K84" s="45"/>
      <c r="L84" s="45"/>
    </row>
    <row r="85" spans="2:29" x14ac:dyDescent="0.2">
      <c r="B85" s="44" t="s">
        <v>86</v>
      </c>
      <c r="C85" s="45"/>
      <c r="D85" s="45">
        <f>E85*E$89</f>
        <v>2338.0407500000001</v>
      </c>
      <c r="E85" s="211">
        <f>+'Simple Model - Case 1'!E99</f>
        <v>15.71</v>
      </c>
      <c r="F85" s="45"/>
      <c r="G85" s="45"/>
      <c r="H85" s="45"/>
      <c r="I85" s="45"/>
      <c r="J85" s="45"/>
      <c r="K85" s="45"/>
      <c r="L85" s="45"/>
      <c r="W85" s="77">
        <f>+'Historical Financials'!AR101/'Simple Model - Case 2'!$E$89</f>
        <v>-6.5177221568956847E-2</v>
      </c>
      <c r="X85" s="34">
        <f t="shared" ref="X85:AC85" ca="1" si="85">+$E$85/D70</f>
        <v>-6.3060641693263864E-2</v>
      </c>
      <c r="Y85" s="34">
        <f t="shared" si="85"/>
        <v>-5.6106164958844261E-2</v>
      </c>
      <c r="Z85" s="34">
        <f t="shared" si="85"/>
        <v>-3.1150680329245572E-2</v>
      </c>
      <c r="AA85" s="34">
        <f t="shared" si="85"/>
        <v>-0.15472534856374925</v>
      </c>
      <c r="AB85" s="34">
        <f t="shared" si="85"/>
        <v>7.5016294305394887E-3</v>
      </c>
      <c r="AC85" s="34">
        <f t="shared" si="85"/>
        <v>4.6545440282287171E-3</v>
      </c>
    </row>
    <row r="86" spans="2:29" ht="13.5" x14ac:dyDescent="0.35">
      <c r="B86" s="44" t="s">
        <v>60</v>
      </c>
      <c r="C86" s="45"/>
      <c r="D86" s="166">
        <f>+'Simple Model - Case 1'!D100</f>
        <v>-231.53200000000001</v>
      </c>
      <c r="E86" s="46">
        <f>D86/E$89</f>
        <v>-1.555733243742651</v>
      </c>
      <c r="F86" s="45"/>
      <c r="G86" s="45"/>
      <c r="H86" s="45"/>
      <c r="I86" s="45"/>
      <c r="J86" s="45"/>
      <c r="K86" s="45"/>
      <c r="L86" s="45"/>
    </row>
    <row r="87" spans="2:29" x14ac:dyDescent="0.2">
      <c r="B87" s="57" t="s">
        <v>75</v>
      </c>
      <c r="C87" s="45"/>
      <c r="D87" s="45">
        <f>D85+D86</f>
        <v>2106.50875</v>
      </c>
      <c r="E87" s="77">
        <f>D87/E$89</f>
        <v>14.15426675625735</v>
      </c>
      <c r="F87" s="45"/>
      <c r="G87" s="45"/>
      <c r="H87" s="45"/>
      <c r="I87" s="45"/>
      <c r="J87" s="45"/>
      <c r="K87" s="45"/>
      <c r="L87" s="45"/>
    </row>
    <row r="88" spans="2:29" x14ac:dyDescent="0.2">
      <c r="C88" s="45"/>
      <c r="D88" s="45"/>
      <c r="E88" s="45"/>
      <c r="F88" s="45"/>
      <c r="G88" s="45"/>
      <c r="H88" s="45"/>
      <c r="I88" s="45"/>
      <c r="J88" s="45"/>
      <c r="K88" s="45"/>
      <c r="L88" s="45"/>
    </row>
    <row r="89" spans="2:29" s="55" customFormat="1" x14ac:dyDescent="0.2">
      <c r="B89" s="49" t="s">
        <v>87</v>
      </c>
      <c r="C89" s="52"/>
      <c r="D89" s="52"/>
      <c r="E89" s="212">
        <f>+'Simple Model - Case 1'!E103</f>
        <v>148.82499999999999</v>
      </c>
      <c r="F89" s="52"/>
      <c r="G89" s="52"/>
      <c r="H89" s="52"/>
      <c r="I89" s="52"/>
      <c r="J89" s="52"/>
      <c r="K89" s="52"/>
      <c r="L89" s="52"/>
    </row>
    <row r="90" spans="2:29" s="55" customFormat="1" x14ac:dyDescent="0.2">
      <c r="B90" s="49"/>
      <c r="C90" s="52"/>
      <c r="D90" s="52"/>
      <c r="E90" s="89"/>
      <c r="F90" s="52"/>
      <c r="G90" s="52"/>
      <c r="H90" s="52"/>
      <c r="I90" s="52"/>
      <c r="J90" s="52"/>
      <c r="K90" s="52"/>
      <c r="L90" s="52"/>
    </row>
    <row r="91" spans="2:29" x14ac:dyDescent="0.2">
      <c r="C91" s="45"/>
      <c r="D91" s="45"/>
      <c r="E91" s="45"/>
      <c r="F91" s="45"/>
      <c r="G91" s="45"/>
      <c r="H91" s="45"/>
      <c r="I91" s="45"/>
      <c r="J91" s="45"/>
      <c r="K91" s="45"/>
      <c r="L91" s="45"/>
    </row>
  </sheetData>
  <pageMargins left="0.3" right="0.3" top="0.3" bottom="0.4" header="0.3" footer="0.3"/>
  <pageSetup scale="67" orientation="portrait" r:id="rId1"/>
  <headerFooter>
    <oddFooter>&amp;C&amp;10Page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4DCE-06B4-4226-B2F6-1BFAACC7347B}">
  <dimension ref="A1"/>
  <sheetViews>
    <sheetView workbookViewId="0">
      <selection sqref="A1:A1048576"/>
    </sheetView>
  </sheetViews>
  <sheetFormatPr defaultRowHeight="11.25" x14ac:dyDescent="0.2"/>
  <cols>
    <col min="1" max="1" width="2.83203125"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20CF-7574-4DDB-9917-6BF0C3697B41}">
  <dimension ref="B1:D7"/>
  <sheetViews>
    <sheetView workbookViewId="0">
      <selection activeCell="L25" sqref="L25"/>
    </sheetView>
  </sheetViews>
  <sheetFormatPr defaultRowHeight="11.25" x14ac:dyDescent="0.2"/>
  <cols>
    <col min="3" max="4" width="10.1640625" bestFit="1" customWidth="1"/>
  </cols>
  <sheetData>
    <row r="1" spans="2:4" x14ac:dyDescent="0.2">
      <c r="C1" s="169">
        <v>44197</v>
      </c>
      <c r="D1" s="169">
        <f>+C2+1</f>
        <v>44562</v>
      </c>
    </row>
    <row r="2" spans="2:4" x14ac:dyDescent="0.2">
      <c r="C2" s="169">
        <v>44561</v>
      </c>
      <c r="D2" s="169">
        <v>44926</v>
      </c>
    </row>
    <row r="3" spans="2:4" x14ac:dyDescent="0.2">
      <c r="B3" t="s">
        <v>217</v>
      </c>
      <c r="C3" cm="1">
        <f t="array" ref="C3">_xll.ciqfunctions.udf.CIQAVG("$RUBUSD","IQ_LASTSALEPRICE",C$1,C$2)</f>
        <v>73.695412000000005</v>
      </c>
      <c r="D3">
        <v>104</v>
      </c>
    </row>
    <row r="4" spans="2:4" x14ac:dyDescent="0.2">
      <c r="D4">
        <f>+D3/C3-1</f>
        <v>0.41121403867041262</v>
      </c>
    </row>
    <row r="6" spans="2:4" x14ac:dyDescent="0.2">
      <c r="C6">
        <f>1/C3</f>
        <v>1.3569365756446275E-2</v>
      </c>
      <c r="D6">
        <f>1/D3</f>
        <v>9.6153846153846159E-3</v>
      </c>
    </row>
    <row r="7" spans="2:4" x14ac:dyDescent="0.2">
      <c r="D7">
        <f>+D6/C6-1</f>
        <v>-0.29139026923076916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AB22-393A-4D17-8CD6-3F09D974621C}">
  <dimension ref="A1:K9"/>
  <sheetViews>
    <sheetView zoomScale="175" zoomScaleNormal="175" workbookViewId="0">
      <selection activeCell="L25" sqref="L25"/>
    </sheetView>
  </sheetViews>
  <sheetFormatPr defaultRowHeight="11.25" outlineLevelCol="1" x14ac:dyDescent="0.2"/>
  <cols>
    <col min="2" max="2" width="29.83203125" customWidth="1"/>
    <col min="3" max="3" width="8.1640625" hidden="1" customWidth="1" outlineLevel="1"/>
    <col min="4" max="4" width="8.1640625" customWidth="1" collapsed="1"/>
    <col min="5" max="11" width="8.1640625" customWidth="1"/>
  </cols>
  <sheetData>
    <row r="1" spans="1:11" ht="13.5" x14ac:dyDescent="0.35">
      <c r="C1" s="7" t="s">
        <v>6</v>
      </c>
      <c r="D1" s="7" t="s">
        <v>7</v>
      </c>
      <c r="E1" s="7" t="s">
        <v>8</v>
      </c>
      <c r="F1" s="7" t="s">
        <v>9</v>
      </c>
      <c r="G1" s="7" t="s">
        <v>10</v>
      </c>
      <c r="H1" s="7" t="s">
        <v>187</v>
      </c>
      <c r="I1" s="7" t="s">
        <v>191</v>
      </c>
      <c r="J1" s="7" t="s">
        <v>193</v>
      </c>
      <c r="K1" s="7" t="s">
        <v>201</v>
      </c>
    </row>
    <row r="2" spans="1:11" x14ac:dyDescent="0.2">
      <c r="A2" s="150" t="s">
        <v>236</v>
      </c>
      <c r="B2" t="s">
        <v>239</v>
      </c>
      <c r="C2" s="11">
        <f>+'Historical Financials'!O156</f>
        <v>102.6</v>
      </c>
      <c r="D2" s="11">
        <f>+'Historical Financials'!P156</f>
        <v>109.5</v>
      </c>
      <c r="E2" s="11">
        <f>+'Historical Financials'!Q156</f>
        <v>119</v>
      </c>
      <c r="F2" s="11">
        <f>+'Historical Financials'!R156</f>
        <v>134.80000000000001</v>
      </c>
      <c r="G2" s="11">
        <f>+'Historical Financials'!S156</f>
        <v>144.19999999999999</v>
      </c>
      <c r="H2" s="11">
        <f>+'Historical Financials'!T156</f>
        <v>167.6</v>
      </c>
      <c r="I2" s="11">
        <f>+'Historical Financials'!U156</f>
        <v>188</v>
      </c>
      <c r="J2" s="11">
        <f>+'Historical Financials'!V156</f>
        <v>198.7</v>
      </c>
      <c r="K2" s="11">
        <f>+'Historical Financials'!W156</f>
        <v>213</v>
      </c>
    </row>
    <row r="3" spans="1:11" ht="13.5" x14ac:dyDescent="0.35">
      <c r="A3" s="150" t="s">
        <v>237</v>
      </c>
      <c r="B3" s="122" t="s">
        <v>240</v>
      </c>
      <c r="C3" s="17">
        <v>1892</v>
      </c>
      <c r="D3" s="17">
        <v>1942</v>
      </c>
      <c r="E3" s="17">
        <v>1969</v>
      </c>
      <c r="F3" s="17">
        <v>2099</v>
      </c>
      <c r="G3" s="17">
        <v>2123</v>
      </c>
      <c r="H3" s="17">
        <v>2274</v>
      </c>
      <c r="I3" s="17">
        <v>2433</v>
      </c>
      <c r="J3" s="17">
        <v>2480</v>
      </c>
      <c r="K3" s="110" t="s">
        <v>91</v>
      </c>
    </row>
    <row r="4" spans="1:11" x14ac:dyDescent="0.2">
      <c r="A4" s="150" t="s">
        <v>238</v>
      </c>
      <c r="B4" s="24" t="s">
        <v>235</v>
      </c>
      <c r="C4" s="204">
        <f>+C2/C3*1000000</f>
        <v>54228.329809725154</v>
      </c>
      <c r="D4" s="209">
        <f>+IFERROR(D2/D3*1000000,"n/a")</f>
        <v>56385.169927909374</v>
      </c>
      <c r="E4" s="209">
        <f t="shared" ref="E4:K4" si="0">+IFERROR(E2/E3*1000000,"n/a")</f>
        <v>60436.76993397664</v>
      </c>
      <c r="F4" s="209">
        <f t="shared" si="0"/>
        <v>64221.057646498339</v>
      </c>
      <c r="G4" s="209">
        <f t="shared" si="0"/>
        <v>67922.750824305229</v>
      </c>
      <c r="H4" s="209">
        <f t="shared" si="0"/>
        <v>73702.726473175018</v>
      </c>
      <c r="I4" s="209">
        <f t="shared" si="0"/>
        <v>77270.859021783806</v>
      </c>
      <c r="J4" s="209">
        <f t="shared" si="0"/>
        <v>80120.96774193547</v>
      </c>
      <c r="K4" s="209" t="str">
        <f t="shared" si="0"/>
        <v>n/a</v>
      </c>
    </row>
    <row r="5" spans="1:11" x14ac:dyDescent="0.2">
      <c r="B5" s="20" t="s">
        <v>117</v>
      </c>
      <c r="C5" s="20"/>
      <c r="D5" s="210">
        <f>+IFERROR(D4-C4,"n/a")</f>
        <v>2156.84011818422</v>
      </c>
      <c r="E5" s="210">
        <f t="shared" ref="E5:K5" si="1">+IFERROR(E4-D4,"n/a")</f>
        <v>4051.6000060672668</v>
      </c>
      <c r="F5" s="210">
        <f t="shared" si="1"/>
        <v>3784.2877125216983</v>
      </c>
      <c r="G5" s="210">
        <f t="shared" si="1"/>
        <v>3701.6931778068902</v>
      </c>
      <c r="H5" s="210">
        <f t="shared" si="1"/>
        <v>5779.9756488697894</v>
      </c>
      <c r="I5" s="210">
        <f t="shared" si="1"/>
        <v>3568.1325486087881</v>
      </c>
      <c r="J5" s="210">
        <f t="shared" si="1"/>
        <v>2850.1087201516639</v>
      </c>
      <c r="K5" s="210" t="str">
        <f t="shared" si="1"/>
        <v>n/a</v>
      </c>
    </row>
    <row r="7" spans="1:11" s="206" customFormat="1" ht="9" x14ac:dyDescent="0.15">
      <c r="B7" s="207" t="s">
        <v>177</v>
      </c>
      <c r="C7" s="207"/>
    </row>
    <row r="8" spans="1:11" s="208" customFormat="1" ht="9" x14ac:dyDescent="0.15">
      <c r="B8" s="205" t="s">
        <v>241</v>
      </c>
      <c r="C8" s="205"/>
    </row>
    <row r="9" spans="1:11" x14ac:dyDescent="0.2">
      <c r="B9" s="205" t="s">
        <v>242</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880CB-51E7-4167-87E5-9D0A01A04479}">
  <sheetPr>
    <pageSetUpPr fitToPage="1"/>
  </sheetPr>
  <dimension ref="B2:AA29"/>
  <sheetViews>
    <sheetView zoomScaleNormal="100" workbookViewId="0">
      <selection activeCell="L25" sqref="L25"/>
    </sheetView>
  </sheetViews>
  <sheetFormatPr defaultRowHeight="11.25" outlineLevelCol="1" x14ac:dyDescent="0.2"/>
  <cols>
    <col min="1" max="1" width="2.83203125" customWidth="1"/>
    <col min="2" max="2" width="20.83203125" customWidth="1"/>
    <col min="3" max="3" width="2.83203125" customWidth="1"/>
    <col min="4" max="11" width="7.83203125" customWidth="1" outlineLevel="1"/>
    <col min="12" max="12" width="2.83203125" customWidth="1" outlineLevel="1"/>
    <col min="13" max="16" width="7.83203125" customWidth="1"/>
    <col min="17" max="19" width="7.83203125" style="6" customWidth="1"/>
    <col min="20" max="20" width="2.83203125" customWidth="1"/>
    <col min="21" max="24" width="8.83203125" customWidth="1"/>
    <col min="25" max="27" width="8.83203125" style="6" customWidth="1"/>
  </cols>
  <sheetData>
    <row r="2" spans="2:27" x14ac:dyDescent="0.2">
      <c r="B2" s="3" t="s">
        <v>0</v>
      </c>
    </row>
    <row r="3" spans="2:27" s="149" customFormat="1" x14ac:dyDescent="0.2">
      <c r="B3" s="5" t="s">
        <v>194</v>
      </c>
      <c r="Q3" s="152"/>
      <c r="R3" s="152"/>
      <c r="S3" s="152"/>
      <c r="Y3" s="152"/>
      <c r="Z3" s="152"/>
      <c r="AA3" s="152"/>
    </row>
    <row r="4" spans="2:27" x14ac:dyDescent="0.2">
      <c r="B4" s="6" t="s">
        <v>2</v>
      </c>
    </row>
    <row r="5" spans="2:27" x14ac:dyDescent="0.2">
      <c r="M5" s="31" t="s">
        <v>88</v>
      </c>
      <c r="N5" s="32"/>
      <c r="O5" s="32"/>
      <c r="P5" s="32"/>
      <c r="Q5" s="152"/>
      <c r="R5" s="153" t="s">
        <v>199</v>
      </c>
      <c r="S5" s="152"/>
      <c r="U5" s="31" t="s">
        <v>89</v>
      </c>
      <c r="V5" s="32"/>
      <c r="W5" s="32"/>
      <c r="X5" s="32"/>
      <c r="Y5" s="152"/>
      <c r="Z5" s="153" t="s">
        <v>204</v>
      </c>
      <c r="AA5" s="152"/>
    </row>
    <row r="6" spans="2:27" ht="27" x14ac:dyDescent="0.35">
      <c r="D6" s="150" t="s">
        <v>7</v>
      </c>
      <c r="E6" s="150" t="s">
        <v>8</v>
      </c>
      <c r="F6" s="150" t="s">
        <v>9</v>
      </c>
      <c r="G6" s="150" t="s">
        <v>10</v>
      </c>
      <c r="H6" s="150" t="s">
        <v>187</v>
      </c>
      <c r="I6" s="150" t="s">
        <v>191</v>
      </c>
      <c r="J6" s="150" t="s">
        <v>193</v>
      </c>
      <c r="K6" s="150" t="s">
        <v>201</v>
      </c>
      <c r="M6" s="7" t="s">
        <v>196</v>
      </c>
      <c r="N6" s="7" t="s">
        <v>197</v>
      </c>
      <c r="O6" s="7" t="s">
        <v>195</v>
      </c>
      <c r="P6" s="7" t="s">
        <v>198</v>
      </c>
      <c r="Q6" s="154" t="s">
        <v>196</v>
      </c>
      <c r="R6" s="154" t="s">
        <v>197</v>
      </c>
      <c r="S6" s="154" t="s">
        <v>195</v>
      </c>
      <c r="U6" s="7" t="s">
        <v>196</v>
      </c>
      <c r="V6" s="7" t="s">
        <v>197</v>
      </c>
      <c r="W6" s="151" t="s">
        <v>203</v>
      </c>
      <c r="X6" s="151" t="s">
        <v>202</v>
      </c>
      <c r="Y6" s="154" t="s">
        <v>197</v>
      </c>
      <c r="Z6" s="155" t="s">
        <v>203</v>
      </c>
      <c r="AA6" s="155" t="s">
        <v>202</v>
      </c>
    </row>
    <row r="8" spans="2:27" x14ac:dyDescent="0.2">
      <c r="B8" t="s">
        <v>206</v>
      </c>
      <c r="D8" s="10">
        <f>+'Historical Financials'!P118</f>
        <v>56385.169927909374</v>
      </c>
      <c r="E8" s="10">
        <f>+'Historical Financials'!Q118</f>
        <v>59262.948207171321</v>
      </c>
      <c r="F8" s="10">
        <f>+'Historical Financials'!R118</f>
        <v>64221.057646498339</v>
      </c>
      <c r="G8" s="10">
        <f>+'Historical Financials'!S118</f>
        <v>67922.750824305229</v>
      </c>
      <c r="H8" s="10">
        <f>+'Historical Financials'!T118</f>
        <v>73702.726473175018</v>
      </c>
      <c r="I8" s="10">
        <f>+'Historical Financials'!U118</f>
        <v>79965.971926839644</v>
      </c>
      <c r="J8" s="10">
        <f>+'Historical Financials'!V118</f>
        <v>80120.96774193547</v>
      </c>
      <c r="K8" s="10">
        <f>+'Historical Financials'!W118</f>
        <v>82430.340557275529</v>
      </c>
      <c r="M8" s="112" t="s">
        <v>91</v>
      </c>
      <c r="N8" s="11">
        <v>80467</v>
      </c>
      <c r="O8" s="11">
        <v>80755</v>
      </c>
      <c r="P8" s="10">
        <f>+J8</f>
        <v>80120.96774193547</v>
      </c>
      <c r="Q8" s="120" t="str">
        <f>+IFERROR($P8/M8-1,"n/a")</f>
        <v>n/a</v>
      </c>
      <c r="R8" s="120">
        <f t="shared" ref="R8:S11" si="0">+IFERROR($P8/N8-1,"n/a")</f>
        <v>-4.3003002232533394E-3</v>
      </c>
      <c r="S8" s="120">
        <f t="shared" si="0"/>
        <v>-7.8513065205192412E-3</v>
      </c>
      <c r="U8" s="112" t="s">
        <v>91</v>
      </c>
      <c r="V8" s="11">
        <v>83581</v>
      </c>
      <c r="W8" s="11">
        <v>84755</v>
      </c>
      <c r="X8" s="109">
        <f>+K8</f>
        <v>82430.340557275529</v>
      </c>
      <c r="Y8" s="120" t="str">
        <f>+IFERROR($U8/V8-1,"n/a")</f>
        <v>n/a</v>
      </c>
      <c r="Z8" s="120" t="str">
        <f t="shared" ref="Z8:AA8" si="1">+IFERROR($U8/W8-1,"n/a")</f>
        <v>n/a</v>
      </c>
      <c r="AA8" s="120" t="str">
        <f t="shared" si="1"/>
        <v>n/a</v>
      </c>
    </row>
    <row r="9" spans="2:27" x14ac:dyDescent="0.2">
      <c r="B9" t="s">
        <v>46</v>
      </c>
      <c r="D9" s="10">
        <f>+'Historical Financials'!P156</f>
        <v>109.5</v>
      </c>
      <c r="E9" s="10">
        <f>+'Historical Financials'!Q156</f>
        <v>119</v>
      </c>
      <c r="F9" s="10">
        <f>+'Historical Financials'!R156</f>
        <v>134.80000000000001</v>
      </c>
      <c r="G9" s="10">
        <f>+'Historical Financials'!S156</f>
        <v>144.19999999999999</v>
      </c>
      <c r="H9" s="10">
        <f>+'Historical Financials'!T156</f>
        <v>167.6</v>
      </c>
      <c r="I9" s="10">
        <f>+'Historical Financials'!U156</f>
        <v>188</v>
      </c>
      <c r="J9" s="10">
        <f>+'Historical Financials'!V156</f>
        <v>198.7</v>
      </c>
      <c r="K9" s="10">
        <f>+'Historical Financials'!W156</f>
        <v>213</v>
      </c>
      <c r="M9" s="112" t="s">
        <v>91</v>
      </c>
      <c r="N9" s="11">
        <v>194.7</v>
      </c>
      <c r="O9" s="11">
        <v>205.59964583999997</v>
      </c>
      <c r="P9" s="10">
        <f>+J9</f>
        <v>198.7</v>
      </c>
      <c r="Q9" s="120" t="str">
        <f t="shared" ref="Q9:Q11" si="2">+IFERROR($P9/M9-1,"n/a")</f>
        <v>n/a</v>
      </c>
      <c r="R9" s="120">
        <f t="shared" si="0"/>
        <v>2.0544427324088232E-2</v>
      </c>
      <c r="S9" s="120">
        <f t="shared" si="0"/>
        <v>-3.3558646523006996E-2</v>
      </c>
      <c r="U9" s="112" t="s">
        <v>91</v>
      </c>
      <c r="V9" s="11">
        <v>207.5</v>
      </c>
      <c r="W9" s="11">
        <v>226.7179299</v>
      </c>
      <c r="X9" s="109">
        <f t="shared" ref="X9:X23" si="3">+K9</f>
        <v>213</v>
      </c>
      <c r="Y9" s="120" t="str">
        <f t="shared" ref="Y9:Y11" si="4">+IFERROR($U9/V9-1,"n/a")</f>
        <v>n/a</v>
      </c>
      <c r="Z9" s="120" t="str">
        <f t="shared" ref="Z9:Z11" si="5">+IFERROR($U9/W9-1,"n/a")</f>
        <v>n/a</v>
      </c>
      <c r="AA9" s="120" t="str">
        <f t="shared" ref="AA9:AA11" si="6">+IFERROR($U9/X9-1,"n/a")</f>
        <v>n/a</v>
      </c>
    </row>
    <row r="10" spans="2:27" x14ac:dyDescent="0.2">
      <c r="B10" t="s">
        <v>17</v>
      </c>
      <c r="D10" s="10">
        <f>+'Historical Financials'!P187</f>
        <v>27.786999999999999</v>
      </c>
      <c r="E10" s="10">
        <f>+'Historical Financials'!Q187</f>
        <v>28.452000000000002</v>
      </c>
      <c r="F10" s="10">
        <f>+'Historical Financials'!R187</f>
        <v>32.195999999999998</v>
      </c>
      <c r="G10" s="10">
        <f>+'Historical Financials'!S187</f>
        <v>36.44</v>
      </c>
      <c r="H10" s="10">
        <f>+'Historical Financials'!T187</f>
        <v>39.997999999999998</v>
      </c>
      <c r="I10" s="10">
        <f>+'Historical Financials'!U187</f>
        <v>45.005000000000003</v>
      </c>
      <c r="J10" s="10">
        <f>+'Historical Financials'!V187</f>
        <v>49.252000000000002</v>
      </c>
      <c r="K10" s="10">
        <f>+'Historical Financials'!W187</f>
        <v>53.746000000000002</v>
      </c>
      <c r="M10" s="11">
        <f>+AVERAGE(47.3,47.7)</f>
        <v>47.5</v>
      </c>
      <c r="N10" s="11">
        <v>47.6</v>
      </c>
      <c r="O10" s="11">
        <v>50.6759544019</v>
      </c>
      <c r="P10" s="10">
        <f>+J10</f>
        <v>49.252000000000002</v>
      </c>
      <c r="Q10" s="120">
        <f t="shared" si="2"/>
        <v>3.6884210526315853E-2</v>
      </c>
      <c r="R10" s="120">
        <f t="shared" si="0"/>
        <v>3.4705882352941142E-2</v>
      </c>
      <c r="S10" s="120">
        <f t="shared" si="0"/>
        <v>-2.8099212312942878E-2</v>
      </c>
      <c r="U10" s="11">
        <f>+AVERAGE(51.8,52.3)</f>
        <v>52.05</v>
      </c>
      <c r="V10" s="11">
        <v>50.7</v>
      </c>
      <c r="W10" s="11">
        <v>55.660887876524995</v>
      </c>
      <c r="X10" s="109">
        <f t="shared" si="3"/>
        <v>53.746000000000002</v>
      </c>
      <c r="Y10" s="120">
        <f t="shared" si="4"/>
        <v>2.6627218934911046E-2</v>
      </c>
      <c r="Z10" s="120">
        <f t="shared" si="5"/>
        <v>-6.4872983782349847E-2</v>
      </c>
      <c r="AA10" s="120">
        <f t="shared" si="6"/>
        <v>-3.1555836713429875E-2</v>
      </c>
    </row>
    <row r="11" spans="2:27" x14ac:dyDescent="0.2">
      <c r="B11" t="s">
        <v>200</v>
      </c>
      <c r="D11" s="10">
        <f>+'Historical Financials'!P291+'Historical Financials'!P315</f>
        <v>-1.7260000000000022</v>
      </c>
      <c r="E11" s="10">
        <f>+'Historical Financials'!Q291+'Historical Financials'!Q315</f>
        <v>-1.899</v>
      </c>
      <c r="F11" s="10">
        <f>+'Historical Financials'!R291+'Historical Financials'!R315</f>
        <v>-0.77800000000000602</v>
      </c>
      <c r="G11" s="10">
        <f>+'Historical Financials'!S291+'Historical Financials'!S315</f>
        <v>-1.5300000000000054</v>
      </c>
      <c r="H11" s="10">
        <f>+'Historical Financials'!T291+'Historical Financials'!T315</f>
        <v>2.0639999999999965</v>
      </c>
      <c r="I11" s="10">
        <f>+'Historical Financials'!U291+'Historical Financials'!U315</f>
        <v>0.29000000000000647</v>
      </c>
      <c r="J11" s="10">
        <f>+'Historical Financials'!V291+'Historical Financials'!V315</f>
        <v>1.2000000000001787E-2</v>
      </c>
      <c r="K11" s="10">
        <f>+'Historical Financials'!W87-'Historical Financials'!W74</f>
        <v>-2.910999999999996</v>
      </c>
      <c r="M11" s="11">
        <f>+AVERAGE(-4.5,-4)</f>
        <v>-4.25</v>
      </c>
      <c r="N11" s="11">
        <v>-4.0999999999999996</v>
      </c>
      <c r="O11" s="11">
        <v>0.38857065238950383</v>
      </c>
      <c r="P11" s="10">
        <f>+J11</f>
        <v>1.2000000000001787E-2</v>
      </c>
      <c r="Q11" s="120">
        <f t="shared" si="2"/>
        <v>-1.0028235294117651</v>
      </c>
      <c r="R11" s="120">
        <f t="shared" si="0"/>
        <v>-1.0029268292682931</v>
      </c>
      <c r="S11" s="120">
        <f t="shared" si="0"/>
        <v>-0.96911758537036152</v>
      </c>
      <c r="U11" s="11">
        <f>+AVERAGE(-5,-5.5)</f>
        <v>-5.25</v>
      </c>
      <c r="V11" s="11">
        <v>-5.0999999999999996</v>
      </c>
      <c r="W11" s="11">
        <v>7.5568696539747293E-2</v>
      </c>
      <c r="X11" s="109">
        <f t="shared" si="3"/>
        <v>-2.910999999999996</v>
      </c>
      <c r="Y11" s="120">
        <f t="shared" si="4"/>
        <v>2.941176470588247E-2</v>
      </c>
      <c r="Z11" s="120">
        <f t="shared" si="5"/>
        <v>-70.473211003958866</v>
      </c>
      <c r="AA11" s="120">
        <f t="shared" si="6"/>
        <v>0.80350395053246548</v>
      </c>
    </row>
    <row r="13" spans="2:27" x14ac:dyDescent="0.2">
      <c r="B13" s="19" t="s">
        <v>18</v>
      </c>
    </row>
    <row r="14" spans="2:27" x14ac:dyDescent="0.2">
      <c r="B14" s="13" t="s">
        <v>206</v>
      </c>
      <c r="M14" s="120" t="str">
        <f>+IFERROR(M8/$F8-1,"n/a")</f>
        <v>n/a</v>
      </c>
      <c r="N14" s="120">
        <f t="shared" ref="N14:P14" si="7">+IFERROR(N8/$F8-1,"n/a")</f>
        <v>0.2529690875370918</v>
      </c>
      <c r="O14" s="120">
        <f t="shared" si="7"/>
        <v>0.2574535979228485</v>
      </c>
      <c r="P14" s="120">
        <f t="shared" si="7"/>
        <v>0.24758094429022659</v>
      </c>
      <c r="U14" s="120" t="str">
        <f>+IFERROR(U8/$G8-1,"n/a")</f>
        <v>n/a</v>
      </c>
      <c r="V14" s="120">
        <f t="shared" ref="V14:X14" si="8">+IFERROR(V8/$G8-1,"n/a")</f>
        <v>0.23053025658807202</v>
      </c>
      <c r="W14" s="120">
        <f t="shared" si="8"/>
        <v>0.2478145977808599</v>
      </c>
      <c r="X14" s="120">
        <f t="shared" si="8"/>
        <v>0.21358954925864038</v>
      </c>
      <c r="Y14" s="120"/>
    </row>
    <row r="15" spans="2:27" x14ac:dyDescent="0.2">
      <c r="B15" s="13" t="s">
        <v>46</v>
      </c>
      <c r="M15" s="120" t="str">
        <f t="shared" ref="M15:P15" si="9">+IFERROR(M9/$F9-1,"n/a")</f>
        <v>n/a</v>
      </c>
      <c r="N15" s="120">
        <f t="shared" si="9"/>
        <v>0.44436201780415407</v>
      </c>
      <c r="O15" s="120">
        <f t="shared" si="9"/>
        <v>0.52521992462907963</v>
      </c>
      <c r="P15" s="120">
        <f t="shared" si="9"/>
        <v>0.47403560830860503</v>
      </c>
      <c r="U15" s="120" t="str">
        <f t="shared" ref="U15:X16" si="10">+IFERROR(U9/$G9-1,"n/a")</f>
        <v>n/a</v>
      </c>
      <c r="V15" s="120">
        <f t="shared" si="10"/>
        <v>0.43897364771151182</v>
      </c>
      <c r="W15" s="120">
        <f t="shared" si="10"/>
        <v>0.57224639320388371</v>
      </c>
      <c r="X15" s="120">
        <f t="shared" si="10"/>
        <v>0.47711511789181693</v>
      </c>
      <c r="Y15" s="120"/>
    </row>
    <row r="16" spans="2:27" x14ac:dyDescent="0.2">
      <c r="B16" s="13" t="s">
        <v>17</v>
      </c>
      <c r="M16" s="120">
        <f t="shared" ref="M16:P16" si="11">+IFERROR(M10/$F10-1,"n/a")</f>
        <v>0.47533855137284142</v>
      </c>
      <c r="N16" s="120">
        <f t="shared" si="11"/>
        <v>0.47844452727046849</v>
      </c>
      <c r="O16" s="120">
        <f t="shared" si="11"/>
        <v>0.57398292961548036</v>
      </c>
      <c r="P16" s="120">
        <f t="shared" si="11"/>
        <v>0.52975524909926719</v>
      </c>
      <c r="U16" s="120">
        <f t="shared" si="10"/>
        <v>0.42837541163556536</v>
      </c>
      <c r="V16" s="120">
        <f t="shared" si="10"/>
        <v>0.39132821075740964</v>
      </c>
      <c r="W16" s="120">
        <f t="shared" si="10"/>
        <v>0.52746673645787601</v>
      </c>
      <c r="X16" s="120">
        <f t="shared" si="10"/>
        <v>0.47491767288693754</v>
      </c>
      <c r="Y16" s="120"/>
    </row>
    <row r="17" spans="2:27" x14ac:dyDescent="0.2">
      <c r="B17" s="13"/>
      <c r="M17" s="120"/>
      <c r="N17" s="120"/>
      <c r="O17" s="120"/>
      <c r="P17" s="120"/>
      <c r="U17" s="120"/>
      <c r="V17" s="120"/>
      <c r="W17" s="120"/>
      <c r="X17" s="120"/>
      <c r="Y17" s="120"/>
    </row>
    <row r="18" spans="2:27" x14ac:dyDescent="0.2">
      <c r="B18" s="19" t="s">
        <v>20</v>
      </c>
      <c r="M18" s="120"/>
      <c r="N18" s="120"/>
      <c r="O18" s="120"/>
      <c r="P18" s="120"/>
      <c r="U18" s="120"/>
      <c r="V18" s="120"/>
      <c r="W18" s="120"/>
      <c r="X18" s="120"/>
      <c r="Y18" s="120"/>
    </row>
    <row r="19" spans="2:27" x14ac:dyDescent="0.2">
      <c r="B19" s="13" t="s">
        <v>200</v>
      </c>
      <c r="M19" s="121">
        <f>+M11/M10</f>
        <v>-8.9473684210526316E-2</v>
      </c>
      <c r="N19" s="121">
        <f t="shared" ref="N19:P19" si="12">+N11/N10</f>
        <v>-8.613445378151259E-2</v>
      </c>
      <c r="O19" s="121">
        <f t="shared" si="12"/>
        <v>7.6677520330023638E-3</v>
      </c>
      <c r="P19" s="121">
        <f t="shared" si="12"/>
        <v>2.4364492812478249E-4</v>
      </c>
      <c r="Q19" s="99"/>
      <c r="R19" s="99"/>
      <c r="S19" s="99"/>
      <c r="T19" s="101"/>
      <c r="U19" s="121">
        <f t="shared" ref="U19:X19" si="13">+U11/U10</f>
        <v>-0.10086455331412104</v>
      </c>
      <c r="V19" s="121">
        <f t="shared" si="13"/>
        <v>-0.10059171597633135</v>
      </c>
      <c r="W19" s="121">
        <f t="shared" si="13"/>
        <v>1.3576624344797494E-3</v>
      </c>
      <c r="X19" s="121">
        <f t="shared" si="13"/>
        <v>-5.4162170208015406E-2</v>
      </c>
      <c r="Y19" s="120"/>
    </row>
    <row r="21" spans="2:27" x14ac:dyDescent="0.2">
      <c r="B21" s="19" t="s">
        <v>117</v>
      </c>
    </row>
    <row r="22" spans="2:27" x14ac:dyDescent="0.2">
      <c r="B22" s="13" t="s">
        <v>205</v>
      </c>
      <c r="D22" s="10">
        <f>+'Historical Financials'!P123</f>
        <v>2156.84011818422</v>
      </c>
      <c r="E22" s="10">
        <f>+'Historical Financials'!Q123</f>
        <v>2877.7782792619473</v>
      </c>
      <c r="F22" s="10">
        <f>+'Historical Financials'!R123</f>
        <v>4958.1094393270178</v>
      </c>
      <c r="G22" s="10">
        <f>+'Historical Financials'!S123</f>
        <v>3701.6931778068902</v>
      </c>
      <c r="H22" s="10">
        <f>+'Historical Financials'!T123</f>
        <v>5779.9756488697894</v>
      </c>
      <c r="I22" s="10">
        <f>+'Historical Financials'!U123</f>
        <v>6263.2454536646255</v>
      </c>
      <c r="J22" s="10">
        <f>+'Historical Financials'!V123</f>
        <v>154.9958150958264</v>
      </c>
      <c r="K22" s="10">
        <f>+'Historical Financials'!W123</f>
        <v>2309.3728153400589</v>
      </c>
      <c r="M22" s="115" t="s">
        <v>91</v>
      </c>
      <c r="N22" s="14">
        <f>+N8-I8</f>
        <v>501.02807316035614</v>
      </c>
      <c r="O22" s="147">
        <v>4000</v>
      </c>
      <c r="P22" s="14">
        <f>+J22</f>
        <v>154.9958150958264</v>
      </c>
      <c r="Q22" s="120" t="str">
        <f t="shared" ref="Q22:Q23" si="14">+IFERROR($P22/M22-1,"n/a")</f>
        <v>n/a</v>
      </c>
      <c r="R22" s="120">
        <f t="shared" ref="R22:R23" si="15">+IFERROR($P22/N22-1,"n/a")</f>
        <v>-0.69064445008409869</v>
      </c>
      <c r="S22" s="120">
        <f t="shared" ref="S22:S23" si="16">+IFERROR($P22/O22-1,"n/a")</f>
        <v>-0.9612510462260434</v>
      </c>
      <c r="T22" s="6"/>
      <c r="U22" s="115" t="s">
        <v>91</v>
      </c>
      <c r="V22" s="14">
        <f>+V8-N8</f>
        <v>3114</v>
      </c>
      <c r="W22" s="14">
        <f>+W8-O8</f>
        <v>4000</v>
      </c>
      <c r="X22" s="104">
        <f t="shared" si="3"/>
        <v>2309.3728153400589</v>
      </c>
      <c r="Y22" s="120" t="str">
        <f t="shared" ref="Y22:Y23" si="17">+IFERROR($U22/V22-1,"n/a")</f>
        <v>n/a</v>
      </c>
      <c r="Z22" s="120" t="str">
        <f t="shared" ref="Z22:Z23" si="18">+IFERROR($U22/W22-1,"n/a")</f>
        <v>n/a</v>
      </c>
      <c r="AA22" s="120" t="str">
        <f t="shared" ref="AA22:AA23" si="19">+IFERROR($U22/X22-1,"n/a")</f>
        <v>n/a</v>
      </c>
    </row>
    <row r="23" spans="2:27" x14ac:dyDescent="0.2">
      <c r="B23" s="13" t="s">
        <v>119</v>
      </c>
      <c r="D23" s="10">
        <f>+'Historical Financials'!P161</f>
        <v>6.9000000000000057</v>
      </c>
      <c r="E23" s="10">
        <f>+'Historical Financials'!Q161</f>
        <v>9.5</v>
      </c>
      <c r="F23" s="10">
        <f>+'Historical Financials'!R161</f>
        <v>15.800000000000011</v>
      </c>
      <c r="G23" s="10">
        <f>+'Historical Financials'!S161</f>
        <v>9.3999999999999773</v>
      </c>
      <c r="H23" s="10">
        <f>+'Historical Financials'!T161</f>
        <v>23.400000000000006</v>
      </c>
      <c r="I23" s="10">
        <f>+'Historical Financials'!U161</f>
        <v>20.400000000000006</v>
      </c>
      <c r="J23" s="10">
        <f>+'Historical Financials'!V161</f>
        <v>10.699999999999989</v>
      </c>
      <c r="K23" s="10">
        <f>+'Historical Financials'!W161</f>
        <v>14.300000000000011</v>
      </c>
      <c r="M23" s="157" t="s">
        <v>91</v>
      </c>
      <c r="N23" s="97">
        <f>+N9-I9</f>
        <v>6.6999999999999886</v>
      </c>
      <c r="O23" s="158">
        <v>17.599645839999965</v>
      </c>
      <c r="P23" s="97">
        <f>+J23</f>
        <v>10.699999999999989</v>
      </c>
      <c r="Q23" s="120" t="str">
        <f t="shared" si="14"/>
        <v>n/a</v>
      </c>
      <c r="R23" s="120">
        <f t="shared" si="15"/>
        <v>0.59701492537313539</v>
      </c>
      <c r="S23" s="120">
        <f t="shared" si="16"/>
        <v>-0.39203322059576118</v>
      </c>
      <c r="T23" s="6"/>
      <c r="U23" s="157" t="s">
        <v>91</v>
      </c>
      <c r="V23" s="97">
        <f>+V9-N9</f>
        <v>12.800000000000011</v>
      </c>
      <c r="W23" s="97">
        <f>+W9-O9</f>
        <v>21.118284060000036</v>
      </c>
      <c r="X23" s="159">
        <f t="shared" si="3"/>
        <v>14.300000000000011</v>
      </c>
      <c r="Y23" s="120" t="str">
        <f t="shared" si="17"/>
        <v>n/a</v>
      </c>
      <c r="Z23" s="120" t="str">
        <f t="shared" si="18"/>
        <v>n/a</v>
      </c>
      <c r="AA23" s="120" t="str">
        <f t="shared" si="19"/>
        <v>n/a</v>
      </c>
    </row>
    <row r="24" spans="2:27" x14ac:dyDescent="0.2">
      <c r="B24" s="13" t="s">
        <v>19</v>
      </c>
      <c r="D24" s="10"/>
      <c r="E24" s="10"/>
      <c r="F24" s="10"/>
      <c r="G24" s="10"/>
      <c r="H24" s="10"/>
      <c r="I24" s="10"/>
      <c r="J24" s="10"/>
      <c r="K24" s="10"/>
      <c r="M24" s="156">
        <f>+M10-$I10</f>
        <v>2.4949999999999974</v>
      </c>
      <c r="N24" s="156">
        <f>+N10-$I10</f>
        <v>2.5949999999999989</v>
      </c>
      <c r="O24" s="156">
        <f>+O10-$I10</f>
        <v>5.6709544018999978</v>
      </c>
      <c r="P24" s="156">
        <f>+P10-$I10</f>
        <v>4.2469999999999999</v>
      </c>
      <c r="Q24" s="120">
        <f t="shared" ref="Q24" si="20">+IFERROR($P24/M24-1,"n/a")</f>
        <v>0.7022044088176369</v>
      </c>
      <c r="R24" s="120">
        <f t="shared" ref="R24" si="21">+IFERROR($P24/N24-1,"n/a")</f>
        <v>0.63660886319845922</v>
      </c>
      <c r="S24" s="120">
        <f t="shared" ref="S24" si="22">+IFERROR($P24/O24-1,"n/a")</f>
        <v>-0.25109607677729096</v>
      </c>
      <c r="U24" s="156">
        <f>+U10-$P10</f>
        <v>2.7979999999999947</v>
      </c>
      <c r="V24" s="156">
        <f>+V10-$P10</f>
        <v>1.4480000000000004</v>
      </c>
      <c r="W24" s="156">
        <f>+W10-$P10</f>
        <v>6.408887876524993</v>
      </c>
      <c r="X24" s="156">
        <f>+X10-$P10</f>
        <v>4.4939999999999998</v>
      </c>
      <c r="Y24" s="120">
        <f t="shared" ref="Y24" si="23">+IFERROR($U24/V24-1,"n/a")</f>
        <v>0.93232044198894615</v>
      </c>
      <c r="Z24" s="120">
        <f t="shared" ref="Z24" si="24">+IFERROR($U24/W24-1,"n/a")</f>
        <v>-0.56341879372726411</v>
      </c>
      <c r="AA24" s="120">
        <f t="shared" ref="AA24" si="25">+IFERROR($U24/X24-1,"n/a")</f>
        <v>-0.37739207832665889</v>
      </c>
    </row>
    <row r="26" spans="2:27" ht="11.25" customHeight="1" x14ac:dyDescent="0.2">
      <c r="B26" s="295" t="s">
        <v>207</v>
      </c>
      <c r="C26" s="295"/>
      <c r="D26" s="295"/>
      <c r="E26" s="295"/>
      <c r="F26" s="295"/>
      <c r="G26" s="295"/>
      <c r="H26" s="295"/>
      <c r="I26" s="295"/>
      <c r="J26" s="295"/>
      <c r="K26" s="295"/>
      <c r="L26" s="295"/>
      <c r="M26" s="295"/>
      <c r="N26" s="295"/>
      <c r="O26" s="295"/>
      <c r="P26" s="295"/>
      <c r="Q26" s="295"/>
      <c r="R26" s="295"/>
      <c r="S26" s="295"/>
      <c r="T26" s="295"/>
      <c r="U26" s="295"/>
      <c r="V26" s="295"/>
      <c r="W26" s="295"/>
      <c r="X26" s="295"/>
      <c r="Y26" s="295"/>
      <c r="Z26" s="295"/>
      <c r="AA26" s="295"/>
    </row>
    <row r="27" spans="2:27" x14ac:dyDescent="0.2">
      <c r="B27" s="295"/>
      <c r="C27" s="295"/>
      <c r="D27" s="295"/>
      <c r="E27" s="295"/>
      <c r="F27" s="295"/>
      <c r="G27" s="295"/>
      <c r="H27" s="295"/>
      <c r="I27" s="295"/>
      <c r="J27" s="295"/>
      <c r="K27" s="295"/>
      <c r="L27" s="295"/>
      <c r="M27" s="295"/>
      <c r="N27" s="295"/>
      <c r="O27" s="295"/>
      <c r="P27" s="295"/>
      <c r="Q27" s="295"/>
      <c r="R27" s="295"/>
      <c r="S27" s="295"/>
      <c r="T27" s="295"/>
      <c r="U27" s="295"/>
      <c r="V27" s="295"/>
      <c r="W27" s="295"/>
      <c r="X27" s="295"/>
      <c r="Y27" s="295"/>
      <c r="Z27" s="295"/>
      <c r="AA27" s="295"/>
    </row>
    <row r="28" spans="2:27" x14ac:dyDescent="0.2">
      <c r="B28" s="295"/>
      <c r="C28" s="295"/>
      <c r="D28" s="295"/>
      <c r="E28" s="295"/>
      <c r="F28" s="295"/>
      <c r="G28" s="295"/>
      <c r="H28" s="295"/>
      <c r="I28" s="295"/>
      <c r="J28" s="295"/>
      <c r="K28" s="295"/>
      <c r="L28" s="295"/>
      <c r="M28" s="295"/>
      <c r="N28" s="295"/>
      <c r="O28" s="295"/>
      <c r="P28" s="295"/>
      <c r="Q28" s="295"/>
      <c r="R28" s="295"/>
      <c r="S28" s="295"/>
      <c r="T28" s="295"/>
      <c r="U28" s="295"/>
      <c r="V28" s="295"/>
      <c r="W28" s="295"/>
      <c r="X28" s="295"/>
      <c r="Y28" s="295"/>
      <c r="Z28" s="295"/>
      <c r="AA28" s="295"/>
    </row>
    <row r="29" spans="2:27" x14ac:dyDescent="0.2">
      <c r="B29" s="295"/>
      <c r="C29" s="295"/>
      <c r="D29" s="295"/>
      <c r="E29" s="295"/>
      <c r="F29" s="295"/>
      <c r="G29" s="295"/>
      <c r="H29" s="295"/>
      <c r="I29" s="295"/>
      <c r="J29" s="295"/>
      <c r="K29" s="295"/>
      <c r="L29" s="295"/>
      <c r="M29" s="295"/>
      <c r="N29" s="295"/>
      <c r="O29" s="295"/>
      <c r="P29" s="295"/>
      <c r="Q29" s="295"/>
      <c r="R29" s="295"/>
      <c r="S29" s="295"/>
      <c r="T29" s="295"/>
      <c r="U29" s="295"/>
      <c r="V29" s="295"/>
      <c r="W29" s="295"/>
      <c r="X29" s="295"/>
      <c r="Y29" s="295"/>
      <c r="Z29" s="295"/>
      <c r="AA29" s="295"/>
    </row>
  </sheetData>
  <mergeCells count="1">
    <mergeCell ref="B26:AA29"/>
  </mergeCells>
  <phoneticPr fontId="7" type="noConversion"/>
  <pageMargins left="0.3" right="0.3" top="0.3" bottom="0.3" header="0.3" footer="0.3"/>
  <pageSetup scale="7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225826F-69BD-447C-B326-DDEA573B51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C4650F-6DC9-4A52-BB29-E536CCF3EDE8}">
  <ds:schemaRefs>
    <ds:schemaRef ds:uri="http://schemas.microsoft.com/sharepoint/v3/contenttype/forms"/>
  </ds:schemaRefs>
</ds:datastoreItem>
</file>

<file path=customXml/itemProps3.xml><?xml version="1.0" encoding="utf-8"?>
<ds:datastoreItem xmlns:ds="http://schemas.openxmlformats.org/officeDocument/2006/customXml" ds:itemID="{2BD222D9-113C-473A-B9DA-7EC965033860}">
  <ds:schemaRefs>
    <ds:schemaRef ds:uri="http://schemas.openxmlformats.org/package/2006/metadata/core-properties"/>
    <ds:schemaRef ds:uri="684023ab-f3fa-4f75-8c85-aad38775666c"/>
    <ds:schemaRef ds:uri="http://schemas.microsoft.com/office/2006/metadata/properties"/>
    <ds:schemaRef ds:uri="http://schemas.microsoft.com/office/2006/documentManagement/types"/>
    <ds:schemaRef ds:uri="http://schemas.microsoft.com/office/infopath/2007/PartnerControls"/>
    <ds:schemaRef ds:uri="http://purl.org/dc/dcmitype/"/>
    <ds:schemaRef ds:uri="700f816a-2d70-48f7-98b4-aa062cbdb163"/>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Simple Model - Case 1</vt:lpstr>
      <vt:lpstr>Historical Financials</vt:lpstr>
      <vt:lpstr>Guidance Analysis</vt:lpstr>
      <vt:lpstr>Guidance</vt:lpstr>
      <vt:lpstr>Sheet3</vt:lpstr>
      <vt:lpstr>Simple Model - Case 2</vt:lpstr>
      <vt:lpstr>Cost Analysis</vt:lpstr>
      <vt:lpstr>Sheet1</vt:lpstr>
      <vt:lpstr>Sheet2</vt:lpstr>
      <vt:lpstr>Performance Analysis</vt:lpstr>
      <vt:lpstr>'Guidance Analysis'!Print_Area</vt:lpstr>
      <vt:lpstr>'Historical Financials'!Print_Area</vt:lpstr>
      <vt:lpstr>'Simple Model - Case 1'!Print_Area</vt:lpstr>
      <vt:lpstr>'Simple Model - Case 2'!Print_Area</vt:lpstr>
      <vt:lpstr>'Historical Financials'!Print_Titles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Nicolau</dc:creator>
  <cp:lastModifiedBy>Alex Nicolau</cp:lastModifiedBy>
  <cp:lastPrinted>2024-08-06T18:52:37Z</cp:lastPrinted>
  <dcterms:created xsi:type="dcterms:W3CDTF">2021-04-01T21:42:38Z</dcterms:created>
  <dcterms:modified xsi:type="dcterms:W3CDTF">2025-05-19T21:20:16Z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y fmtid="{D5CDD505-2E9C-101B-9397-08002B2CF9AE}" pid="4" name="{A44787D4-0540-4523-9961-78E4036D8C6D}">
    <vt:lpwstr>{59232EE8-044B-4CDE-8ECA-A79717C440F4}</vt:lpwstr>
  </property>
</Properties>
</file>