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catrockcap.sharepoint.com/sites/allstaff/Shared Documents/Portfolio/Payments - FOUR/Model/"/>
    </mc:Choice>
  </mc:AlternateContent>
  <xr:revisionPtr revIDLastSave="0" documentId="8_{E26C65E4-4B13-4947-BF57-511E890AACC6}" xr6:coauthVersionLast="47" xr6:coauthVersionMax="47" xr10:uidLastSave="{00000000-0000-0000-0000-000000000000}"/>
  <bookViews>
    <workbookView xWindow="28680" yWindow="-120" windowWidth="29040" windowHeight="15840" firstSheet="1" activeTab="1" xr2:uid="{2BF09C3E-8FCF-4D0A-A312-4341C5ECBDC6}"/>
  </bookViews>
  <sheets>
    <sheet name="_CIQHiddenCacheSheet" sheetId="154" state="veryHidden" r:id="rId1"/>
    <sheet name="Simple Model - Case 1" sheetId="2" r:id="rId2"/>
    <sheet name="Historical Financials" sheetId="1" r:id="rId3"/>
    <sheet name="Shares OS" sheetId="3" r:id="rId4"/>
    <sheet name="Guidance Analysis" sheetId="104" r:id="rId5"/>
    <sheet name="E2E Volume Bridge" sheetId="133" r:id="rId6"/>
    <sheet name="E2E Growth Analysis" sheetId="80" r:id="rId7"/>
    <sheet name="Sheet1" sheetId="39" r:id="rId8"/>
    <sheet name="Segmentation" sheetId="66" r:id="rId9"/>
    <sheet name="Sheet3" sheetId="103" r:id="rId10"/>
  </sheets>
  <definedNames>
    <definedName name="CIQWBGuid" hidden="1">"2f93e6bd-ec98-4b66-ba36-d0378de49c3d"</definedName>
    <definedName name="CIQWBInfo" hidden="1">"{ ""CIQVersion"":""9.49.2423.4439""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45271.910162037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6">'E2E Growth Analysis'!$B$2:$AA$51</definedName>
    <definedName name="_xlnm.Print_Area" localSheetId="5">'E2E Volume Bridge'!$B$2:$I$66</definedName>
    <definedName name="_xlnm.Print_Area" localSheetId="4">'Guidance Analysis'!$C$2:$AH$44</definedName>
    <definedName name="_xlnm.Print_Area" localSheetId="2">'Historical Financials'!$B$2:$AS$646</definedName>
    <definedName name="_xlnm.Print_Area" localSheetId="3">'Shares OS'!$B$2:$G$36</definedName>
    <definedName name="_xlnm.Print_Area" localSheetId="7">Sheet1!$B$2:$F$46</definedName>
    <definedName name="_xlnm.Print_Area" localSheetId="1">'Simple Model - Case 1'!$B$2:$U$102</definedName>
    <definedName name="_xlnm.Print_Titles" localSheetId="2">'Historical Financials'!$2:$10</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7" i="2" l="1"/>
  <c r="L47" i="2"/>
  <c r="M47" i="2"/>
  <c r="N47" i="2"/>
  <c r="O47" i="2"/>
  <c r="P47" i="2"/>
  <c r="Q47" i="2"/>
  <c r="R47" i="2"/>
  <c r="S47" i="2"/>
  <c r="T47" i="2"/>
  <c r="U47" i="2"/>
  <c r="I47" i="2"/>
  <c r="H47" i="2"/>
  <c r="G47" i="2"/>
  <c r="F47" i="2"/>
  <c r="E47" i="2"/>
  <c r="K47" i="2"/>
  <c r="J85" i="2"/>
  <c r="K85" i="2"/>
  <c r="L85" i="2"/>
  <c r="D22" i="3"/>
  <c r="C7" i="66"/>
  <c r="C12" i="66"/>
  <c r="C17" i="66"/>
  <c r="C21" i="66"/>
  <c r="C22" i="66"/>
  <c r="C27" i="66"/>
  <c r="F2" i="39"/>
  <c r="D14" i="39"/>
  <c r="D16" i="39"/>
  <c r="D19" i="39" s="1"/>
  <c r="D27" i="39"/>
  <c r="D31" i="39" s="1"/>
  <c r="AA2" i="80"/>
  <c r="S10" i="80"/>
  <c r="T10" i="80"/>
  <c r="U10" i="80"/>
  <c r="V10" i="80"/>
  <c r="W10" i="80"/>
  <c r="S42" i="80"/>
  <c r="S44" i="80" s="1"/>
  <c r="T42" i="80"/>
  <c r="T44" i="80"/>
  <c r="T34" i="80" s="1"/>
  <c r="U42" i="80"/>
  <c r="U44" i="80" s="1"/>
  <c r="U34" i="80" s="1"/>
  <c r="V42" i="80"/>
  <c r="V44" i="80"/>
  <c r="V34" i="80" s="1"/>
  <c r="W42" i="80"/>
  <c r="W44" i="80" s="1"/>
  <c r="W34" i="80" s="1"/>
  <c r="S49" i="80"/>
  <c r="S51" i="80"/>
  <c r="S22" i="80"/>
  <c r="T49" i="80"/>
  <c r="T51" i="80" s="1"/>
  <c r="U49" i="80"/>
  <c r="U51" i="80" s="1"/>
  <c r="U35" i="80" s="1"/>
  <c r="V49" i="80"/>
  <c r="V51" i="80" s="1"/>
  <c r="V35" i="80" s="1"/>
  <c r="W49" i="80"/>
  <c r="W51" i="80"/>
  <c r="AA23" i="80"/>
  <c r="W35" i="80"/>
  <c r="S40" i="80"/>
  <c r="T40" i="80"/>
  <c r="U40" i="80" s="1"/>
  <c r="V40" i="80" s="1"/>
  <c r="W40" i="80" s="1"/>
  <c r="S47" i="80"/>
  <c r="T47" i="80"/>
  <c r="U47" i="80" s="1"/>
  <c r="V47" i="80" s="1"/>
  <c r="W47" i="80" s="1"/>
  <c r="I2" i="133"/>
  <c r="E11" i="133"/>
  <c r="AH2" i="104"/>
  <c r="B11" i="104"/>
  <c r="G11" i="104"/>
  <c r="I11" i="104"/>
  <c r="V22" i="80" l="1"/>
  <c r="W22" i="80"/>
  <c r="T35" i="80"/>
  <c r="S34" i="80"/>
  <c r="V21" i="80"/>
  <c r="S21" i="80"/>
  <c r="W21" i="80"/>
  <c r="T21" i="80"/>
  <c r="U21" i="80"/>
  <c r="T22" i="80"/>
  <c r="S35" i="80"/>
  <c r="U22" i="80"/>
  <c r="Q11" i="104"/>
  <c r="S11" i="104"/>
  <c r="AA22" i="80" l="1"/>
  <c r="AA21" i="80"/>
  <c r="AA11" i="104"/>
  <c r="AC11" i="104"/>
  <c r="B12" i="104" l="1"/>
  <c r="G12" i="104"/>
  <c r="I12" i="104"/>
  <c r="Q12" i="104"/>
  <c r="S12" i="104"/>
  <c r="AA12" i="104"/>
  <c r="AC12" i="104"/>
  <c r="B13" i="104"/>
  <c r="G13" i="104"/>
  <c r="I13" i="104"/>
  <c r="Q13" i="104"/>
  <c r="S13" i="104"/>
  <c r="AA13" i="104"/>
  <c r="AC13" i="104"/>
  <c r="B14" i="104"/>
  <c r="G14" i="104"/>
  <c r="I14" i="104"/>
  <c r="Q14" i="104"/>
  <c r="S14" i="104"/>
  <c r="AA14" i="104"/>
  <c r="AC14" i="104"/>
  <c r="B15" i="104"/>
  <c r="G15" i="104"/>
  <c r="I15" i="104"/>
  <c r="Q15" i="104"/>
  <c r="S15" i="104"/>
  <c r="AA15" i="104"/>
  <c r="AC15" i="104"/>
  <c r="B16" i="104"/>
  <c r="G16" i="104"/>
  <c r="I16" i="104"/>
  <c r="Q16" i="104"/>
  <c r="S16" i="104"/>
  <c r="AA16" i="104"/>
  <c r="AC16" i="104"/>
  <c r="B17" i="104"/>
  <c r="G17" i="104"/>
  <c r="I17" i="104"/>
  <c r="Q17" i="104"/>
  <c r="S17" i="104"/>
  <c r="AA17" i="104"/>
  <c r="AC17" i="104"/>
  <c r="B20" i="104"/>
  <c r="G20" i="104"/>
  <c r="I20" i="104"/>
  <c r="Q20" i="104"/>
  <c r="S20" i="104"/>
  <c r="AA20" i="104"/>
  <c r="AC20" i="104"/>
  <c r="B21" i="104"/>
  <c r="G21" i="104"/>
  <c r="I21" i="104"/>
  <c r="Q21" i="104"/>
  <c r="S21" i="104"/>
  <c r="AA21" i="104"/>
  <c r="AC21" i="104"/>
  <c r="B22" i="104"/>
  <c r="G22" i="104"/>
  <c r="I22" i="104"/>
  <c r="Q22" i="104"/>
  <c r="S22" i="104"/>
  <c r="AA22" i="104"/>
  <c r="AC22" i="104"/>
  <c r="B23" i="104"/>
  <c r="G23" i="104"/>
  <c r="I23" i="104"/>
  <c r="Q23" i="104"/>
  <c r="S23" i="104"/>
  <c r="AA23" i="104"/>
  <c r="AC23" i="104"/>
  <c r="B24" i="104"/>
  <c r="G24" i="104"/>
  <c r="I24" i="104"/>
  <c r="Q24" i="104"/>
  <c r="S24" i="104"/>
  <c r="AA24" i="104"/>
  <c r="AC24" i="104"/>
  <c r="B25" i="104"/>
  <c r="G25" i="104"/>
  <c r="I25" i="104"/>
  <c r="Q25" i="104"/>
  <c r="S25" i="104"/>
  <c r="AA25" i="104"/>
  <c r="AC25" i="104"/>
  <c r="B26" i="104"/>
  <c r="G26" i="104"/>
  <c r="I26" i="104"/>
  <c r="Q26" i="104"/>
  <c r="S26" i="104"/>
  <c r="AA26" i="104"/>
  <c r="AC26" i="104"/>
  <c r="B27" i="104"/>
  <c r="G27" i="104"/>
  <c r="I27" i="104"/>
  <c r="Q27" i="104"/>
  <c r="S27" i="104"/>
  <c r="AA27" i="104"/>
  <c r="AC27" i="104"/>
  <c r="B28" i="104"/>
  <c r="G28" i="104"/>
  <c r="I28" i="104"/>
  <c r="Q28" i="104"/>
  <c r="S28" i="104"/>
  <c r="AA28" i="104"/>
  <c r="AC28" i="104"/>
  <c r="B29" i="104"/>
  <c r="G29" i="104"/>
  <c r="I29" i="104"/>
  <c r="Q29" i="104"/>
  <c r="S29" i="104"/>
  <c r="AA29" i="104"/>
  <c r="AC29" i="104"/>
  <c r="B30" i="104"/>
  <c r="G30" i="104"/>
  <c r="I30" i="104"/>
  <c r="Q30" i="104"/>
  <c r="S30" i="104"/>
  <c r="AA30" i="104"/>
  <c r="AC30" i="104"/>
  <c r="B31" i="104"/>
  <c r="G31" i="104"/>
  <c r="I31" i="104"/>
  <c r="Q31" i="104"/>
  <c r="S31" i="104"/>
  <c r="AA31" i="104"/>
  <c r="AC31" i="104"/>
  <c r="B32" i="104"/>
  <c r="G32" i="104"/>
  <c r="I32" i="104"/>
  <c r="Q32" i="104"/>
  <c r="S32" i="104"/>
  <c r="AA32" i="104"/>
  <c r="AC32" i="104"/>
  <c r="B33" i="104"/>
  <c r="G33" i="104"/>
  <c r="I33" i="104"/>
  <c r="Q33" i="104"/>
  <c r="S33" i="104"/>
  <c r="AA33" i="104"/>
  <c r="AC33" i="104"/>
  <c r="B34" i="104"/>
  <c r="G34" i="104"/>
  <c r="I34" i="104"/>
  <c r="Q34" i="104"/>
  <c r="S34" i="104"/>
  <c r="AA34" i="104"/>
  <c r="AC34" i="104"/>
  <c r="B35" i="104"/>
  <c r="G35" i="104"/>
  <c r="I35" i="104"/>
  <c r="Q35" i="104"/>
  <c r="S35" i="104"/>
  <c r="AA35" i="104"/>
  <c r="AC35" i="104"/>
  <c r="B38" i="104"/>
  <c r="G38" i="104"/>
  <c r="I38" i="104"/>
  <c r="Q38" i="104"/>
  <c r="S38" i="104"/>
  <c r="AA38" i="104"/>
  <c r="AC38" i="104"/>
  <c r="B39" i="104"/>
  <c r="G39" i="104"/>
  <c r="I39" i="104"/>
  <c r="Q39" i="104"/>
  <c r="S39" i="104"/>
  <c r="AA39" i="104"/>
  <c r="AC39" i="104"/>
  <c r="B40" i="104"/>
  <c r="G40" i="104"/>
  <c r="I40" i="104"/>
  <c r="Q40" i="104"/>
  <c r="S40" i="104"/>
  <c r="AA40" i="104"/>
  <c r="AC40" i="104"/>
  <c r="G2" i="3"/>
  <c r="E7" i="3"/>
  <c r="E8" i="3"/>
  <c r="E9" i="3"/>
  <c r="D10" i="3"/>
  <c r="E10" i="3"/>
  <c r="E11" i="3"/>
  <c r="E12" i="3"/>
  <c r="E13" i="3"/>
  <c r="E14" i="3" s="1"/>
  <c r="D14" i="3"/>
  <c r="D28" i="3"/>
  <c r="D35" i="3"/>
  <c r="D15" i="3" s="1"/>
  <c r="E25" i="3"/>
  <c r="E26" i="3"/>
  <c r="E28" i="3"/>
  <c r="E15" i="3" s="1"/>
  <c r="E32" i="3"/>
  <c r="E33" i="3"/>
  <c r="E35" i="3"/>
  <c r="D16" i="3" l="1"/>
  <c r="E16" i="3"/>
  <c r="D29" i="3"/>
  <c r="D17" i="3" s="1"/>
  <c r="D18" i="3" s="1"/>
  <c r="D36" i="3"/>
  <c r="E22" i="3"/>
  <c r="E27" i="3"/>
  <c r="E34" i="3"/>
  <c r="E36" i="3"/>
  <c r="AS2" i="1"/>
  <c r="E7" i="1"/>
  <c r="E9" i="1" s="1"/>
  <c r="F7" i="1"/>
  <c r="F9" i="1" s="1"/>
  <c r="G7" i="1"/>
  <c r="H7" i="1"/>
  <c r="I7" i="1"/>
  <c r="J7" i="1"/>
  <c r="K7" i="1"/>
  <c r="L7" i="1"/>
  <c r="M7" i="1"/>
  <c r="N7" i="1"/>
  <c r="O7" i="1"/>
  <c r="P7" i="1"/>
  <c r="P9" i="1" s="1"/>
  <c r="Q7" i="1"/>
  <c r="Q9" i="1" s="1"/>
  <c r="R7" i="1"/>
  <c r="R9" i="1" s="1"/>
  <c r="S7" i="1"/>
  <c r="S9" i="1" s="1"/>
  <c r="T7" i="1"/>
  <c r="T9" i="1" s="1"/>
  <c r="U7" i="1"/>
  <c r="U9" i="1" s="1"/>
  <c r="V7" i="1"/>
  <c r="V9" i="1" s="1"/>
  <c r="W7" i="1"/>
  <c r="X7" i="1"/>
  <c r="Y7" i="1"/>
  <c r="Z7" i="1"/>
  <c r="AA7" i="1"/>
  <c r="AB7" i="1"/>
  <c r="AC7" i="1"/>
  <c r="AD7" i="1"/>
  <c r="AE7" i="1"/>
  <c r="AF7" i="1"/>
  <c r="AF9" i="1" s="1"/>
  <c r="AG7" i="1"/>
  <c r="AG9" i="1" s="1"/>
  <c r="AH7" i="1"/>
  <c r="AH9" i="1" s="1"/>
  <c r="AI7" i="1"/>
  <c r="AI9" i="1" s="1"/>
  <c r="AM7" i="1"/>
  <c r="AM9" i="1" s="1"/>
  <c r="AN7" i="1"/>
  <c r="AN9" i="1" s="1"/>
  <c r="AO7" i="1"/>
  <c r="AO9" i="1" s="1"/>
  <c r="AP7" i="1"/>
  <c r="AQ7" i="1"/>
  <c r="AR7" i="1"/>
  <c r="AS7" i="1"/>
  <c r="D9" i="1"/>
  <c r="G9" i="1"/>
  <c r="H9" i="1"/>
  <c r="I9" i="1"/>
  <c r="J9" i="1"/>
  <c r="K9" i="1"/>
  <c r="L9" i="1"/>
  <c r="M9" i="1"/>
  <c r="N9" i="1"/>
  <c r="O9" i="1"/>
  <c r="W9" i="1"/>
  <c r="X9" i="1"/>
  <c r="Y9" i="1"/>
  <c r="Z9" i="1"/>
  <c r="AA9" i="1"/>
  <c r="AB9" i="1"/>
  <c r="AC9" i="1"/>
  <c r="AD9" i="1"/>
  <c r="AE9" i="1"/>
  <c r="AL9" i="1"/>
  <c r="AP9" i="1"/>
  <c r="AQ9" i="1"/>
  <c r="AR9" i="1"/>
  <c r="AS9" i="1"/>
  <c r="D14" i="1"/>
  <c r="E14" i="1"/>
  <c r="F14" i="1"/>
  <c r="G14" i="1"/>
  <c r="H14" i="1"/>
  <c r="I14" i="1"/>
  <c r="J14" i="1"/>
  <c r="K14" i="1"/>
  <c r="L14" i="1"/>
  <c r="M14" i="1"/>
  <c r="N14" i="1"/>
  <c r="J11" i="104" s="1"/>
  <c r="O14" i="1"/>
  <c r="P14" i="1"/>
  <c r="D8" i="80" s="1"/>
  <c r="Q14" i="1"/>
  <c r="E8" i="80" s="1"/>
  <c r="E11" i="80" s="1"/>
  <c r="R14" i="1"/>
  <c r="F8" i="80" s="1"/>
  <c r="F11" i="80" s="1"/>
  <c r="S14" i="1"/>
  <c r="G8" i="80" s="1"/>
  <c r="G11" i="80" s="1"/>
  <c r="T14" i="1"/>
  <c r="H8" i="80" s="1"/>
  <c r="U14" i="1"/>
  <c r="I8" i="80" s="1"/>
  <c r="V14" i="1"/>
  <c r="J8" i="80" s="1"/>
  <c r="W119" i="1"/>
  <c r="X14" i="1"/>
  <c r="L8" i="80" s="1"/>
  <c r="Y14" i="1"/>
  <c r="M8" i="80" s="1"/>
  <c r="Z14" i="1"/>
  <c r="N8" i="80" s="1"/>
  <c r="AA119" i="1"/>
  <c r="AA14" i="1"/>
  <c r="AB14" i="1"/>
  <c r="P8" i="80" s="1"/>
  <c r="AC14" i="1"/>
  <c r="Q8" i="80" s="1"/>
  <c r="AD14" i="1"/>
  <c r="AA126" i="1"/>
  <c r="AB248" i="1"/>
  <c r="AB126" i="1"/>
  <c r="AC248" i="1"/>
  <c r="AC126" i="1"/>
  <c r="AD248" i="1"/>
  <c r="AE248" i="1" s="1"/>
  <c r="AD126" i="1"/>
  <c r="AE126" i="1" s="1"/>
  <c r="AE225" i="1"/>
  <c r="AF120" i="1"/>
  <c r="AF15" i="1" s="1"/>
  <c r="AG120" i="1"/>
  <c r="AG15" i="1" s="1"/>
  <c r="AG119" i="1"/>
  <c r="AG14" i="1"/>
  <c r="U8" i="80" s="1"/>
  <c r="AH120" i="1"/>
  <c r="AH15" i="1" s="1"/>
  <c r="AH119" i="1"/>
  <c r="AH14" i="1"/>
  <c r="V8" i="80" s="1"/>
  <c r="AK14" i="1"/>
  <c r="AL119" i="1"/>
  <c r="AL14" i="1" s="1"/>
  <c r="AM119" i="1"/>
  <c r="D9" i="39" s="1"/>
  <c r="D11" i="39" s="1"/>
  <c r="D20" i="39" s="1"/>
  <c r="D21" i="39" s="1"/>
  <c r="D30" i="39" s="1"/>
  <c r="D32" i="39" s="1"/>
  <c r="D33" i="39" s="1"/>
  <c r="D34" i="39" s="1"/>
  <c r="AM14" i="1"/>
  <c r="AN119" i="1"/>
  <c r="AN14" i="1" s="1"/>
  <c r="AO119" i="1"/>
  <c r="D9" i="133" s="1"/>
  <c r="AO14" i="1"/>
  <c r="AQ119" i="1"/>
  <c r="AQ14" i="1"/>
  <c r="H120" i="1"/>
  <c r="H121" i="1" s="1"/>
  <c r="H15" i="1"/>
  <c r="I120" i="1"/>
  <c r="I15" i="1"/>
  <c r="J120" i="1"/>
  <c r="J15" i="1" s="1"/>
  <c r="K120" i="1"/>
  <c r="K15" i="1"/>
  <c r="L120" i="1"/>
  <c r="L15" i="1"/>
  <c r="M120" i="1"/>
  <c r="M15" i="1"/>
  <c r="N120" i="1"/>
  <c r="N121" i="1" s="1"/>
  <c r="N15" i="1"/>
  <c r="O120" i="1"/>
  <c r="O15" i="1"/>
  <c r="P120" i="1"/>
  <c r="P121" i="1" s="1"/>
  <c r="P15" i="1"/>
  <c r="Q120" i="1"/>
  <c r="Q15" i="1"/>
  <c r="R120" i="1"/>
  <c r="R15" i="1" s="1"/>
  <c r="S120" i="1"/>
  <c r="S15" i="1"/>
  <c r="T120" i="1"/>
  <c r="T15" i="1"/>
  <c r="U120" i="1"/>
  <c r="U15" i="1"/>
  <c r="V120" i="1"/>
  <c r="V121" i="1" s="1"/>
  <c r="V15" i="1"/>
  <c r="X120" i="1"/>
  <c r="X121" i="1" s="1"/>
  <c r="X15" i="1"/>
  <c r="Y120" i="1"/>
  <c r="Y15" i="1"/>
  <c r="Z120" i="1"/>
  <c r="Z15" i="1" s="1"/>
  <c r="AB120" i="1"/>
  <c r="AB15" i="1"/>
  <c r="AC120" i="1"/>
  <c r="AC15" i="1"/>
  <c r="AD120" i="1"/>
  <c r="AD121" i="1" s="1"/>
  <c r="AM120" i="1"/>
  <c r="AM15" i="1"/>
  <c r="AN120" i="1"/>
  <c r="AN15" i="1" s="1"/>
  <c r="AO120" i="1"/>
  <c r="AO15" i="1" s="1"/>
  <c r="I121" i="1"/>
  <c r="I16" i="1"/>
  <c r="K121" i="1"/>
  <c r="K16" i="1"/>
  <c r="L121" i="1"/>
  <c r="L16" i="1"/>
  <c r="M121" i="1"/>
  <c r="M123" i="1" s="1"/>
  <c r="M17" i="1" s="1"/>
  <c r="M16" i="1"/>
  <c r="O121" i="1"/>
  <c r="O16" i="1"/>
  <c r="Q121" i="1"/>
  <c r="Q123" i="1" s="1"/>
  <c r="Q17" i="1" s="1"/>
  <c r="Q16" i="1"/>
  <c r="S121" i="1"/>
  <c r="S123" i="1" s="1"/>
  <c r="S17" i="1" s="1"/>
  <c r="S16" i="1"/>
  <c r="T121" i="1"/>
  <c r="H10" i="80" s="1"/>
  <c r="T16" i="1"/>
  <c r="U121" i="1"/>
  <c r="U16" i="1" s="1"/>
  <c r="Y121" i="1"/>
  <c r="M10" i="80" s="1"/>
  <c r="Y16" i="1"/>
  <c r="AB121" i="1"/>
  <c r="P10" i="80" s="1"/>
  <c r="AC121" i="1"/>
  <c r="AE16" i="1"/>
  <c r="AF16" i="1"/>
  <c r="AG16" i="1"/>
  <c r="AH16" i="1"/>
  <c r="AI16" i="1"/>
  <c r="AM121" i="1"/>
  <c r="AM16" i="1" s="1"/>
  <c r="AN121" i="1"/>
  <c r="AN123" i="1" s="1"/>
  <c r="AN17" i="1" s="1"/>
  <c r="AO121" i="1"/>
  <c r="AO123" i="1" s="1"/>
  <c r="AO17" i="1" s="1"/>
  <c r="AO16" i="1"/>
  <c r="AQ126" i="1"/>
  <c r="E13" i="133" s="1"/>
  <c r="AS126" i="1"/>
  <c r="O123" i="1"/>
  <c r="O17" i="1" s="1"/>
  <c r="AI123" i="1"/>
  <c r="AI17" i="1" s="1"/>
  <c r="D138" i="1"/>
  <c r="D133" i="1"/>
  <c r="D139" i="1"/>
  <c r="D140" i="1" s="1"/>
  <c r="D175" i="1" s="1"/>
  <c r="D146" i="1"/>
  <c r="D263" i="1"/>
  <c r="D147" i="1"/>
  <c r="D148" i="1"/>
  <c r="D176" i="1" s="1"/>
  <c r="D177" i="1"/>
  <c r="E138" i="1"/>
  <c r="E133" i="1"/>
  <c r="E139" i="1" s="1"/>
  <c r="E140" i="1" s="1"/>
  <c r="E175" i="1" s="1"/>
  <c r="E146" i="1"/>
  <c r="E148" i="1" s="1"/>
  <c r="E176" i="1" s="1"/>
  <c r="E263" i="1"/>
  <c r="E147" i="1" s="1"/>
  <c r="F138" i="1"/>
  <c r="F133" i="1"/>
  <c r="F139" i="1"/>
  <c r="F140" i="1" s="1"/>
  <c r="F175" i="1" s="1"/>
  <c r="F177" i="1" s="1"/>
  <c r="F19" i="1" s="1"/>
  <c r="F146" i="1"/>
  <c r="F148" i="1" s="1"/>
  <c r="F176" i="1" s="1"/>
  <c r="F263" i="1"/>
  <c r="F147" i="1"/>
  <c r="G138" i="1"/>
  <c r="G133" i="1"/>
  <c r="G139" i="1" s="1"/>
  <c r="G140" i="1" s="1"/>
  <c r="G175" i="1" s="1"/>
  <c r="G146" i="1"/>
  <c r="G263" i="1"/>
  <c r="G147" i="1" s="1"/>
  <c r="AK147" i="1" s="1"/>
  <c r="AL147" i="1" s="1"/>
  <c r="H138" i="1"/>
  <c r="H133" i="1"/>
  <c r="H139" i="1"/>
  <c r="H140" i="1" s="1"/>
  <c r="H175" i="1" s="1"/>
  <c r="H177" i="1" s="1"/>
  <c r="H146" i="1"/>
  <c r="H263" i="1"/>
  <c r="H147" i="1"/>
  <c r="H148" i="1"/>
  <c r="H176" i="1" s="1"/>
  <c r="I138" i="1"/>
  <c r="I133" i="1"/>
  <c r="I139" i="1" s="1"/>
  <c r="I140" i="1" s="1"/>
  <c r="I175" i="1" s="1"/>
  <c r="I146" i="1"/>
  <c r="I263" i="1"/>
  <c r="I147" i="1" s="1"/>
  <c r="J138" i="1"/>
  <c r="J133" i="1"/>
  <c r="J139" i="1"/>
  <c r="J140" i="1"/>
  <c r="J175" i="1" s="1"/>
  <c r="J177" i="1" s="1"/>
  <c r="J19" i="1" s="1"/>
  <c r="J146" i="1"/>
  <c r="J148" i="1" s="1"/>
  <c r="J176" i="1" s="1"/>
  <c r="J263" i="1"/>
  <c r="J147" i="1"/>
  <c r="K138" i="1"/>
  <c r="K133" i="1"/>
  <c r="K139" i="1" s="1"/>
  <c r="K140" i="1" s="1"/>
  <c r="K175" i="1" s="1"/>
  <c r="K146" i="1"/>
  <c r="K263" i="1"/>
  <c r="K147" i="1"/>
  <c r="L138" i="1"/>
  <c r="L133" i="1"/>
  <c r="L139" i="1"/>
  <c r="L140" i="1" s="1"/>
  <c r="L175" i="1" s="1"/>
  <c r="L146" i="1"/>
  <c r="L263" i="1"/>
  <c r="L147" i="1"/>
  <c r="L148" i="1"/>
  <c r="L176" i="1" s="1"/>
  <c r="L177" i="1"/>
  <c r="M140" i="1"/>
  <c r="M138" i="1" s="1"/>
  <c r="M128" i="1" s="1"/>
  <c r="M146" i="1" s="1"/>
  <c r="M148" i="1" s="1"/>
  <c r="M176" i="1" s="1"/>
  <c r="M177" i="1" s="1"/>
  <c r="M19" i="1" s="1"/>
  <c r="M175" i="1"/>
  <c r="M133" i="1"/>
  <c r="M139" i="1"/>
  <c r="M263" i="1"/>
  <c r="M147" i="1" s="1"/>
  <c r="N140" i="1"/>
  <c r="N175" i="1"/>
  <c r="N133" i="1"/>
  <c r="N139" i="1" s="1"/>
  <c r="N263" i="1"/>
  <c r="N147" i="1"/>
  <c r="O140" i="1"/>
  <c r="O175" i="1"/>
  <c r="O133" i="1"/>
  <c r="O139" i="1" s="1"/>
  <c r="O138" i="1" s="1"/>
  <c r="O128" i="1"/>
  <c r="O146" i="1" s="1"/>
  <c r="O148" i="1" s="1"/>
  <c r="O176" i="1" s="1"/>
  <c r="O263" i="1"/>
  <c r="O147" i="1" s="1"/>
  <c r="P140" i="1"/>
  <c r="D58" i="80" s="1"/>
  <c r="D54" i="80" s="1"/>
  <c r="P133" i="1"/>
  <c r="P139" i="1" s="1"/>
  <c r="P138" i="1" s="1"/>
  <c r="P128" i="1" s="1"/>
  <c r="P146" i="1" s="1"/>
  <c r="P148" i="1" s="1"/>
  <c r="P176" i="1" s="1"/>
  <c r="P263" i="1"/>
  <c r="P147" i="1"/>
  <c r="Q140" i="1"/>
  <c r="E58" i="80" s="1"/>
  <c r="E54" i="80" s="1"/>
  <c r="Q175" i="1"/>
  <c r="Q133" i="1"/>
  <c r="Q139" i="1"/>
  <c r="Q263" i="1"/>
  <c r="Q147" i="1"/>
  <c r="R140" i="1"/>
  <c r="F58" i="80" s="1"/>
  <c r="F54" i="80" s="1"/>
  <c r="R133" i="1"/>
  <c r="R139" i="1"/>
  <c r="R138" i="1" s="1"/>
  <c r="R128" i="1" s="1"/>
  <c r="R146" i="1" s="1"/>
  <c r="R148" i="1" s="1"/>
  <c r="R176" i="1" s="1"/>
  <c r="R263" i="1"/>
  <c r="R147" i="1"/>
  <c r="S140" i="1"/>
  <c r="S175" i="1" s="1"/>
  <c r="S133" i="1"/>
  <c r="S139" i="1"/>
  <c r="S263" i="1"/>
  <c r="S147" i="1"/>
  <c r="T140" i="1"/>
  <c r="H58" i="80" s="1"/>
  <c r="T175" i="1"/>
  <c r="T133" i="1"/>
  <c r="T139" i="1"/>
  <c r="T138" i="1" s="1"/>
  <c r="T128" i="1" s="1"/>
  <c r="T146" i="1" s="1"/>
  <c r="T148" i="1" s="1"/>
  <c r="T176" i="1" s="1"/>
  <c r="T263" i="1"/>
  <c r="T147" i="1"/>
  <c r="U140" i="1"/>
  <c r="I58" i="80" s="1"/>
  <c r="U175" i="1"/>
  <c r="U133" i="1"/>
  <c r="U139" i="1"/>
  <c r="U138" i="1"/>
  <c r="U128" i="1" s="1"/>
  <c r="U146" i="1"/>
  <c r="U148" i="1" s="1"/>
  <c r="U176" i="1" s="1"/>
  <c r="U263" i="1"/>
  <c r="U147" i="1" s="1"/>
  <c r="V140" i="1"/>
  <c r="J58" i="80" s="1"/>
  <c r="V175" i="1"/>
  <c r="V133" i="1"/>
  <c r="V139" i="1" s="1"/>
  <c r="V138" i="1" s="1"/>
  <c r="V128" i="1" s="1"/>
  <c r="V146" i="1" s="1"/>
  <c r="V148" i="1" s="1"/>
  <c r="V263" i="1"/>
  <c r="V147" i="1" s="1"/>
  <c r="W133" i="1"/>
  <c r="W139" i="1" s="1"/>
  <c r="W263" i="1"/>
  <c r="W147" i="1" s="1"/>
  <c r="X140" i="1"/>
  <c r="X133" i="1"/>
  <c r="X139" i="1" s="1"/>
  <c r="X263" i="1"/>
  <c r="X147" i="1"/>
  <c r="Y140" i="1"/>
  <c r="M58" i="80" s="1"/>
  <c r="Y133" i="1"/>
  <c r="Y139" i="1" s="1"/>
  <c r="Y263" i="1"/>
  <c r="Y147" i="1"/>
  <c r="Z140" i="1"/>
  <c r="N58" i="80" s="1"/>
  <c r="Z133" i="1"/>
  <c r="Z139" i="1"/>
  <c r="Z138" i="1" s="1"/>
  <c r="Z128" i="1"/>
  <c r="Z146" i="1" s="1"/>
  <c r="Z148" i="1" s="1"/>
  <c r="Z176" i="1" s="1"/>
  <c r="Z263" i="1"/>
  <c r="Z147" i="1"/>
  <c r="AA140" i="1"/>
  <c r="O58" i="80" s="1"/>
  <c r="AA175" i="1"/>
  <c r="AA133" i="1"/>
  <c r="AA139" i="1"/>
  <c r="AA138" i="1" s="1"/>
  <c r="AA128" i="1" s="1"/>
  <c r="AA146" i="1" s="1"/>
  <c r="AA148" i="1" s="1"/>
  <c r="AA176" i="1" s="1"/>
  <c r="AA263" i="1"/>
  <c r="AA147" i="1"/>
  <c r="AB140" i="1"/>
  <c r="P58" i="80" s="1"/>
  <c r="AB175" i="1"/>
  <c r="AB133" i="1"/>
  <c r="AB139" i="1" s="1"/>
  <c r="AB138" i="1" s="1"/>
  <c r="AB128" i="1" s="1"/>
  <c r="AB146" i="1" s="1"/>
  <c r="AB148" i="1" s="1"/>
  <c r="AB176" i="1" s="1"/>
  <c r="AB177" i="1" s="1"/>
  <c r="AB263" i="1"/>
  <c r="AB147" i="1"/>
  <c r="AC140" i="1"/>
  <c r="Q58" i="80" s="1"/>
  <c r="AC175" i="1"/>
  <c r="AC133" i="1"/>
  <c r="AC139" i="1"/>
  <c r="AC138" i="1"/>
  <c r="AC128" i="1" s="1"/>
  <c r="AC146" i="1" s="1"/>
  <c r="AG151" i="1" s="1"/>
  <c r="AC263" i="1"/>
  <c r="AC147" i="1" s="1"/>
  <c r="AD140" i="1"/>
  <c r="R58" i="80" s="1"/>
  <c r="AD175" i="1"/>
  <c r="AD133" i="1"/>
  <c r="AD139" i="1" s="1"/>
  <c r="AD263" i="1"/>
  <c r="AD147" i="1" s="1"/>
  <c r="J210" i="1"/>
  <c r="AE226" i="1"/>
  <c r="AE229" i="1" s="1"/>
  <c r="AE235" i="1" s="1"/>
  <c r="AE234" i="1" s="1"/>
  <c r="AE227" i="1"/>
  <c r="AE228" i="1"/>
  <c r="AE232" i="1"/>
  <c r="AF227" i="1"/>
  <c r="AF228" i="1"/>
  <c r="AF232" i="1"/>
  <c r="AG140" i="1"/>
  <c r="U58" i="80" s="1"/>
  <c r="AG175" i="1"/>
  <c r="AC227" i="1"/>
  <c r="AG227" i="1"/>
  <c r="AG228" i="1"/>
  <c r="AG232" i="1"/>
  <c r="AH140" i="1"/>
  <c r="V58" i="80" s="1"/>
  <c r="AH175" i="1"/>
  <c r="AH228" i="1"/>
  <c r="AH229" i="1" s="1"/>
  <c r="AH235" i="1" s="1"/>
  <c r="AH234" i="1" s="1"/>
  <c r="AH152" i="1" s="1"/>
  <c r="AH232" i="1"/>
  <c r="AI228" i="1"/>
  <c r="AI229" i="1"/>
  <c r="AI235" i="1" s="1"/>
  <c r="AI234" i="1" s="1"/>
  <c r="AI232" i="1"/>
  <c r="D344" i="1"/>
  <c r="D345" i="1"/>
  <c r="D346" i="1"/>
  <c r="D348" i="1" s="1"/>
  <c r="D25" i="1" s="1"/>
  <c r="E344" i="1"/>
  <c r="E348" i="1" s="1"/>
  <c r="E25" i="1" s="1"/>
  <c r="E345" i="1"/>
  <c r="E346" i="1"/>
  <c r="F344" i="1"/>
  <c r="F348" i="1" s="1"/>
  <c r="F25" i="1" s="1"/>
  <c r="F345" i="1"/>
  <c r="F346" i="1"/>
  <c r="G344" i="1"/>
  <c r="G345" i="1"/>
  <c r="G346" i="1"/>
  <c r="G348" i="1"/>
  <c r="G25" i="1" s="1"/>
  <c r="H344" i="1"/>
  <c r="H348" i="1" s="1"/>
  <c r="H345" i="1"/>
  <c r="H346" i="1"/>
  <c r="I344" i="1"/>
  <c r="I348" i="1" s="1"/>
  <c r="I25" i="1" s="1"/>
  <c r="I345" i="1"/>
  <c r="I346" i="1"/>
  <c r="J344" i="1"/>
  <c r="J345" i="1"/>
  <c r="J346" i="1"/>
  <c r="J348" i="1"/>
  <c r="J25" i="1"/>
  <c r="K344" i="1"/>
  <c r="K345" i="1"/>
  <c r="K346" i="1"/>
  <c r="L344" i="1"/>
  <c r="L345" i="1"/>
  <c r="L346" i="1"/>
  <c r="L348" i="1" s="1"/>
  <c r="M344" i="1"/>
  <c r="M348" i="1" s="1"/>
  <c r="M25" i="1" s="1"/>
  <c r="M345" i="1"/>
  <c r="M346" i="1"/>
  <c r="N344" i="1"/>
  <c r="N345" i="1"/>
  <c r="N346" i="1"/>
  <c r="N348" i="1"/>
  <c r="N25" i="1" s="1"/>
  <c r="O344" i="1"/>
  <c r="O345" i="1"/>
  <c r="O346" i="1"/>
  <c r="O348" i="1"/>
  <c r="O25" i="1" s="1"/>
  <c r="P344" i="1"/>
  <c r="P345" i="1"/>
  <c r="P346" i="1"/>
  <c r="P348" i="1"/>
  <c r="P25" i="1" s="1"/>
  <c r="Q344" i="1"/>
  <c r="Q345" i="1"/>
  <c r="Q346" i="1"/>
  <c r="Q348" i="1"/>
  <c r="AO348" i="1" s="1"/>
  <c r="AO25" i="1" s="1"/>
  <c r="Q25" i="1"/>
  <c r="R344" i="1"/>
  <c r="R345" i="1"/>
  <c r="R346" i="1"/>
  <c r="R348" i="1"/>
  <c r="R25" i="1"/>
  <c r="S344" i="1"/>
  <c r="S348" i="1" s="1"/>
  <c r="S25" i="1" s="1"/>
  <c r="S345" i="1"/>
  <c r="S346" i="1"/>
  <c r="T344" i="1"/>
  <c r="T345" i="1"/>
  <c r="T346" i="1"/>
  <c r="T348" i="1" s="1"/>
  <c r="T25" i="1"/>
  <c r="U344" i="1"/>
  <c r="U348" i="1" s="1"/>
  <c r="U25" i="1" s="1"/>
  <c r="U345" i="1"/>
  <c r="U346" i="1"/>
  <c r="V344" i="1"/>
  <c r="V348" i="1" s="1"/>
  <c r="V25" i="1" s="1"/>
  <c r="V345" i="1"/>
  <c r="V346" i="1"/>
  <c r="W344" i="1"/>
  <c r="W345" i="1"/>
  <c r="W346" i="1"/>
  <c r="W348" i="1"/>
  <c r="W25" i="1" s="1"/>
  <c r="X344" i="1"/>
  <c r="X345" i="1"/>
  <c r="X346" i="1"/>
  <c r="Y344" i="1"/>
  <c r="Y348" i="1" s="1"/>
  <c r="Y25" i="1" s="1"/>
  <c r="Y345" i="1"/>
  <c r="Y346" i="1"/>
  <c r="Z344" i="1"/>
  <c r="Z345" i="1"/>
  <c r="Z346" i="1"/>
  <c r="Z348" i="1"/>
  <c r="Z25" i="1"/>
  <c r="AA344" i="1"/>
  <c r="AA345" i="1"/>
  <c r="AA346" i="1"/>
  <c r="AB344" i="1"/>
  <c r="AB345" i="1"/>
  <c r="AB346" i="1"/>
  <c r="AB348" i="1" s="1"/>
  <c r="AB25" i="1" s="1"/>
  <c r="AC344" i="1"/>
  <c r="AC348" i="1" s="1"/>
  <c r="AC25" i="1" s="1"/>
  <c r="AC345" i="1"/>
  <c r="AC346" i="1"/>
  <c r="AD344" i="1"/>
  <c r="AD345" i="1"/>
  <c r="AD346" i="1"/>
  <c r="AD348" i="1"/>
  <c r="AD25" i="1" s="1"/>
  <c r="AK354" i="1"/>
  <c r="AK25" i="1" s="1"/>
  <c r="AL344" i="1"/>
  <c r="AL345" i="1"/>
  <c r="AL346" i="1"/>
  <c r="AL348" i="1"/>
  <c r="AL25" i="1"/>
  <c r="AM354" i="1"/>
  <c r="AN354" i="1"/>
  <c r="AO354" i="1"/>
  <c r="AP354" i="1"/>
  <c r="AQ354" i="1"/>
  <c r="M26" i="1"/>
  <c r="AC26" i="1"/>
  <c r="D276" i="1"/>
  <c r="D277" i="1" s="1"/>
  <c r="D284" i="1" s="1"/>
  <c r="D286" i="1" s="1"/>
  <c r="D326" i="1" s="1"/>
  <c r="D331" i="1" s="1"/>
  <c r="D327" i="1"/>
  <c r="D328" i="1"/>
  <c r="D329" i="1"/>
  <c r="AK271" i="1"/>
  <c r="D333" i="1"/>
  <c r="D340" i="1"/>
  <c r="D37" i="1"/>
  <c r="E276" i="1"/>
  <c r="E277" i="1" s="1"/>
  <c r="E284" i="1" s="1"/>
  <c r="E286" i="1" s="1"/>
  <c r="E326" i="1" s="1"/>
  <c r="E331" i="1" s="1"/>
  <c r="E341" i="1" s="1"/>
  <c r="E38" i="1" s="1"/>
  <c r="E327" i="1"/>
  <c r="E328" i="1"/>
  <c r="E329" i="1"/>
  <c r="E333" i="1"/>
  <c r="E340" i="1"/>
  <c r="E37" i="1"/>
  <c r="F276" i="1"/>
  <c r="F277" i="1" s="1"/>
  <c r="F284" i="1" s="1"/>
  <c r="F286" i="1" s="1"/>
  <c r="F326" i="1" s="1"/>
  <c r="F331" i="1" s="1"/>
  <c r="F341" i="1" s="1"/>
  <c r="F327" i="1"/>
  <c r="F328" i="1"/>
  <c r="F329" i="1"/>
  <c r="F333" i="1"/>
  <c r="F340" i="1"/>
  <c r="F38" i="1"/>
  <c r="F37" i="1"/>
  <c r="G276" i="1"/>
  <c r="G277" i="1" s="1"/>
  <c r="G284" i="1" s="1"/>
  <c r="G286" i="1" s="1"/>
  <c r="G326" i="1" s="1"/>
  <c r="G331" i="1" s="1"/>
  <c r="G341" i="1" s="1"/>
  <c r="G38" i="1" s="1"/>
  <c r="G327" i="1"/>
  <c r="G328" i="1"/>
  <c r="G329" i="1"/>
  <c r="G333" i="1"/>
  <c r="G340" i="1"/>
  <c r="G37" i="1"/>
  <c r="H276" i="1"/>
  <c r="H277" i="1" s="1"/>
  <c r="H284" i="1" s="1"/>
  <c r="H286" i="1" s="1"/>
  <c r="H326" i="1" s="1"/>
  <c r="H331" i="1" s="1"/>
  <c r="H341" i="1" s="1"/>
  <c r="H327" i="1"/>
  <c r="H328" i="1"/>
  <c r="H329" i="1"/>
  <c r="H37" i="1"/>
  <c r="I276" i="1"/>
  <c r="I277" i="1" s="1"/>
  <c r="I284" i="1" s="1"/>
  <c r="I286" i="1" s="1"/>
  <c r="I326" i="1" s="1"/>
  <c r="I331" i="1" s="1"/>
  <c r="I341" i="1" s="1"/>
  <c r="I38" i="1" s="1"/>
  <c r="I327" i="1"/>
  <c r="I328" i="1"/>
  <c r="I329" i="1"/>
  <c r="I37" i="1"/>
  <c r="J276" i="1"/>
  <c r="J277" i="1"/>
  <c r="J284" i="1" s="1"/>
  <c r="J286" i="1" s="1"/>
  <c r="J326" i="1" s="1"/>
  <c r="J331" i="1" s="1"/>
  <c r="J341" i="1" s="1"/>
  <c r="J38" i="1" s="1"/>
  <c r="J327" i="1"/>
  <c r="J328" i="1"/>
  <c r="J329" i="1"/>
  <c r="J37" i="1"/>
  <c r="K276" i="1"/>
  <c r="K277" i="1" s="1"/>
  <c r="K284" i="1" s="1"/>
  <c r="K286" i="1" s="1"/>
  <c r="K326" i="1" s="1"/>
  <c r="K331" i="1" s="1"/>
  <c r="K341" i="1" s="1"/>
  <c r="K38" i="1" s="1"/>
  <c r="K327" i="1"/>
  <c r="K328" i="1"/>
  <c r="K329" i="1"/>
  <c r="K37" i="1"/>
  <c r="L276" i="1"/>
  <c r="L277" i="1" s="1"/>
  <c r="L284" i="1" s="1"/>
  <c r="L286" i="1" s="1"/>
  <c r="L326" i="1"/>
  <c r="L331" i="1" s="1"/>
  <c r="L341" i="1" s="1"/>
  <c r="L327" i="1"/>
  <c r="L328" i="1"/>
  <c r="L329" i="1"/>
  <c r="L37" i="1"/>
  <c r="M276" i="1"/>
  <c r="M277" i="1" s="1"/>
  <c r="M284" i="1" s="1"/>
  <c r="M286" i="1" s="1"/>
  <c r="M326" i="1" s="1"/>
  <c r="M327" i="1"/>
  <c r="M328" i="1"/>
  <c r="M329" i="1"/>
  <c r="M37" i="1"/>
  <c r="N276" i="1"/>
  <c r="N277" i="1" s="1"/>
  <c r="N284" i="1" s="1"/>
  <c r="N286" i="1" s="1"/>
  <c r="N326" i="1" s="1"/>
  <c r="N327" i="1"/>
  <c r="N328" i="1"/>
  <c r="N329" i="1"/>
  <c r="N331" i="1"/>
  <c r="N341" i="1" s="1"/>
  <c r="N38" i="1" s="1"/>
  <c r="N37" i="1"/>
  <c r="O276" i="1"/>
  <c r="O277" i="1" s="1"/>
  <c r="O284" i="1" s="1"/>
  <c r="O286" i="1" s="1"/>
  <c r="O326" i="1" s="1"/>
  <c r="O331" i="1" s="1"/>
  <c r="O341" i="1" s="1"/>
  <c r="O38" i="1" s="1"/>
  <c r="O327" i="1"/>
  <c r="O328" i="1"/>
  <c r="O329" i="1"/>
  <c r="O37" i="1"/>
  <c r="O47" i="1" s="1"/>
  <c r="P276" i="1"/>
  <c r="P277" i="1"/>
  <c r="P284" i="1"/>
  <c r="P286" i="1" s="1"/>
  <c r="P326" i="1" s="1"/>
  <c r="P331" i="1" s="1"/>
  <c r="P341" i="1" s="1"/>
  <c r="P38" i="1" s="1"/>
  <c r="P327" i="1"/>
  <c r="P328" i="1"/>
  <c r="P329" i="1"/>
  <c r="P37" i="1"/>
  <c r="P33" i="1"/>
  <c r="Q276" i="1"/>
  <c r="Q277" i="1" s="1"/>
  <c r="Q284" i="1" s="1"/>
  <c r="Q286" i="1" s="1"/>
  <c r="Q326" i="1" s="1"/>
  <c r="Q331" i="1" s="1"/>
  <c r="Q341" i="1" s="1"/>
  <c r="Q38" i="1" s="1"/>
  <c r="Q327" i="1"/>
  <c r="Q328" i="1"/>
  <c r="Q329" i="1"/>
  <c r="Q37" i="1"/>
  <c r="R276" i="1"/>
  <c r="R277" i="1"/>
  <c r="R284" i="1" s="1"/>
  <c r="R286" i="1" s="1"/>
  <c r="R326" i="1" s="1"/>
  <c r="R331" i="1" s="1"/>
  <c r="R341" i="1" s="1"/>
  <c r="R38" i="1" s="1"/>
  <c r="R327" i="1"/>
  <c r="R328" i="1"/>
  <c r="R329" i="1"/>
  <c r="R37" i="1"/>
  <c r="S276" i="1"/>
  <c r="S277" i="1" s="1"/>
  <c r="S284" i="1"/>
  <c r="S286" i="1" s="1"/>
  <c r="S326" i="1" s="1"/>
  <c r="S331" i="1" s="1"/>
  <c r="S341" i="1" s="1"/>
  <c r="S38" i="1" s="1"/>
  <c r="S327" i="1"/>
  <c r="S328" i="1"/>
  <c r="S329" i="1"/>
  <c r="S37" i="1"/>
  <c r="T276" i="1"/>
  <c r="T277" i="1" s="1"/>
  <c r="T284" i="1" s="1"/>
  <c r="T286" i="1" s="1"/>
  <c r="T326" i="1"/>
  <c r="T331" i="1" s="1"/>
  <c r="T341" i="1" s="1"/>
  <c r="T327" i="1"/>
  <c r="T328" i="1"/>
  <c r="T329" i="1"/>
  <c r="T37" i="1"/>
  <c r="U276" i="1"/>
  <c r="U277" i="1" s="1"/>
  <c r="U284" i="1" s="1"/>
  <c r="U286" i="1" s="1"/>
  <c r="U326" i="1" s="1"/>
  <c r="U331" i="1" s="1"/>
  <c r="U341" i="1" s="1"/>
  <c r="U38" i="1" s="1"/>
  <c r="U327" i="1"/>
  <c r="U328" i="1"/>
  <c r="U329" i="1"/>
  <c r="U37" i="1"/>
  <c r="V276" i="1"/>
  <c r="V277" i="1" s="1"/>
  <c r="V284" i="1" s="1"/>
  <c r="V286" i="1" s="1"/>
  <c r="V326" i="1" s="1"/>
  <c r="V327" i="1"/>
  <c r="V328" i="1"/>
  <c r="V329" i="1"/>
  <c r="V331" i="1"/>
  <c r="V341" i="1" s="1"/>
  <c r="V38" i="1" s="1"/>
  <c r="V37" i="1"/>
  <c r="W276" i="1"/>
  <c r="W277" i="1" s="1"/>
  <c r="W284" i="1" s="1"/>
  <c r="W286" i="1" s="1"/>
  <c r="W326" i="1" s="1"/>
  <c r="W331" i="1" s="1"/>
  <c r="W341" i="1" s="1"/>
  <c r="W327" i="1"/>
  <c r="W328" i="1"/>
  <c r="W329" i="1"/>
  <c r="W38" i="1"/>
  <c r="W37" i="1"/>
  <c r="X276" i="1"/>
  <c r="X277" i="1" s="1"/>
  <c r="X284" i="1" s="1"/>
  <c r="X286" i="1" s="1"/>
  <c r="X326" i="1" s="1"/>
  <c r="X331" i="1" s="1"/>
  <c r="X341" i="1" s="1"/>
  <c r="X327" i="1"/>
  <c r="X328" i="1"/>
  <c r="X329" i="1"/>
  <c r="X37" i="1"/>
  <c r="Y276" i="1"/>
  <c r="Y277" i="1" s="1"/>
  <c r="Y284" i="1" s="1"/>
  <c r="Y286" i="1" s="1"/>
  <c r="Y326" i="1" s="1"/>
  <c r="Y331" i="1" s="1"/>
  <c r="Y341" i="1" s="1"/>
  <c r="Y38" i="1" s="1"/>
  <c r="Y327" i="1"/>
  <c r="Y328" i="1"/>
  <c r="Y329" i="1"/>
  <c r="Y37" i="1"/>
  <c r="Z276" i="1"/>
  <c r="Z277" i="1"/>
  <c r="Z284" i="1" s="1"/>
  <c r="Z286" i="1" s="1"/>
  <c r="Z326" i="1" s="1"/>
  <c r="Z331" i="1" s="1"/>
  <c r="Z341" i="1" s="1"/>
  <c r="Z38" i="1" s="1"/>
  <c r="Z327" i="1"/>
  <c r="Z328" i="1"/>
  <c r="Z329" i="1"/>
  <c r="Z37" i="1"/>
  <c r="AA276" i="1"/>
  <c r="AA277" i="1" s="1"/>
  <c r="AA284" i="1" s="1"/>
  <c r="AA286" i="1"/>
  <c r="AA326" i="1" s="1"/>
  <c r="AA331" i="1" s="1"/>
  <c r="AA341" i="1" s="1"/>
  <c r="AA38" i="1" s="1"/>
  <c r="AA327" i="1"/>
  <c r="AA328" i="1"/>
  <c r="AA329" i="1"/>
  <c r="AA37" i="1"/>
  <c r="AB276" i="1"/>
  <c r="AB277" i="1" s="1"/>
  <c r="AB284" i="1" s="1"/>
  <c r="AB286" i="1" s="1"/>
  <c r="AB326" i="1" s="1"/>
  <c r="AB331" i="1" s="1"/>
  <c r="AB341" i="1" s="1"/>
  <c r="AB38" i="1" s="1"/>
  <c r="AB327" i="1"/>
  <c r="AB328" i="1"/>
  <c r="AB329" i="1"/>
  <c r="AB37" i="1"/>
  <c r="AC276" i="1"/>
  <c r="AC277" i="1" s="1"/>
  <c r="AC284" i="1" s="1"/>
  <c r="AC286" i="1" s="1"/>
  <c r="AC326" i="1" s="1"/>
  <c r="AC327" i="1"/>
  <c r="AC328" i="1"/>
  <c r="AC329" i="1"/>
  <c r="AC37" i="1"/>
  <c r="AD276" i="1"/>
  <c r="AD277" i="1" s="1"/>
  <c r="AD284" i="1" s="1"/>
  <c r="AD286" i="1" s="1"/>
  <c r="AD326" i="1" s="1"/>
  <c r="AD331" i="1" s="1"/>
  <c r="AD341" i="1" s="1"/>
  <c r="AD38" i="1" s="1"/>
  <c r="AD327" i="1"/>
  <c r="AD328" i="1"/>
  <c r="AD329" i="1"/>
  <c r="AD37" i="1"/>
  <c r="AF37" i="1"/>
  <c r="AG37" i="1"/>
  <c r="AH37" i="1" s="1"/>
  <c r="AK332" i="1"/>
  <c r="AK334" i="1"/>
  <c r="AK335" i="1"/>
  <c r="AK336" i="1"/>
  <c r="AK337" i="1"/>
  <c r="AK338" i="1"/>
  <c r="AK330" i="1"/>
  <c r="AK37" i="1" s="1"/>
  <c r="AK47" i="1" s="1"/>
  <c r="AL276" i="1"/>
  <c r="AL277" i="1" s="1"/>
  <c r="AL284" i="1" s="1"/>
  <c r="AL286" i="1" s="1"/>
  <c r="AL326" i="1" s="1"/>
  <c r="AL331" i="1" s="1"/>
  <c r="AL341" i="1" s="1"/>
  <c r="AL327" i="1"/>
  <c r="AL328" i="1"/>
  <c r="AL329" i="1"/>
  <c r="AL38" i="1"/>
  <c r="AL37" i="1"/>
  <c r="AM330" i="1"/>
  <c r="AM37" i="1" s="1"/>
  <c r="AM47" i="1" s="1"/>
  <c r="AN330" i="1"/>
  <c r="AN37" i="1" s="1"/>
  <c r="AO330" i="1"/>
  <c r="AO37" i="1" s="1"/>
  <c r="AO47" i="1" s="1"/>
  <c r="AP330" i="1"/>
  <c r="AP37" i="1" s="1"/>
  <c r="AQ330" i="1"/>
  <c r="AQ37" i="1" s="1"/>
  <c r="AQ47" i="1" s="1"/>
  <c r="AR37" i="1"/>
  <c r="D42" i="1"/>
  <c r="E42" i="1"/>
  <c r="E79" i="1" s="1"/>
  <c r="F42" i="1"/>
  <c r="G42" i="1"/>
  <c r="H42" i="1"/>
  <c r="I42" i="1"/>
  <c r="J42" i="1"/>
  <c r="K42" i="1"/>
  <c r="L42" i="1"/>
  <c r="M42" i="1"/>
  <c r="N42" i="1"/>
  <c r="O42" i="1"/>
  <c r="P42" i="1"/>
  <c r="Q42" i="1"/>
  <c r="R42" i="1"/>
  <c r="S42" i="1"/>
  <c r="S79" i="1" s="1"/>
  <c r="T42" i="1"/>
  <c r="U42" i="1"/>
  <c r="U79" i="1" s="1"/>
  <c r="V42" i="1"/>
  <c r="W42" i="1"/>
  <c r="X42" i="1"/>
  <c r="Y42" i="1"/>
  <c r="Z42" i="1"/>
  <c r="AA42" i="1"/>
  <c r="AB42" i="1"/>
  <c r="AC42" i="1"/>
  <c r="AR42" i="1" s="1"/>
  <c r="AD42" i="1"/>
  <c r="AK42" i="1"/>
  <c r="AL42" i="1"/>
  <c r="AM334" i="1"/>
  <c r="AM42" i="1" s="1"/>
  <c r="AN334" i="1"/>
  <c r="AN42" i="1" s="1"/>
  <c r="AN79" i="1" s="1"/>
  <c r="AO334" i="1"/>
  <c r="AO42" i="1" s="1"/>
  <c r="AO79" i="1" s="1"/>
  <c r="AP334" i="1"/>
  <c r="AP42" i="1" s="1"/>
  <c r="AP79" i="1" s="1"/>
  <c r="AQ334" i="1"/>
  <c r="AQ42" i="1"/>
  <c r="AS42" i="1"/>
  <c r="D47" i="1"/>
  <c r="E47" i="1"/>
  <c r="F47" i="1"/>
  <c r="G47" i="1"/>
  <c r="H47" i="1"/>
  <c r="I47" i="1"/>
  <c r="J47" i="1"/>
  <c r="K47" i="1"/>
  <c r="L47" i="1"/>
  <c r="M47" i="1"/>
  <c r="N47" i="1"/>
  <c r="P47" i="1"/>
  <c r="Q47" i="1"/>
  <c r="R47" i="1"/>
  <c r="S47" i="1"/>
  <c r="T47" i="1"/>
  <c r="U47" i="1"/>
  <c r="V47" i="1"/>
  <c r="W47" i="1"/>
  <c r="X47" i="1"/>
  <c r="Y47" i="1"/>
  <c r="Z47" i="1"/>
  <c r="AA47" i="1"/>
  <c r="AB47" i="1"/>
  <c r="AC47" i="1"/>
  <c r="AD47" i="1"/>
  <c r="AE47" i="1"/>
  <c r="AF47" i="1"/>
  <c r="AG47" i="1"/>
  <c r="AL47" i="1"/>
  <c r="AN47" i="1"/>
  <c r="AP47" i="1"/>
  <c r="AR47" i="1"/>
  <c r="D52" i="1"/>
  <c r="E52" i="1"/>
  <c r="F52" i="1"/>
  <c r="G52" i="1"/>
  <c r="H52" i="1"/>
  <c r="I52" i="1"/>
  <c r="J52" i="1"/>
  <c r="K52" i="1"/>
  <c r="L52" i="1"/>
  <c r="M52" i="1"/>
  <c r="N52" i="1"/>
  <c r="O52" i="1"/>
  <c r="O74" i="1" s="1"/>
  <c r="P52" i="1"/>
  <c r="Q52" i="1"/>
  <c r="R52" i="1"/>
  <c r="R74" i="1" s="1"/>
  <c r="S52" i="1"/>
  <c r="T52" i="1"/>
  <c r="U52" i="1"/>
  <c r="V52" i="1"/>
  <c r="W52" i="1"/>
  <c r="X52" i="1"/>
  <c r="Y52" i="1"/>
  <c r="Z52" i="1"/>
  <c r="AA52" i="1"/>
  <c r="AB52" i="1"/>
  <c r="AC52" i="1"/>
  <c r="AD52" i="1"/>
  <c r="AD643" i="1"/>
  <c r="AE609" i="1"/>
  <c r="AE611" i="1" s="1"/>
  <c r="AE105" i="1" s="1"/>
  <c r="AE610" i="1"/>
  <c r="AD105" i="1"/>
  <c r="AD106" i="1"/>
  <c r="AD107" i="1"/>
  <c r="AF609" i="1"/>
  <c r="AF610" i="1"/>
  <c r="AF611" i="1" s="1"/>
  <c r="AF105" i="1"/>
  <c r="AG609" i="1"/>
  <c r="AG610" i="1"/>
  <c r="AH609" i="1"/>
  <c r="AK279" i="1"/>
  <c r="AK52" i="1" s="1"/>
  <c r="AK74" i="1" s="1"/>
  <c r="AK283" i="1"/>
  <c r="AL52" i="1"/>
  <c r="AM279" i="1"/>
  <c r="AM283" i="1"/>
  <c r="AM52" i="1" s="1"/>
  <c r="AN279" i="1"/>
  <c r="AN283" i="1"/>
  <c r="AN52" i="1"/>
  <c r="AN74" i="1" s="1"/>
  <c r="AO279" i="1"/>
  <c r="AO283" i="1"/>
  <c r="AO52" i="1"/>
  <c r="AP279" i="1"/>
  <c r="AP283" i="1"/>
  <c r="AP52" i="1"/>
  <c r="AQ279" i="1"/>
  <c r="AQ52" i="1" s="1"/>
  <c r="AQ74" i="1" s="1"/>
  <c r="AQ283" i="1"/>
  <c r="M319" i="1"/>
  <c r="M56" i="1" s="1"/>
  <c r="N319" i="1"/>
  <c r="N56" i="1"/>
  <c r="O318" i="1"/>
  <c r="P319" i="1"/>
  <c r="O319" i="1"/>
  <c r="O56" i="1"/>
  <c r="P56" i="1"/>
  <c r="Q56" i="1"/>
  <c r="R319" i="1"/>
  <c r="R56" i="1" s="1"/>
  <c r="S318" i="1"/>
  <c r="S56" i="1" s="1"/>
  <c r="S319" i="1"/>
  <c r="T56" i="1"/>
  <c r="U56" i="1"/>
  <c r="V319" i="1"/>
  <c r="V56" i="1" s="1"/>
  <c r="W56" i="1"/>
  <c r="X56" i="1"/>
  <c r="Y56" i="1"/>
  <c r="Z56" i="1"/>
  <c r="AA318" i="1"/>
  <c r="AA56" i="1" s="1"/>
  <c r="AA319" i="1"/>
  <c r="AB56" i="1"/>
  <c r="AC56" i="1"/>
  <c r="AD56" i="1"/>
  <c r="AN319" i="1"/>
  <c r="AN56" i="1"/>
  <c r="AO319" i="1"/>
  <c r="AO56" i="1"/>
  <c r="AP319" i="1"/>
  <c r="AP56" i="1" s="1"/>
  <c r="AQ56" i="1"/>
  <c r="AS56" i="1"/>
  <c r="H58" i="1"/>
  <c r="I58" i="1"/>
  <c r="J58" i="1"/>
  <c r="K58" i="1"/>
  <c r="L58" i="1"/>
  <c r="D62" i="1"/>
  <c r="D67" i="1" s="1"/>
  <c r="E62" i="1"/>
  <c r="E67" i="1" s="1"/>
  <c r="F62" i="1"/>
  <c r="G62" i="1"/>
  <c r="G67" i="1" s="1"/>
  <c r="H439" i="1"/>
  <c r="H62" i="1"/>
  <c r="I439" i="1"/>
  <c r="I62" i="1"/>
  <c r="J439" i="1"/>
  <c r="J62" i="1"/>
  <c r="K439" i="1"/>
  <c r="K62" i="1" s="1"/>
  <c r="L439" i="1"/>
  <c r="L62" i="1" s="1"/>
  <c r="M439" i="1"/>
  <c r="M62" i="1" s="1"/>
  <c r="N439" i="1"/>
  <c r="N62" i="1" s="1"/>
  <c r="O439" i="1"/>
  <c r="O62" i="1"/>
  <c r="O67" i="1" s="1"/>
  <c r="P439" i="1"/>
  <c r="P62" i="1"/>
  <c r="Q439" i="1"/>
  <c r="Q62" i="1"/>
  <c r="R439" i="1"/>
  <c r="R62" i="1"/>
  <c r="S439" i="1"/>
  <c r="S62" i="1" s="1"/>
  <c r="T439" i="1"/>
  <c r="T62" i="1" s="1"/>
  <c r="U439" i="1"/>
  <c r="U62" i="1" s="1"/>
  <c r="V439" i="1"/>
  <c r="V62" i="1" s="1"/>
  <c r="W439" i="1"/>
  <c r="W62" i="1"/>
  <c r="X439" i="1"/>
  <c r="X62" i="1"/>
  <c r="Y439" i="1"/>
  <c r="Y62" i="1"/>
  <c r="Z439" i="1"/>
  <c r="Z62" i="1"/>
  <c r="Z67" i="1" s="1"/>
  <c r="AA439" i="1"/>
  <c r="AA62" i="1" s="1"/>
  <c r="AA67" i="1" s="1"/>
  <c r="AB439" i="1"/>
  <c r="AB62" i="1" s="1"/>
  <c r="AB67" i="1" s="1"/>
  <c r="AC439" i="1"/>
  <c r="AC62" i="1" s="1"/>
  <c r="AD439" i="1"/>
  <c r="AD62" i="1" s="1"/>
  <c r="AK439" i="1"/>
  <c r="AK62" i="1" s="1"/>
  <c r="AK67" i="1" s="1"/>
  <c r="AL439" i="1"/>
  <c r="AL62" i="1"/>
  <c r="AM507" i="1"/>
  <c r="AM439" i="1"/>
  <c r="AM62" i="1"/>
  <c r="AN507" i="1"/>
  <c r="AN439" i="1"/>
  <c r="AN62" i="1" s="1"/>
  <c r="AO507" i="1"/>
  <c r="AO439" i="1" s="1"/>
  <c r="AO62" i="1" s="1"/>
  <c r="AO67" i="1" s="1"/>
  <c r="AP507" i="1"/>
  <c r="AP439" i="1"/>
  <c r="AP62" i="1" s="1"/>
  <c r="AQ507" i="1"/>
  <c r="AQ439" i="1" s="1"/>
  <c r="AQ62" i="1" s="1"/>
  <c r="AQ67" i="1" s="1"/>
  <c r="D63" i="1"/>
  <c r="E63" i="1"/>
  <c r="F63" i="1"/>
  <c r="G63" i="1"/>
  <c r="H438" i="1"/>
  <c r="H63" i="1"/>
  <c r="I438" i="1"/>
  <c r="I63" i="1" s="1"/>
  <c r="J438" i="1"/>
  <c r="J63" i="1"/>
  <c r="K438" i="1"/>
  <c r="K63" i="1"/>
  <c r="L438" i="1"/>
  <c r="L63" i="1"/>
  <c r="M438" i="1"/>
  <c r="M63" i="1" s="1"/>
  <c r="N438" i="1"/>
  <c r="N63" i="1" s="1"/>
  <c r="O438" i="1"/>
  <c r="O63" i="1"/>
  <c r="P438" i="1"/>
  <c r="P63" i="1"/>
  <c r="Q438" i="1"/>
  <c r="Q63" i="1" s="1"/>
  <c r="R438" i="1"/>
  <c r="R63" i="1"/>
  <c r="S438" i="1"/>
  <c r="S63" i="1"/>
  <c r="T438" i="1"/>
  <c r="T63" i="1"/>
  <c r="U438" i="1"/>
  <c r="U63" i="1" s="1"/>
  <c r="V438" i="1"/>
  <c r="V63" i="1" s="1"/>
  <c r="W438" i="1"/>
  <c r="W63" i="1"/>
  <c r="X438" i="1"/>
  <c r="X63" i="1"/>
  <c r="Y438" i="1"/>
  <c r="Y63" i="1" s="1"/>
  <c r="Z438" i="1"/>
  <c r="Z63" i="1"/>
  <c r="AA438" i="1"/>
  <c r="AA63" i="1"/>
  <c r="AB438" i="1"/>
  <c r="AB63" i="1"/>
  <c r="AC438" i="1"/>
  <c r="AC63" i="1" s="1"/>
  <c r="AD438" i="1"/>
  <c r="AD63" i="1" s="1"/>
  <c r="AL438" i="1"/>
  <c r="AL63" i="1"/>
  <c r="AM506" i="1"/>
  <c r="AM438" i="1"/>
  <c r="AM63" i="1" s="1"/>
  <c r="AM67" i="1" s="1"/>
  <c r="AN506" i="1"/>
  <c r="AN438" i="1"/>
  <c r="AN63" i="1"/>
  <c r="AO506" i="1"/>
  <c r="AO438" i="1"/>
  <c r="AO63" i="1" s="1"/>
  <c r="AP506" i="1"/>
  <c r="AP438" i="1"/>
  <c r="AP63" i="1" s="1"/>
  <c r="AQ506" i="1"/>
  <c r="AQ438" i="1" s="1"/>
  <c r="AQ63" i="1" s="1"/>
  <c r="D64" i="1"/>
  <c r="E64" i="1"/>
  <c r="F64" i="1"/>
  <c r="G64" i="1"/>
  <c r="H436" i="1"/>
  <c r="H64" i="1"/>
  <c r="I436" i="1"/>
  <c r="I64" i="1" s="1"/>
  <c r="J436" i="1"/>
  <c r="J64" i="1" s="1"/>
  <c r="K436" i="1"/>
  <c r="K64" i="1"/>
  <c r="L436" i="1"/>
  <c r="L64" i="1"/>
  <c r="M436" i="1"/>
  <c r="M64" i="1"/>
  <c r="N436" i="1"/>
  <c r="N64" i="1"/>
  <c r="O436" i="1"/>
  <c r="O64" i="1" s="1"/>
  <c r="P436" i="1"/>
  <c r="P64" i="1"/>
  <c r="Q436" i="1"/>
  <c r="Q64" i="1" s="1"/>
  <c r="R436" i="1"/>
  <c r="R64" i="1" s="1"/>
  <c r="S436" i="1"/>
  <c r="S64" i="1" s="1"/>
  <c r="T436" i="1"/>
  <c r="T64" i="1"/>
  <c r="U436" i="1"/>
  <c r="U64" i="1"/>
  <c r="V436" i="1"/>
  <c r="V64" i="1"/>
  <c r="W436" i="1"/>
  <c r="W64" i="1" s="1"/>
  <c r="X436" i="1"/>
  <c r="X64" i="1"/>
  <c r="Y436" i="1"/>
  <c r="Y64" i="1" s="1"/>
  <c r="Z436" i="1"/>
  <c r="Z64" i="1" s="1"/>
  <c r="AA436" i="1"/>
  <c r="AA64" i="1"/>
  <c r="AB436" i="1"/>
  <c r="AB64" i="1"/>
  <c r="AC436" i="1"/>
  <c r="AC64" i="1"/>
  <c r="AD436" i="1"/>
  <c r="AD64" i="1"/>
  <c r="AK436" i="1"/>
  <c r="AK64" i="1" s="1"/>
  <c r="AL436" i="1"/>
  <c r="AL64" i="1"/>
  <c r="AM504" i="1"/>
  <c r="AM436" i="1" s="1"/>
  <c r="AM64" i="1"/>
  <c r="AN504" i="1"/>
  <c r="AN436" i="1"/>
  <c r="AN64" i="1"/>
  <c r="AO504" i="1"/>
  <c r="AO436" i="1"/>
  <c r="AO64" i="1" s="1"/>
  <c r="AP504" i="1"/>
  <c r="AP436" i="1"/>
  <c r="AP64" i="1"/>
  <c r="AQ504" i="1"/>
  <c r="AQ436" i="1" s="1"/>
  <c r="AQ64" i="1" s="1"/>
  <c r="D65" i="1"/>
  <c r="E65" i="1"/>
  <c r="F65" i="1"/>
  <c r="G65" i="1"/>
  <c r="H428" i="1"/>
  <c r="H65" i="1"/>
  <c r="I428" i="1"/>
  <c r="I65" i="1" s="1"/>
  <c r="J428" i="1"/>
  <c r="J65" i="1" s="1"/>
  <c r="K428" i="1"/>
  <c r="K65" i="1"/>
  <c r="L428" i="1"/>
  <c r="L65" i="1"/>
  <c r="M428" i="1"/>
  <c r="M65" i="1" s="1"/>
  <c r="N428" i="1"/>
  <c r="N65" i="1"/>
  <c r="O428" i="1"/>
  <c r="O65" i="1"/>
  <c r="P428" i="1"/>
  <c r="P65" i="1"/>
  <c r="Q428" i="1"/>
  <c r="Q65" i="1" s="1"/>
  <c r="R428" i="1"/>
  <c r="R65" i="1" s="1"/>
  <c r="S428" i="1"/>
  <c r="S65" i="1"/>
  <c r="T428" i="1"/>
  <c r="T65" i="1"/>
  <c r="U428" i="1"/>
  <c r="U65" i="1" s="1"/>
  <c r="V428" i="1"/>
  <c r="V65" i="1"/>
  <c r="W428" i="1"/>
  <c r="W65" i="1"/>
  <c r="X428" i="1"/>
  <c r="X65" i="1"/>
  <c r="X67" i="1" s="1"/>
  <c r="Y428" i="1"/>
  <c r="Y65" i="1" s="1"/>
  <c r="Z428" i="1"/>
  <c r="Z65" i="1" s="1"/>
  <c r="AA428" i="1"/>
  <c r="AA65" i="1"/>
  <c r="AB428" i="1"/>
  <c r="AB65" i="1"/>
  <c r="AC428" i="1"/>
  <c r="AC65" i="1" s="1"/>
  <c r="AD428" i="1"/>
  <c r="AD65" i="1"/>
  <c r="AK65" i="1"/>
  <c r="AL428" i="1"/>
  <c r="AL65" i="1" s="1"/>
  <c r="AM496" i="1"/>
  <c r="AM428" i="1"/>
  <c r="AM65" i="1" s="1"/>
  <c r="AN496" i="1"/>
  <c r="AN428" i="1" s="1"/>
  <c r="AN65" i="1" s="1"/>
  <c r="AO496" i="1"/>
  <c r="AO428" i="1"/>
  <c r="AO65" i="1"/>
  <c r="AP496" i="1"/>
  <c r="AP428" i="1" s="1"/>
  <c r="AP65" i="1" s="1"/>
  <c r="AQ496" i="1"/>
  <c r="AQ428" i="1" s="1"/>
  <c r="AQ65" i="1" s="1"/>
  <c r="D66" i="1"/>
  <c r="E66" i="1"/>
  <c r="F66" i="1"/>
  <c r="G66" i="1"/>
  <c r="H433" i="1"/>
  <c r="H66" i="1" s="1"/>
  <c r="I433" i="1"/>
  <c r="I66" i="1"/>
  <c r="J433" i="1"/>
  <c r="J66" i="1"/>
  <c r="K433" i="1"/>
  <c r="K66" i="1" s="1"/>
  <c r="L433" i="1"/>
  <c r="L66" i="1"/>
  <c r="M433" i="1"/>
  <c r="M66" i="1"/>
  <c r="N433" i="1"/>
  <c r="N66" i="1"/>
  <c r="O433" i="1"/>
  <c r="O66" i="1" s="1"/>
  <c r="P433" i="1"/>
  <c r="P66" i="1" s="1"/>
  <c r="Q433" i="1"/>
  <c r="Q66" i="1"/>
  <c r="R433" i="1"/>
  <c r="R66" i="1"/>
  <c r="S433" i="1"/>
  <c r="S66" i="1" s="1"/>
  <c r="T433" i="1"/>
  <c r="T66" i="1"/>
  <c r="U433" i="1"/>
  <c r="U66" i="1"/>
  <c r="V433" i="1"/>
  <c r="V66" i="1"/>
  <c r="W433" i="1"/>
  <c r="W66" i="1" s="1"/>
  <c r="X433" i="1"/>
  <c r="X66" i="1" s="1"/>
  <c r="Y433" i="1"/>
  <c r="Y66" i="1"/>
  <c r="Z433" i="1"/>
  <c r="Z66" i="1"/>
  <c r="AA433" i="1"/>
  <c r="AA66" i="1" s="1"/>
  <c r="AB433" i="1"/>
  <c r="AB66" i="1"/>
  <c r="AC433" i="1"/>
  <c r="AC66" i="1"/>
  <c r="AD433" i="1"/>
  <c r="AD66" i="1"/>
  <c r="AK433" i="1"/>
  <c r="AK66" i="1" s="1"/>
  <c r="AL433" i="1"/>
  <c r="AL66" i="1" s="1"/>
  <c r="AM501" i="1"/>
  <c r="AM433" i="1"/>
  <c r="AM66" i="1"/>
  <c r="AN501" i="1"/>
  <c r="AN433" i="1" s="1"/>
  <c r="AN66" i="1" s="1"/>
  <c r="AO501" i="1"/>
  <c r="AO433" i="1"/>
  <c r="AO66" i="1" s="1"/>
  <c r="AP501" i="1"/>
  <c r="AP433" i="1" s="1"/>
  <c r="AP66" i="1" s="1"/>
  <c r="AQ501" i="1"/>
  <c r="AQ433" i="1" s="1"/>
  <c r="AQ66" i="1" s="1"/>
  <c r="P67" i="1"/>
  <c r="Q67" i="1"/>
  <c r="D74" i="1"/>
  <c r="E74" i="1"/>
  <c r="F74" i="1"/>
  <c r="G74" i="1"/>
  <c r="H74" i="1"/>
  <c r="I74" i="1"/>
  <c r="J74" i="1"/>
  <c r="L74" i="1"/>
  <c r="N74" i="1"/>
  <c r="P74" i="1"/>
  <c r="Q74" i="1"/>
  <c r="S74" i="1"/>
  <c r="T74" i="1"/>
  <c r="U74" i="1"/>
  <c r="V74" i="1"/>
  <c r="W74" i="1"/>
  <c r="X74" i="1"/>
  <c r="Y74" i="1"/>
  <c r="Z74" i="1"/>
  <c r="AB74" i="1"/>
  <c r="AD74" i="1"/>
  <c r="AL74" i="1"/>
  <c r="AO74" i="1"/>
  <c r="AP74" i="1"/>
  <c r="D79" i="1"/>
  <c r="F79" i="1"/>
  <c r="G79" i="1"/>
  <c r="H79" i="1"/>
  <c r="I79" i="1"/>
  <c r="J79" i="1"/>
  <c r="K79" i="1"/>
  <c r="L79" i="1"/>
  <c r="M79" i="1"/>
  <c r="N79" i="1"/>
  <c r="O79" i="1"/>
  <c r="P79" i="1"/>
  <c r="Q79" i="1"/>
  <c r="R79" i="1"/>
  <c r="T79" i="1"/>
  <c r="V79" i="1"/>
  <c r="W79" i="1"/>
  <c r="X79" i="1"/>
  <c r="Y79" i="1"/>
  <c r="Z79" i="1"/>
  <c r="AA79" i="1"/>
  <c r="AB79" i="1"/>
  <c r="AC79" i="1"/>
  <c r="AD79" i="1"/>
  <c r="AK79" i="1"/>
  <c r="AL79" i="1"/>
  <c r="AM79" i="1"/>
  <c r="AQ79" i="1"/>
  <c r="AR79" i="1"/>
  <c r="AS79" i="1"/>
  <c r="D80" i="1"/>
  <c r="E80" i="1"/>
  <c r="F80" i="1"/>
  <c r="G80" i="1"/>
  <c r="H418" i="1"/>
  <c r="H419" i="1"/>
  <c r="H420" i="1"/>
  <c r="H421" i="1"/>
  <c r="H422" i="1"/>
  <c r="H423" i="1"/>
  <c r="H424" i="1"/>
  <c r="H425" i="1"/>
  <c r="H426" i="1"/>
  <c r="I418" i="1"/>
  <c r="I419" i="1"/>
  <c r="I420" i="1"/>
  <c r="I421" i="1"/>
  <c r="I422" i="1"/>
  <c r="I423" i="1"/>
  <c r="I424" i="1"/>
  <c r="I425" i="1"/>
  <c r="I426" i="1"/>
  <c r="J418" i="1"/>
  <c r="J419" i="1"/>
  <c r="J420" i="1"/>
  <c r="J421" i="1"/>
  <c r="J422" i="1"/>
  <c r="J423" i="1"/>
  <c r="J424" i="1"/>
  <c r="J425" i="1"/>
  <c r="J426" i="1"/>
  <c r="K418" i="1"/>
  <c r="K80" i="1" s="1"/>
  <c r="K419" i="1"/>
  <c r="K420" i="1"/>
  <c r="K421" i="1"/>
  <c r="K422" i="1"/>
  <c r="K423" i="1"/>
  <c r="K424" i="1"/>
  <c r="K425" i="1"/>
  <c r="K426" i="1"/>
  <c r="L418" i="1"/>
  <c r="L419" i="1"/>
  <c r="L420" i="1"/>
  <c r="L421" i="1"/>
  <c r="L422" i="1"/>
  <c r="L423" i="1"/>
  <c r="L424" i="1"/>
  <c r="L425" i="1"/>
  <c r="L426" i="1"/>
  <c r="M418" i="1"/>
  <c r="M419" i="1"/>
  <c r="M420" i="1"/>
  <c r="M421" i="1"/>
  <c r="M422" i="1"/>
  <c r="M423" i="1"/>
  <c r="M424" i="1"/>
  <c r="M425" i="1"/>
  <c r="M426" i="1"/>
  <c r="N418" i="1"/>
  <c r="N419" i="1"/>
  <c r="N420" i="1"/>
  <c r="N421" i="1"/>
  <c r="N422" i="1"/>
  <c r="N423" i="1"/>
  <c r="N424" i="1"/>
  <c r="N425" i="1"/>
  <c r="N426" i="1"/>
  <c r="O418" i="1"/>
  <c r="O419" i="1"/>
  <c r="O420" i="1"/>
  <c r="O421" i="1"/>
  <c r="O422" i="1"/>
  <c r="O423" i="1"/>
  <c r="O424" i="1"/>
  <c r="O425" i="1"/>
  <c r="O426" i="1"/>
  <c r="P418" i="1"/>
  <c r="P419" i="1"/>
  <c r="P420" i="1"/>
  <c r="P421" i="1"/>
  <c r="P422" i="1"/>
  <c r="P423" i="1"/>
  <c r="P424" i="1"/>
  <c r="P425" i="1"/>
  <c r="P426" i="1"/>
  <c r="Q418" i="1"/>
  <c r="Q419" i="1"/>
  <c r="Q420" i="1"/>
  <c r="Q421" i="1"/>
  <c r="Q422" i="1"/>
  <c r="Q423" i="1"/>
  <c r="Q424" i="1"/>
  <c r="Q425" i="1"/>
  <c r="Q426" i="1"/>
  <c r="R418" i="1"/>
  <c r="R419" i="1"/>
  <c r="R80" i="1" s="1"/>
  <c r="R420" i="1"/>
  <c r="R421" i="1"/>
  <c r="R422" i="1"/>
  <c r="R423" i="1"/>
  <c r="R424" i="1"/>
  <c r="R425" i="1"/>
  <c r="R426" i="1"/>
  <c r="S418" i="1"/>
  <c r="S419" i="1"/>
  <c r="S420" i="1"/>
  <c r="S421" i="1"/>
  <c r="S422" i="1"/>
  <c r="S423" i="1"/>
  <c r="S424" i="1"/>
  <c r="S425" i="1"/>
  <c r="S426" i="1"/>
  <c r="T418" i="1"/>
  <c r="T419" i="1"/>
  <c r="T80" i="1" s="1"/>
  <c r="T420" i="1"/>
  <c r="T421" i="1"/>
  <c r="T422" i="1"/>
  <c r="T423" i="1"/>
  <c r="T424" i="1"/>
  <c r="T425" i="1"/>
  <c r="T426" i="1"/>
  <c r="U418" i="1"/>
  <c r="U419" i="1"/>
  <c r="U420" i="1"/>
  <c r="U421" i="1"/>
  <c r="U422" i="1"/>
  <c r="U423" i="1"/>
  <c r="U424" i="1"/>
  <c r="U425" i="1"/>
  <c r="U426" i="1"/>
  <c r="V418" i="1"/>
  <c r="V419" i="1"/>
  <c r="V420" i="1"/>
  <c r="V421" i="1"/>
  <c r="V422" i="1"/>
  <c r="V423" i="1"/>
  <c r="V424" i="1"/>
  <c r="V80" i="1" s="1"/>
  <c r="V425" i="1"/>
  <c r="V426" i="1"/>
  <c r="W418" i="1"/>
  <c r="W419" i="1"/>
  <c r="W420" i="1"/>
  <c r="W421" i="1"/>
  <c r="W80" i="1" s="1"/>
  <c r="W422" i="1"/>
  <c r="W423" i="1"/>
  <c r="W424" i="1"/>
  <c r="W425" i="1"/>
  <c r="W426" i="1"/>
  <c r="X418" i="1"/>
  <c r="X419" i="1"/>
  <c r="X420" i="1"/>
  <c r="X421" i="1"/>
  <c r="X422" i="1"/>
  <c r="X423" i="1"/>
  <c r="X424" i="1"/>
  <c r="X425" i="1"/>
  <c r="X426" i="1"/>
  <c r="Y418" i="1"/>
  <c r="Y80" i="1" s="1"/>
  <c r="Y419" i="1"/>
  <c r="Y420" i="1"/>
  <c r="Y421" i="1"/>
  <c r="Y422" i="1"/>
  <c r="Y423" i="1"/>
  <c r="Y424" i="1"/>
  <c r="Y425" i="1"/>
  <c r="Y426" i="1"/>
  <c r="Z418" i="1"/>
  <c r="Z419" i="1"/>
  <c r="Z420" i="1"/>
  <c r="Z421" i="1"/>
  <c r="Z422" i="1"/>
  <c r="Z423" i="1"/>
  <c r="Z424" i="1"/>
  <c r="Z425" i="1"/>
  <c r="Z426" i="1"/>
  <c r="AA418" i="1"/>
  <c r="AA80" i="1" s="1"/>
  <c r="AA419" i="1"/>
  <c r="AA420" i="1"/>
  <c r="AA421" i="1"/>
  <c r="AA422" i="1"/>
  <c r="AA423" i="1"/>
  <c r="AA424" i="1"/>
  <c r="AA425" i="1"/>
  <c r="AA426" i="1"/>
  <c r="AB418" i="1"/>
  <c r="AB419" i="1"/>
  <c r="AB420" i="1"/>
  <c r="AB421" i="1"/>
  <c r="AB422" i="1"/>
  <c r="AB423" i="1"/>
  <c r="AB424" i="1"/>
  <c r="AB425" i="1"/>
  <c r="AB426" i="1"/>
  <c r="AC418" i="1"/>
  <c r="AC80" i="1" s="1"/>
  <c r="AC419" i="1"/>
  <c r="AC420" i="1"/>
  <c r="AC421" i="1"/>
  <c r="AC422" i="1"/>
  <c r="AC423" i="1"/>
  <c r="AC424" i="1"/>
  <c r="AC425" i="1"/>
  <c r="AC426" i="1"/>
  <c r="AD418" i="1"/>
  <c r="AD419" i="1"/>
  <c r="AD420" i="1"/>
  <c r="AD80" i="1" s="1"/>
  <c r="AD421" i="1"/>
  <c r="AD422" i="1"/>
  <c r="AD423" i="1"/>
  <c r="AD424" i="1"/>
  <c r="AD425" i="1"/>
  <c r="AD426" i="1"/>
  <c r="AK418" i="1"/>
  <c r="AK419" i="1"/>
  <c r="AK420" i="1"/>
  <c r="AK421" i="1"/>
  <c r="AK422" i="1"/>
  <c r="AK423" i="1"/>
  <c r="AK424" i="1"/>
  <c r="AK425" i="1"/>
  <c r="AK426" i="1"/>
  <c r="AL418" i="1"/>
  <c r="AL419" i="1"/>
  <c r="AL420" i="1"/>
  <c r="AL421" i="1"/>
  <c r="AL422" i="1"/>
  <c r="AL423" i="1"/>
  <c r="AL424" i="1"/>
  <c r="AL425" i="1"/>
  <c r="AL426" i="1"/>
  <c r="AM486" i="1"/>
  <c r="AM418" i="1" s="1"/>
  <c r="AM487" i="1"/>
  <c r="AM419" i="1"/>
  <c r="AM488" i="1"/>
  <c r="AM420" i="1" s="1"/>
  <c r="AM489" i="1"/>
  <c r="AM421" i="1" s="1"/>
  <c r="AM490" i="1"/>
  <c r="AM422" i="1"/>
  <c r="AM491" i="1"/>
  <c r="AM423" i="1"/>
  <c r="AM492" i="1"/>
  <c r="AM424" i="1"/>
  <c r="AM425" i="1"/>
  <c r="AM494" i="1"/>
  <c r="AM426" i="1"/>
  <c r="AN486" i="1"/>
  <c r="AN418" i="1"/>
  <c r="AN487" i="1"/>
  <c r="AN419" i="1" s="1"/>
  <c r="AN488" i="1"/>
  <c r="AN420" i="1" s="1"/>
  <c r="AN489" i="1"/>
  <c r="AN421" i="1" s="1"/>
  <c r="AN490" i="1"/>
  <c r="AN422" i="1"/>
  <c r="AN491" i="1"/>
  <c r="AN423" i="1"/>
  <c r="AN492" i="1"/>
  <c r="AN424" i="1"/>
  <c r="AN425" i="1"/>
  <c r="AN494" i="1"/>
  <c r="AN426" i="1"/>
  <c r="AO486" i="1"/>
  <c r="AO418" i="1" s="1"/>
  <c r="AO487" i="1"/>
  <c r="AO419" i="1" s="1"/>
  <c r="AO488" i="1"/>
  <c r="AO420" i="1"/>
  <c r="AO489" i="1"/>
  <c r="AO421" i="1"/>
  <c r="AO490" i="1"/>
  <c r="AO422" i="1"/>
  <c r="AO491" i="1"/>
  <c r="AO423" i="1"/>
  <c r="AO492" i="1"/>
  <c r="AO424" i="1" s="1"/>
  <c r="AO425" i="1"/>
  <c r="AO494" i="1"/>
  <c r="AO426" i="1"/>
  <c r="AP486" i="1"/>
  <c r="AP418" i="1" s="1"/>
  <c r="AP487" i="1"/>
  <c r="AP419" i="1"/>
  <c r="AP488" i="1"/>
  <c r="AP420" i="1"/>
  <c r="AP489" i="1"/>
  <c r="AP421" i="1"/>
  <c r="AP490" i="1"/>
  <c r="AP422" i="1"/>
  <c r="AP491" i="1"/>
  <c r="AP423" i="1" s="1"/>
  <c r="AP492" i="1"/>
  <c r="AP424" i="1"/>
  <c r="AP425" i="1"/>
  <c r="AP494" i="1"/>
  <c r="AP426" i="1"/>
  <c r="AQ486" i="1"/>
  <c r="AQ418" i="1"/>
  <c r="AQ80" i="1" s="1"/>
  <c r="AQ487" i="1"/>
  <c r="AQ419" i="1"/>
  <c r="AQ488" i="1"/>
  <c r="AQ420" i="1"/>
  <c r="AQ489" i="1"/>
  <c r="AQ421" i="1"/>
  <c r="AQ490" i="1"/>
  <c r="AQ422" i="1" s="1"/>
  <c r="AQ491" i="1"/>
  <c r="AQ423" i="1"/>
  <c r="AQ492" i="1"/>
  <c r="AQ424" i="1" s="1"/>
  <c r="AQ425" i="1"/>
  <c r="AQ494" i="1"/>
  <c r="AQ426" i="1"/>
  <c r="AS80" i="1"/>
  <c r="D81" i="1"/>
  <c r="E81" i="1"/>
  <c r="F81" i="1"/>
  <c r="G81" i="1"/>
  <c r="H81" i="1"/>
  <c r="I81" i="1"/>
  <c r="J81" i="1"/>
  <c r="K81" i="1"/>
  <c r="L81" i="1"/>
  <c r="M81" i="1"/>
  <c r="N81" i="1"/>
  <c r="O81" i="1"/>
  <c r="P81" i="1"/>
  <c r="Q81" i="1"/>
  <c r="R81" i="1"/>
  <c r="S81" i="1"/>
  <c r="T81" i="1"/>
  <c r="U81" i="1"/>
  <c r="V81" i="1"/>
  <c r="W81" i="1"/>
  <c r="X81" i="1"/>
  <c r="Y81" i="1"/>
  <c r="Z81" i="1"/>
  <c r="AA81" i="1"/>
  <c r="AB81" i="1"/>
  <c r="AC81" i="1"/>
  <c r="AD81" i="1"/>
  <c r="AK81" i="1"/>
  <c r="AL81" i="1"/>
  <c r="AM332" i="1"/>
  <c r="AM81" i="1" s="1"/>
  <c r="AN332" i="1"/>
  <c r="AN81" i="1" s="1"/>
  <c r="AO332" i="1"/>
  <c r="AO81" i="1"/>
  <c r="AP332" i="1"/>
  <c r="AP81" i="1"/>
  <c r="AQ332" i="1"/>
  <c r="AQ81" i="1"/>
  <c r="AS81" i="1"/>
  <c r="D82" i="1"/>
  <c r="E82" i="1"/>
  <c r="F82" i="1"/>
  <c r="G82" i="1"/>
  <c r="H82" i="1"/>
  <c r="I82" i="1"/>
  <c r="J82" i="1"/>
  <c r="K82" i="1"/>
  <c r="L82" i="1"/>
  <c r="M82" i="1"/>
  <c r="N82" i="1"/>
  <c r="O82" i="1"/>
  <c r="P82" i="1"/>
  <c r="Q82" i="1"/>
  <c r="R82" i="1"/>
  <c r="S82" i="1"/>
  <c r="T82" i="1"/>
  <c r="U82" i="1"/>
  <c r="V82" i="1"/>
  <c r="W82" i="1"/>
  <c r="X82" i="1"/>
  <c r="Y82" i="1"/>
  <c r="Z82" i="1"/>
  <c r="AA82" i="1"/>
  <c r="AB82" i="1"/>
  <c r="AC82" i="1"/>
  <c r="AD82" i="1"/>
  <c r="AK82" i="1"/>
  <c r="AL82" i="1"/>
  <c r="AM333" i="1"/>
  <c r="AM82" i="1"/>
  <c r="AN333" i="1"/>
  <c r="AN82" i="1" s="1"/>
  <c r="AO333" i="1"/>
  <c r="AO82" i="1"/>
  <c r="AP333" i="1"/>
  <c r="AP82" i="1"/>
  <c r="AQ333" i="1"/>
  <c r="AQ82" i="1"/>
  <c r="AS82" i="1"/>
  <c r="D427" i="1"/>
  <c r="D429" i="1"/>
  <c r="D84" i="1" s="1"/>
  <c r="E427" i="1"/>
  <c r="E429" i="1"/>
  <c r="E84" i="1"/>
  <c r="F427" i="1"/>
  <c r="F429" i="1"/>
  <c r="F84" i="1"/>
  <c r="G427" i="1"/>
  <c r="G429" i="1"/>
  <c r="G84" i="1" s="1"/>
  <c r="H495" i="1"/>
  <c r="H497" i="1"/>
  <c r="H429" i="1"/>
  <c r="H84" i="1" s="1"/>
  <c r="I495" i="1"/>
  <c r="I497" i="1"/>
  <c r="J495" i="1"/>
  <c r="J497" i="1" s="1"/>
  <c r="K495" i="1"/>
  <c r="K497" i="1"/>
  <c r="L495" i="1"/>
  <c r="L497" i="1"/>
  <c r="L429" i="1"/>
  <c r="L84" i="1" s="1"/>
  <c r="M495" i="1"/>
  <c r="M497" i="1" s="1"/>
  <c r="N495" i="1"/>
  <c r="N497" i="1"/>
  <c r="O495" i="1"/>
  <c r="O497" i="1"/>
  <c r="O429" i="1"/>
  <c r="O84" i="1"/>
  <c r="P495" i="1"/>
  <c r="P497" i="1" s="1"/>
  <c r="P429" i="1" s="1"/>
  <c r="P84" i="1" s="1"/>
  <c r="Q495" i="1"/>
  <c r="Q497" i="1" s="1"/>
  <c r="R495" i="1"/>
  <c r="R497" i="1" s="1"/>
  <c r="S495" i="1"/>
  <c r="S497" i="1"/>
  <c r="S429" i="1" s="1"/>
  <c r="S84" i="1" s="1"/>
  <c r="T495" i="1"/>
  <c r="T497" i="1"/>
  <c r="T429" i="1" s="1"/>
  <c r="T84" i="1" s="1"/>
  <c r="U495" i="1"/>
  <c r="U497" i="1"/>
  <c r="U429" i="1" s="1"/>
  <c r="U84" i="1" s="1"/>
  <c r="V482" i="1"/>
  <c r="V495" i="1"/>
  <c r="V497" i="1" s="1"/>
  <c r="V429" i="1" s="1"/>
  <c r="V84" i="1" s="1"/>
  <c r="W482" i="1"/>
  <c r="W495" i="1"/>
  <c r="W497" i="1" s="1"/>
  <c r="X482" i="1"/>
  <c r="X495" i="1" s="1"/>
  <c r="X497" i="1" s="1"/>
  <c r="X429" i="1" s="1"/>
  <c r="X84" i="1"/>
  <c r="Y482" i="1"/>
  <c r="Y495" i="1"/>
  <c r="Y497" i="1"/>
  <c r="Y429" i="1"/>
  <c r="Y84" i="1" s="1"/>
  <c r="Z495" i="1"/>
  <c r="Z497" i="1" s="1"/>
  <c r="Z429" i="1" s="1"/>
  <c r="Z84" i="1" s="1"/>
  <c r="Z90" i="1" s="1"/>
  <c r="AA495" i="1"/>
  <c r="AA497" i="1" s="1"/>
  <c r="AB495" i="1"/>
  <c r="AB497" i="1"/>
  <c r="AB429" i="1" s="1"/>
  <c r="AB84" i="1" s="1"/>
  <c r="AC482" i="1"/>
  <c r="AC495" i="1" s="1"/>
  <c r="AC497" i="1" s="1"/>
  <c r="AD482" i="1"/>
  <c r="AD495" i="1" s="1"/>
  <c r="AD497" i="1" s="1"/>
  <c r="AD429" i="1"/>
  <c r="AD84" i="1" s="1"/>
  <c r="AD90" i="1" s="1"/>
  <c r="AK495" i="1"/>
  <c r="AK427" i="1"/>
  <c r="AL495" i="1"/>
  <c r="AL497" i="1" s="1"/>
  <c r="AL429" i="1" s="1"/>
  <c r="AL84" i="1" s="1"/>
  <c r="AM497" i="1"/>
  <c r="AM429" i="1" s="1"/>
  <c r="AM84" i="1" s="1"/>
  <c r="AN497" i="1"/>
  <c r="AN429" i="1"/>
  <c r="AN84" i="1"/>
  <c r="AQ497" i="1"/>
  <c r="AQ429" i="1" s="1"/>
  <c r="AS83" i="1"/>
  <c r="AE85" i="1"/>
  <c r="AF85" i="1"/>
  <c r="AG85" i="1"/>
  <c r="AH85" i="1"/>
  <c r="AI85" i="1"/>
  <c r="AO85" i="1"/>
  <c r="AP85" i="1"/>
  <c r="AQ85" i="1"/>
  <c r="AR85" i="1"/>
  <c r="AS85" i="1"/>
  <c r="AO86" i="1"/>
  <c r="AP86" i="1"/>
  <c r="AQ86" i="1"/>
  <c r="AR86" i="1"/>
  <c r="AS86" i="1"/>
  <c r="AO87" i="1"/>
  <c r="AP87" i="1"/>
  <c r="AQ87" i="1"/>
  <c r="AR87" i="1"/>
  <c r="AS87" i="1"/>
  <c r="AO88" i="1"/>
  <c r="AP88" i="1"/>
  <c r="AQ88" i="1"/>
  <c r="AR88" i="1"/>
  <c r="AS88" i="1"/>
  <c r="AO89" i="1"/>
  <c r="AP89" i="1"/>
  <c r="AQ89" i="1"/>
  <c r="AR89" i="1"/>
  <c r="AS89" i="1"/>
  <c r="X90" i="1"/>
  <c r="H432" i="1"/>
  <c r="H93" i="1" s="1"/>
  <c r="I432" i="1"/>
  <c r="I93" i="1" s="1"/>
  <c r="J432" i="1"/>
  <c r="J93" i="1"/>
  <c r="K432" i="1"/>
  <c r="K93" i="1" s="1"/>
  <c r="L432" i="1"/>
  <c r="L93" i="1"/>
  <c r="M432" i="1"/>
  <c r="M93" i="1"/>
  <c r="N432" i="1"/>
  <c r="N93" i="1"/>
  <c r="O432" i="1"/>
  <c r="O93" i="1"/>
  <c r="P432" i="1"/>
  <c r="P93" i="1" s="1"/>
  <c r="Q432" i="1"/>
  <c r="Q93" i="1" s="1"/>
  <c r="R432" i="1"/>
  <c r="R93" i="1" s="1"/>
  <c r="S432" i="1"/>
  <c r="S93" i="1" s="1"/>
  <c r="T432" i="1"/>
  <c r="T93" i="1"/>
  <c r="U432" i="1"/>
  <c r="U93" i="1"/>
  <c r="AP93" i="1" s="1"/>
  <c r="V432" i="1"/>
  <c r="V93" i="1"/>
  <c r="W432" i="1"/>
  <c r="W93" i="1"/>
  <c r="X432" i="1"/>
  <c r="X93" i="1" s="1"/>
  <c r="AQ93" i="1" s="1"/>
  <c r="Y432" i="1"/>
  <c r="Y93" i="1" s="1"/>
  <c r="Z432" i="1"/>
  <c r="Z93" i="1" s="1"/>
  <c r="AA432" i="1"/>
  <c r="AA93" i="1" s="1"/>
  <c r="AB432" i="1"/>
  <c r="AB93" i="1"/>
  <c r="AC432" i="1"/>
  <c r="AC93" i="1"/>
  <c r="AR93" i="1" s="1"/>
  <c r="AD432" i="1"/>
  <c r="AD93" i="1"/>
  <c r="AE93" i="1"/>
  <c r="AL432" i="1"/>
  <c r="AL93" i="1" s="1"/>
  <c r="AM500" i="1"/>
  <c r="AM432" i="1"/>
  <c r="AM93" i="1" s="1"/>
  <c r="AN500" i="1"/>
  <c r="AN432" i="1" s="1"/>
  <c r="AN93" i="1" s="1"/>
  <c r="AO500" i="1"/>
  <c r="AO432" i="1"/>
  <c r="AO93" i="1"/>
  <c r="AS93" i="1"/>
  <c r="H437" i="1"/>
  <c r="H94" i="1"/>
  <c r="H101" i="1" s="1"/>
  <c r="H102" i="1" s="1"/>
  <c r="I437" i="1"/>
  <c r="I94" i="1" s="1"/>
  <c r="I101" i="1" s="1"/>
  <c r="I102" i="1" s="1"/>
  <c r="J437" i="1"/>
  <c r="J94" i="1" s="1"/>
  <c r="J101" i="1" s="1"/>
  <c r="K437" i="1"/>
  <c r="K94" i="1" s="1"/>
  <c r="K101" i="1" s="1"/>
  <c r="K102" i="1" s="1"/>
  <c r="L437" i="1"/>
  <c r="L94" i="1" s="1"/>
  <c r="L101" i="1" s="1"/>
  <c r="M437" i="1"/>
  <c r="M94" i="1"/>
  <c r="N437" i="1"/>
  <c r="N94" i="1"/>
  <c r="O437" i="1"/>
  <c r="O94" i="1"/>
  <c r="O101" i="1" s="1"/>
  <c r="O102" i="1" s="1"/>
  <c r="P437" i="1"/>
  <c r="P94" i="1"/>
  <c r="Q437" i="1"/>
  <c r="Q94" i="1" s="1"/>
  <c r="Q101" i="1" s="1"/>
  <c r="Q102" i="1" s="1"/>
  <c r="R437" i="1"/>
  <c r="R94" i="1" s="1"/>
  <c r="S437" i="1"/>
  <c r="S94" i="1" s="1"/>
  <c r="S101" i="1" s="1"/>
  <c r="S102" i="1" s="1"/>
  <c r="T437" i="1"/>
  <c r="T94" i="1" s="1"/>
  <c r="U437" i="1"/>
  <c r="U94" i="1"/>
  <c r="V437" i="1"/>
  <c r="V94" i="1"/>
  <c r="V101" i="1" s="1"/>
  <c r="V102" i="1" s="1"/>
  <c r="W437" i="1"/>
  <c r="W94" i="1"/>
  <c r="W101" i="1" s="1"/>
  <c r="W102" i="1" s="1"/>
  <c r="X437" i="1"/>
  <c r="X94" i="1"/>
  <c r="Y437" i="1"/>
  <c r="Y94" i="1" s="1"/>
  <c r="Y101" i="1" s="1"/>
  <c r="Y102" i="1" s="1"/>
  <c r="Z437" i="1"/>
  <c r="Z94" i="1" s="1"/>
  <c r="Z101" i="1" s="1"/>
  <c r="AA437" i="1"/>
  <c r="AA94" i="1" s="1"/>
  <c r="AA101" i="1" s="1"/>
  <c r="AB437" i="1"/>
  <c r="AB94" i="1" s="1"/>
  <c r="AC437" i="1"/>
  <c r="AC94" i="1"/>
  <c r="AD437" i="1"/>
  <c r="AD94" i="1"/>
  <c r="AD101" i="1" s="1"/>
  <c r="AD102" i="1" s="1"/>
  <c r="AL437" i="1"/>
  <c r="AL94" i="1"/>
  <c r="AL101" i="1" s="1"/>
  <c r="AL102" i="1" s="1"/>
  <c r="AM505" i="1"/>
  <c r="AM437" i="1"/>
  <c r="AM94" i="1" s="1"/>
  <c r="AM101" i="1" s="1"/>
  <c r="AN505" i="1"/>
  <c r="AN437" i="1"/>
  <c r="AN94" i="1" s="1"/>
  <c r="AN101" i="1" s="1"/>
  <c r="AO505" i="1"/>
  <c r="AO437" i="1" s="1"/>
  <c r="AO94" i="1" s="1"/>
  <c r="AO101" i="1" s="1"/>
  <c r="AO102" i="1" s="1"/>
  <c r="AS94" i="1"/>
  <c r="H454" i="1"/>
  <c r="H95" i="1" s="1"/>
  <c r="I454" i="1"/>
  <c r="I95" i="1" s="1"/>
  <c r="J454" i="1"/>
  <c r="J95" i="1" s="1"/>
  <c r="K454" i="1"/>
  <c r="K95" i="1"/>
  <c r="L454" i="1"/>
  <c r="L95" i="1"/>
  <c r="M454" i="1"/>
  <c r="M95" i="1" s="1"/>
  <c r="N454" i="1"/>
  <c r="N95" i="1"/>
  <c r="O454" i="1"/>
  <c r="O95" i="1"/>
  <c r="P454" i="1"/>
  <c r="P95" i="1" s="1"/>
  <c r="Q454" i="1"/>
  <c r="Q95" i="1" s="1"/>
  <c r="R454" i="1"/>
  <c r="R95" i="1" s="1"/>
  <c r="S454" i="1"/>
  <c r="S95" i="1"/>
  <c r="T454" i="1"/>
  <c r="T95" i="1"/>
  <c r="U454" i="1"/>
  <c r="U95" i="1" s="1"/>
  <c r="V454" i="1"/>
  <c r="V95" i="1"/>
  <c r="W454" i="1"/>
  <c r="W95" i="1"/>
  <c r="X454" i="1"/>
  <c r="X95" i="1" s="1"/>
  <c r="Y454" i="1"/>
  <c r="Y95" i="1" s="1"/>
  <c r="Z454" i="1"/>
  <c r="Z95" i="1" s="1"/>
  <c r="AA454" i="1"/>
  <c r="AA95" i="1"/>
  <c r="AB454" i="1"/>
  <c r="AB95" i="1"/>
  <c r="AC454" i="1"/>
  <c r="AC95" i="1" s="1"/>
  <c r="AR95" i="1" s="1"/>
  <c r="AD454" i="1"/>
  <c r="AD95" i="1"/>
  <c r="AL454" i="1"/>
  <c r="AL95" i="1"/>
  <c r="AM522" i="1"/>
  <c r="AM454" i="1" s="1"/>
  <c r="AM95" i="1"/>
  <c r="AN522" i="1"/>
  <c r="AN454" i="1"/>
  <c r="AN95" i="1" s="1"/>
  <c r="AO522" i="1"/>
  <c r="AO454" i="1"/>
  <c r="AO95" i="1" s="1"/>
  <c r="AP522" i="1"/>
  <c r="AP454" i="1" s="1"/>
  <c r="AP95" i="1" s="1"/>
  <c r="AQ522" i="1"/>
  <c r="AQ454" i="1"/>
  <c r="AQ95" i="1" s="1"/>
  <c r="AS95" i="1"/>
  <c r="H445" i="1"/>
  <c r="H96" i="1"/>
  <c r="I445" i="1"/>
  <c r="I96" i="1"/>
  <c r="J445" i="1"/>
  <c r="J96" i="1" s="1"/>
  <c r="K445" i="1"/>
  <c r="K96" i="1" s="1"/>
  <c r="L445" i="1"/>
  <c r="L96" i="1" s="1"/>
  <c r="M445" i="1"/>
  <c r="M96" i="1" s="1"/>
  <c r="N445" i="1"/>
  <c r="N96" i="1" s="1"/>
  <c r="O445" i="1"/>
  <c r="O96" i="1"/>
  <c r="P445" i="1"/>
  <c r="P96" i="1"/>
  <c r="Q445" i="1"/>
  <c r="Q96" i="1"/>
  <c r="R445" i="1"/>
  <c r="R96" i="1" s="1"/>
  <c r="S445" i="1"/>
  <c r="S96" i="1" s="1"/>
  <c r="T445" i="1"/>
  <c r="T96" i="1" s="1"/>
  <c r="U445" i="1"/>
  <c r="U96" i="1" s="1"/>
  <c r="V445" i="1"/>
  <c r="V96" i="1" s="1"/>
  <c r="W445" i="1"/>
  <c r="W96" i="1"/>
  <c r="X445" i="1"/>
  <c r="X96" i="1"/>
  <c r="Y445" i="1"/>
  <c r="Y96" i="1"/>
  <c r="Z445" i="1"/>
  <c r="Z96" i="1" s="1"/>
  <c r="AA445" i="1"/>
  <c r="AA96" i="1" s="1"/>
  <c r="AB445" i="1"/>
  <c r="AB96" i="1" s="1"/>
  <c r="AC445" i="1"/>
  <c r="AC96" i="1" s="1"/>
  <c r="AD445" i="1"/>
  <c r="AD96" i="1" s="1"/>
  <c r="AL445" i="1"/>
  <c r="AL96" i="1"/>
  <c r="AM513" i="1"/>
  <c r="AM445" i="1"/>
  <c r="AM96" i="1" s="1"/>
  <c r="AN513" i="1"/>
  <c r="AN445" i="1" s="1"/>
  <c r="AN96" i="1" s="1"/>
  <c r="AO513" i="1"/>
  <c r="AO445" i="1" s="1"/>
  <c r="AO96" i="1" s="1"/>
  <c r="AS96" i="1"/>
  <c r="H448" i="1"/>
  <c r="H449" i="1"/>
  <c r="H450" i="1"/>
  <c r="I448" i="1"/>
  <c r="I97" i="1" s="1"/>
  <c r="I449" i="1"/>
  <c r="I450" i="1"/>
  <c r="J448" i="1"/>
  <c r="J449" i="1"/>
  <c r="J450" i="1"/>
  <c r="J97" i="1"/>
  <c r="K448" i="1"/>
  <c r="K449" i="1"/>
  <c r="K450" i="1"/>
  <c r="K97" i="1"/>
  <c r="L448" i="1"/>
  <c r="L449" i="1"/>
  <c r="L97" i="1" s="1"/>
  <c r="L450" i="1"/>
  <c r="M448" i="1"/>
  <c r="M449" i="1"/>
  <c r="M450" i="1"/>
  <c r="N448" i="1"/>
  <c r="N449" i="1"/>
  <c r="N97" i="1" s="1"/>
  <c r="N450" i="1"/>
  <c r="O448" i="1"/>
  <c r="O449" i="1"/>
  <c r="O450" i="1"/>
  <c r="O97" i="1"/>
  <c r="P448" i="1"/>
  <c r="P449" i="1"/>
  <c r="P450" i="1"/>
  <c r="Q448" i="1"/>
  <c r="Q97" i="1" s="1"/>
  <c r="Q449" i="1"/>
  <c r="Q450" i="1"/>
  <c r="R448" i="1"/>
  <c r="R449" i="1"/>
  <c r="R97" i="1" s="1"/>
  <c r="R450" i="1"/>
  <c r="S448" i="1"/>
  <c r="S449" i="1"/>
  <c r="S450" i="1"/>
  <c r="S97" i="1"/>
  <c r="T448" i="1"/>
  <c r="T449" i="1"/>
  <c r="T97" i="1" s="1"/>
  <c r="T450" i="1"/>
  <c r="U448" i="1"/>
  <c r="U449" i="1"/>
  <c r="U450" i="1"/>
  <c r="V448" i="1"/>
  <c r="V449" i="1"/>
  <c r="V97" i="1" s="1"/>
  <c r="V450" i="1"/>
  <c r="W448" i="1"/>
  <c r="W449" i="1"/>
  <c r="W450" i="1"/>
  <c r="W97" i="1"/>
  <c r="X448" i="1"/>
  <c r="X449" i="1"/>
  <c r="X450" i="1"/>
  <c r="Y448" i="1"/>
  <c r="Y449" i="1"/>
  <c r="Y450" i="1"/>
  <c r="Z448" i="1"/>
  <c r="Z449" i="1"/>
  <c r="Z97" i="1" s="1"/>
  <c r="Z450" i="1"/>
  <c r="AA448" i="1"/>
  <c r="AA449" i="1"/>
  <c r="AA450" i="1"/>
  <c r="AA97" i="1"/>
  <c r="AB448" i="1"/>
  <c r="AB449" i="1"/>
  <c r="AB97" i="1" s="1"/>
  <c r="AR97" i="1" s="1"/>
  <c r="AB450" i="1"/>
  <c r="AC448" i="1"/>
  <c r="AC97" i="1" s="1"/>
  <c r="AC449" i="1"/>
  <c r="AC450" i="1"/>
  <c r="AD448" i="1"/>
  <c r="AD449" i="1"/>
  <c r="AD97" i="1" s="1"/>
  <c r="AD450" i="1"/>
  <c r="AL448" i="1"/>
  <c r="AL449" i="1"/>
  <c r="AL450" i="1"/>
  <c r="AL97" i="1"/>
  <c r="AM516" i="1"/>
  <c r="AM448" i="1"/>
  <c r="AM517" i="1"/>
  <c r="AM449" i="1" s="1"/>
  <c r="AM518" i="1"/>
  <c r="AM450" i="1" s="1"/>
  <c r="AM97" i="1"/>
  <c r="AN516" i="1"/>
  <c r="AN448" i="1" s="1"/>
  <c r="AN97" i="1" s="1"/>
  <c r="AN517" i="1"/>
  <c r="AN449" i="1" s="1"/>
  <c r="AN518" i="1"/>
  <c r="AN450" i="1" s="1"/>
  <c r="AO516" i="1"/>
  <c r="AO448" i="1"/>
  <c r="AO517" i="1"/>
  <c r="AO449" i="1"/>
  <c r="AO518" i="1"/>
  <c r="AO450" i="1" s="1"/>
  <c r="AO97" i="1"/>
  <c r="AS97" i="1"/>
  <c r="J100" i="1"/>
  <c r="O100" i="1"/>
  <c r="P100" i="1"/>
  <c r="R100" i="1"/>
  <c r="T100" i="1"/>
  <c r="U100" i="1"/>
  <c r="V100" i="1"/>
  <c r="Y100" i="1"/>
  <c r="AA100" i="1"/>
  <c r="I211" i="1"/>
  <c r="AC100" i="1" s="1"/>
  <c r="AE100" i="1"/>
  <c r="AE102" i="1" s="1"/>
  <c r="AM100" i="1"/>
  <c r="AN100" i="1"/>
  <c r="AO100" i="1"/>
  <c r="AP100" i="1"/>
  <c r="AQ100" i="1"/>
  <c r="AS100" i="1"/>
  <c r="M101" i="1"/>
  <c r="M102" i="1" s="1"/>
  <c r="N101" i="1"/>
  <c r="P101" i="1"/>
  <c r="R101" i="1"/>
  <c r="R102" i="1" s="1"/>
  <c r="U101" i="1"/>
  <c r="U102" i="1" s="1"/>
  <c r="AC101" i="1"/>
  <c r="AE101" i="1"/>
  <c r="AF101" i="1"/>
  <c r="AG101" i="1"/>
  <c r="AG102" i="1" s="1"/>
  <c r="AH101" i="1"/>
  <c r="AH102" i="1" s="1"/>
  <c r="AI101" i="1"/>
  <c r="J102" i="1"/>
  <c r="L102" i="1"/>
  <c r="N102" i="1"/>
  <c r="Z102" i="1"/>
  <c r="AI102" i="1"/>
  <c r="L105" i="1"/>
  <c r="M105" i="1"/>
  <c r="N105" i="1"/>
  <c r="O109" i="1" s="1"/>
  <c r="O105" i="1"/>
  <c r="P105" i="1"/>
  <c r="Q105" i="1"/>
  <c r="R105" i="1"/>
  <c r="S105" i="1"/>
  <c r="AO105" i="1" s="1"/>
  <c r="AO109" i="1" s="1"/>
  <c r="T105" i="1"/>
  <c r="U105" i="1"/>
  <c r="V105" i="1"/>
  <c r="W105" i="1"/>
  <c r="X105" i="1"/>
  <c r="Y105" i="1"/>
  <c r="Y109" i="1" s="1"/>
  <c r="Z105" i="1"/>
  <c r="Z107" i="1" s="1"/>
  <c r="AA105" i="1"/>
  <c r="AB105" i="1"/>
  <c r="AC105" i="1"/>
  <c r="AI609" i="1"/>
  <c r="AK105" i="1"/>
  <c r="AL105" i="1"/>
  <c r="AM105" i="1"/>
  <c r="AN105" i="1"/>
  <c r="AP105" i="1"/>
  <c r="AQ105" i="1"/>
  <c r="AR105" i="1"/>
  <c r="L106" i="1"/>
  <c r="M106" i="1"/>
  <c r="M107" i="1" s="1"/>
  <c r="N106" i="1"/>
  <c r="O106" i="1"/>
  <c r="P106" i="1"/>
  <c r="Q106" i="1"/>
  <c r="R106" i="1"/>
  <c r="S106" i="1"/>
  <c r="T106" i="1"/>
  <c r="U106" i="1"/>
  <c r="V106" i="1"/>
  <c r="W106" i="1"/>
  <c r="X106" i="1"/>
  <c r="Y106" i="1"/>
  <c r="Z106" i="1"/>
  <c r="AA106" i="1"/>
  <c r="AB106" i="1"/>
  <c r="AC106" i="1"/>
  <c r="AC107" i="1" s="1"/>
  <c r="AK106" i="1"/>
  <c r="AL106" i="1"/>
  <c r="AM106" i="1"/>
  <c r="AO106" i="1"/>
  <c r="AP106" i="1"/>
  <c r="D107" i="1"/>
  <c r="E107" i="1"/>
  <c r="F107" i="1"/>
  <c r="G107" i="1"/>
  <c r="H107" i="1"/>
  <c r="I107" i="1"/>
  <c r="J107" i="1"/>
  <c r="K107" i="1"/>
  <c r="N107" i="1"/>
  <c r="P107" i="1"/>
  <c r="Q107" i="1"/>
  <c r="R107" i="1"/>
  <c r="S107" i="1"/>
  <c r="T107" i="1"/>
  <c r="U107" i="1"/>
  <c r="V107" i="1"/>
  <c r="W107" i="1"/>
  <c r="X107" i="1"/>
  <c r="Y107" i="1"/>
  <c r="AK107" i="1"/>
  <c r="AM107" i="1"/>
  <c r="AO107" i="1"/>
  <c r="AP107" i="1"/>
  <c r="R108" i="1"/>
  <c r="S108" i="1"/>
  <c r="H109" i="1"/>
  <c r="I109" i="1"/>
  <c r="J109" i="1"/>
  <c r="P109" i="1"/>
  <c r="Q109" i="1"/>
  <c r="R109" i="1"/>
  <c r="S109" i="1"/>
  <c r="T109" i="1"/>
  <c r="U109" i="1"/>
  <c r="V109" i="1"/>
  <c r="W109" i="1"/>
  <c r="X109" i="1"/>
  <c r="AD109" i="1"/>
  <c r="AN109" i="1"/>
  <c r="AP109" i="1"/>
  <c r="AQ109" i="1"/>
  <c r="V111" i="1"/>
  <c r="AF111" i="1"/>
  <c r="AG111" i="1"/>
  <c r="AH111" i="1" s="1"/>
  <c r="AI111" i="1" s="1"/>
  <c r="AM111" i="1"/>
  <c r="AN111" i="1"/>
  <c r="AO111" i="1"/>
  <c r="AP111" i="1"/>
  <c r="AQ111" i="1"/>
  <c r="AR111" i="1"/>
  <c r="AX119" i="1"/>
  <c r="AY124" i="1"/>
  <c r="AY123" i="1"/>
  <c r="AY121" i="1"/>
  <c r="E122" i="1"/>
  <c r="F122" i="1"/>
  <c r="G122" i="1"/>
  <c r="H122" i="1"/>
  <c r="I122" i="1"/>
  <c r="J122" i="1"/>
  <c r="K122" i="1"/>
  <c r="L122" i="1"/>
  <c r="M122" i="1"/>
  <c r="N122" i="1"/>
  <c r="O122" i="1"/>
  <c r="P122" i="1"/>
  <c r="Q122" i="1"/>
  <c r="R122" i="1"/>
  <c r="S122" i="1"/>
  <c r="T122" i="1"/>
  <c r="U122" i="1"/>
  <c r="V122" i="1"/>
  <c r="W122" i="1"/>
  <c r="X122" i="1"/>
  <c r="Y122" i="1"/>
  <c r="Z122" i="1"/>
  <c r="AA122" i="1"/>
  <c r="AB122" i="1"/>
  <c r="AC122" i="1"/>
  <c r="AD122" i="1"/>
  <c r="AH122" i="1"/>
  <c r="AM122" i="1"/>
  <c r="AN122" i="1"/>
  <c r="AO122" i="1"/>
  <c r="Q124" i="1"/>
  <c r="S124" i="1"/>
  <c r="T124" i="1"/>
  <c r="U124" i="1"/>
  <c r="X124" i="1"/>
  <c r="Y124" i="1"/>
  <c r="AB124" i="1"/>
  <c r="AC124" i="1"/>
  <c r="AF124" i="1"/>
  <c r="AG124" i="1"/>
  <c r="AO124" i="1"/>
  <c r="AF131" i="1"/>
  <c r="AK128" i="1"/>
  <c r="AL128" i="1" s="1"/>
  <c r="AM129" i="1" s="1"/>
  <c r="AM130" i="1" s="1"/>
  <c r="AM171" i="1" s="1"/>
  <c r="AM128" i="1"/>
  <c r="H129" i="1"/>
  <c r="I129" i="1"/>
  <c r="J129" i="1"/>
  <c r="K129" i="1"/>
  <c r="L129" i="1"/>
  <c r="M129" i="1"/>
  <c r="O129" i="1"/>
  <c r="P129" i="1"/>
  <c r="T129" i="1"/>
  <c r="V129" i="1"/>
  <c r="Z129" i="1"/>
  <c r="H130" i="1"/>
  <c r="I130" i="1"/>
  <c r="J130" i="1"/>
  <c r="K130" i="1"/>
  <c r="L130" i="1"/>
  <c r="M130" i="1"/>
  <c r="O130" i="1"/>
  <c r="P130" i="1"/>
  <c r="T130" i="1"/>
  <c r="T171" i="1" s="1"/>
  <c r="V130" i="1"/>
  <c r="Z130" i="1"/>
  <c r="AA232" i="1"/>
  <c r="AB232" i="1"/>
  <c r="AC232" i="1"/>
  <c r="AC135" i="1" s="1"/>
  <c r="AD232" i="1"/>
  <c r="AM232" i="1"/>
  <c r="AN232" i="1"/>
  <c r="AO232" i="1"/>
  <c r="AP232" i="1"/>
  <c r="AQ232" i="1"/>
  <c r="AR232" i="1"/>
  <c r="AS232" i="1"/>
  <c r="D131" i="1"/>
  <c r="E131" i="1"/>
  <c r="F131" i="1"/>
  <c r="G131" i="1"/>
  <c r="H131" i="1"/>
  <c r="I131" i="1"/>
  <c r="J131" i="1"/>
  <c r="K131" i="1"/>
  <c r="L131" i="1"/>
  <c r="M131" i="1"/>
  <c r="O131" i="1"/>
  <c r="P131" i="1"/>
  <c r="R131" i="1"/>
  <c r="T131" i="1"/>
  <c r="U131" i="1"/>
  <c r="V131" i="1"/>
  <c r="Z131" i="1"/>
  <c r="AA131" i="1"/>
  <c r="AB131" i="1"/>
  <c r="AC131" i="1"/>
  <c r="AK131" i="1"/>
  <c r="AL131" i="1"/>
  <c r="AM131" i="1"/>
  <c r="AK133" i="1"/>
  <c r="AL133" i="1" s="1"/>
  <c r="AL136" i="1" s="1"/>
  <c r="AM133" i="1"/>
  <c r="AN133" i="1"/>
  <c r="AO133" i="1"/>
  <c r="AP134" i="1" s="1"/>
  <c r="AP133" i="1"/>
  <c r="AQ133" i="1"/>
  <c r="AQ136" i="1" s="1"/>
  <c r="H134" i="1"/>
  <c r="H135" i="1" s="1"/>
  <c r="I134" i="1"/>
  <c r="J134" i="1"/>
  <c r="J135" i="1" s="1"/>
  <c r="K134" i="1"/>
  <c r="L134" i="1"/>
  <c r="M134" i="1"/>
  <c r="N134" i="1"/>
  <c r="O134" i="1"/>
  <c r="P134" i="1"/>
  <c r="Q134" i="1"/>
  <c r="Q135" i="1" s="1"/>
  <c r="R134" i="1"/>
  <c r="S134" i="1"/>
  <c r="T134" i="1"/>
  <c r="U134" i="1"/>
  <c r="V134" i="1"/>
  <c r="V135" i="1" s="1"/>
  <c r="W134" i="1"/>
  <c r="X134" i="1"/>
  <c r="X135" i="1" s="1"/>
  <c r="Y134" i="1"/>
  <c r="Z134" i="1"/>
  <c r="Z135" i="1" s="1"/>
  <c r="AA134" i="1"/>
  <c r="AB134" i="1"/>
  <c r="AC134" i="1"/>
  <c r="AD134" i="1"/>
  <c r="AN134" i="1"/>
  <c r="AN135" i="1" s="1"/>
  <c r="AO134" i="1"/>
  <c r="AO135" i="1" s="1"/>
  <c r="AQ134" i="1"/>
  <c r="I135" i="1"/>
  <c r="K135" i="1"/>
  <c r="L135" i="1"/>
  <c r="M135" i="1"/>
  <c r="N135" i="1"/>
  <c r="O135" i="1"/>
  <c r="P135" i="1"/>
  <c r="R135" i="1"/>
  <c r="S135" i="1"/>
  <c r="T135" i="1"/>
  <c r="U135" i="1"/>
  <c r="W135" i="1"/>
  <c r="Y135" i="1"/>
  <c r="AA255" i="1"/>
  <c r="AA135" i="1" s="1"/>
  <c r="AB255" i="1"/>
  <c r="AB135" i="1"/>
  <c r="AC255" i="1"/>
  <c r="AD255" i="1"/>
  <c r="AD135" i="1"/>
  <c r="AE255" i="1"/>
  <c r="AF255" i="1"/>
  <c r="AG255" i="1"/>
  <c r="AG142" i="1" s="1"/>
  <c r="AH255" i="1"/>
  <c r="AI255" i="1"/>
  <c r="AM255" i="1"/>
  <c r="AN255" i="1"/>
  <c r="AO255" i="1"/>
  <c r="AP255" i="1"/>
  <c r="AQ255" i="1"/>
  <c r="AR255" i="1"/>
  <c r="D136" i="1"/>
  <c r="E136" i="1"/>
  <c r="F136" i="1"/>
  <c r="G136" i="1"/>
  <c r="H136" i="1"/>
  <c r="I136" i="1"/>
  <c r="J136" i="1"/>
  <c r="K136" i="1"/>
  <c r="L136" i="1"/>
  <c r="M136" i="1"/>
  <c r="N136" i="1"/>
  <c r="O136" i="1"/>
  <c r="P136" i="1"/>
  <c r="Q136" i="1"/>
  <c r="R136" i="1"/>
  <c r="S136" i="1"/>
  <c r="T136" i="1"/>
  <c r="U136" i="1"/>
  <c r="V136" i="1"/>
  <c r="W136" i="1"/>
  <c r="X136" i="1"/>
  <c r="Y136" i="1"/>
  <c r="Z136" i="1"/>
  <c r="AA136" i="1"/>
  <c r="AB136" i="1"/>
  <c r="AC136" i="1"/>
  <c r="AD136" i="1"/>
  <c r="AK136" i="1"/>
  <c r="AM136" i="1"/>
  <c r="AN136" i="1"/>
  <c r="AO136" i="1"/>
  <c r="AK138" i="1"/>
  <c r="AL138" i="1"/>
  <c r="AM138" i="1"/>
  <c r="AK139" i="1"/>
  <c r="AL139" i="1"/>
  <c r="AM139" i="1"/>
  <c r="AN139" i="1"/>
  <c r="AO139" i="1"/>
  <c r="AP139" i="1"/>
  <c r="AQ139" i="1"/>
  <c r="AK140" i="1"/>
  <c r="AL140" i="1"/>
  <c r="AM140" i="1"/>
  <c r="AN140" i="1"/>
  <c r="AO140" i="1"/>
  <c r="AQ140" i="1"/>
  <c r="Y58" i="80" s="1"/>
  <c r="H141" i="1"/>
  <c r="I141" i="1"/>
  <c r="J141" i="1"/>
  <c r="K141" i="1"/>
  <c r="L141" i="1"/>
  <c r="L142" i="1" s="1"/>
  <c r="M141" i="1"/>
  <c r="N141" i="1"/>
  <c r="N142" i="1" s="1"/>
  <c r="O141" i="1"/>
  <c r="P141" i="1"/>
  <c r="P142" i="1" s="1"/>
  <c r="Q141" i="1"/>
  <c r="R141" i="1"/>
  <c r="S141" i="1"/>
  <c r="T141" i="1"/>
  <c r="U141" i="1"/>
  <c r="U142" i="1" s="1"/>
  <c r="V141" i="1"/>
  <c r="X141" i="1"/>
  <c r="Y141" i="1"/>
  <c r="Z141" i="1"/>
  <c r="AB141" i="1"/>
  <c r="AB142" i="1" s="1"/>
  <c r="AC141" i="1"/>
  <c r="AD141" i="1"/>
  <c r="AD142" i="1" s="1"/>
  <c r="AG141" i="1"/>
  <c r="AH141" i="1"/>
  <c r="AN141" i="1"/>
  <c r="AN142" i="1" s="1"/>
  <c r="AO141" i="1"/>
  <c r="H142" i="1"/>
  <c r="I142" i="1"/>
  <c r="I187" i="1" s="1"/>
  <c r="J142" i="1"/>
  <c r="K142" i="1"/>
  <c r="M142" i="1"/>
  <c r="O142" i="1"/>
  <c r="Q142" i="1"/>
  <c r="R142" i="1"/>
  <c r="S142" i="1"/>
  <c r="T142" i="1"/>
  <c r="V142" i="1"/>
  <c r="X142" i="1"/>
  <c r="Y142" i="1"/>
  <c r="Z142" i="1"/>
  <c r="AC142" i="1"/>
  <c r="AH142" i="1"/>
  <c r="AO142" i="1"/>
  <c r="D143" i="1"/>
  <c r="E143" i="1"/>
  <c r="F143" i="1"/>
  <c r="G143" i="1"/>
  <c r="H143" i="1"/>
  <c r="I143" i="1"/>
  <c r="J143" i="1"/>
  <c r="K143" i="1"/>
  <c r="L143" i="1"/>
  <c r="AK143" i="1"/>
  <c r="AM143" i="1"/>
  <c r="AN143" i="1"/>
  <c r="AO143" i="1"/>
  <c r="AQ143" i="1"/>
  <c r="AK146" i="1"/>
  <c r="AL146" i="1" s="1"/>
  <c r="AM151" i="1" s="1"/>
  <c r="AM156" i="1" s="1"/>
  <c r="AM146" i="1"/>
  <c r="AM147" i="1"/>
  <c r="AN147" i="1"/>
  <c r="AO147" i="1"/>
  <c r="AP147" i="1"/>
  <c r="AQ147" i="1"/>
  <c r="H151" i="1"/>
  <c r="H156" i="1" s="1"/>
  <c r="H158" i="1" s="1"/>
  <c r="H172" i="1" s="1"/>
  <c r="I151" i="1"/>
  <c r="I156" i="1" s="1"/>
  <c r="I158" i="1" s="1"/>
  <c r="I172" i="1" s="1"/>
  <c r="J151" i="1"/>
  <c r="K151" i="1"/>
  <c r="K156" i="1" s="1"/>
  <c r="L151" i="1"/>
  <c r="M151" i="1"/>
  <c r="M156" i="1" s="1"/>
  <c r="O151" i="1"/>
  <c r="P151" i="1"/>
  <c r="T151" i="1"/>
  <c r="V151" i="1"/>
  <c r="Z151" i="1"/>
  <c r="H152" i="1"/>
  <c r="I152" i="1"/>
  <c r="J152" i="1"/>
  <c r="K152" i="1"/>
  <c r="L152" i="1"/>
  <c r="M152" i="1"/>
  <c r="M157" i="1" s="1"/>
  <c r="N152" i="1"/>
  <c r="O152" i="1"/>
  <c r="O157" i="1" s="1"/>
  <c r="P152" i="1"/>
  <c r="Q152" i="1"/>
  <c r="R152" i="1"/>
  <c r="S152" i="1"/>
  <c r="T152" i="1"/>
  <c r="U152" i="1"/>
  <c r="V152" i="1"/>
  <c r="W152" i="1"/>
  <c r="X152" i="1"/>
  <c r="Y152" i="1"/>
  <c r="Z152" i="1"/>
  <c r="AA152" i="1"/>
  <c r="AB152" i="1"/>
  <c r="AC152" i="1"/>
  <c r="AD152" i="1"/>
  <c r="AM152" i="1"/>
  <c r="H153" i="1"/>
  <c r="J153" i="1"/>
  <c r="L153" i="1"/>
  <c r="P153" i="1"/>
  <c r="T153" i="1"/>
  <c r="J156" i="1"/>
  <c r="L156" i="1"/>
  <c r="O156" i="1"/>
  <c r="P156" i="1"/>
  <c r="T156" i="1"/>
  <c r="V156" i="1"/>
  <c r="Z156" i="1"/>
  <c r="AM233" i="1"/>
  <c r="AN233" i="1"/>
  <c r="AO233" i="1"/>
  <c r="AP233" i="1"/>
  <c r="AQ233" i="1"/>
  <c r="AR233" i="1"/>
  <c r="AS233" i="1"/>
  <c r="H157" i="1"/>
  <c r="I157" i="1"/>
  <c r="N215" i="1"/>
  <c r="J215" i="1"/>
  <c r="J229" i="1" s="1"/>
  <c r="K215" i="1"/>
  <c r="K229" i="1" s="1"/>
  <c r="K235" i="1" s="1"/>
  <c r="K234" i="1" s="1"/>
  <c r="L229" i="1"/>
  <c r="L235" i="1" s="1"/>
  <c r="L234" i="1" s="1"/>
  <c r="M229" i="1"/>
  <c r="M235" i="1" s="1"/>
  <c r="M234" i="1" s="1"/>
  <c r="N229" i="1"/>
  <c r="N235" i="1" s="1"/>
  <c r="N234" i="1" s="1"/>
  <c r="N157" i="1" s="1"/>
  <c r="O217" i="1"/>
  <c r="O229" i="1"/>
  <c r="O235" i="1" s="1"/>
  <c r="O234" i="1" s="1"/>
  <c r="P235" i="1"/>
  <c r="P234" i="1"/>
  <c r="Q235" i="1"/>
  <c r="Q234" i="1" s="1"/>
  <c r="Q157" i="1" s="1"/>
  <c r="R235" i="1"/>
  <c r="R234" i="1"/>
  <c r="R157" i="1" s="1"/>
  <c r="S229" i="1"/>
  <c r="S235" i="1"/>
  <c r="S234" i="1" s="1"/>
  <c r="S157" i="1" s="1"/>
  <c r="T235" i="1"/>
  <c r="T234" i="1"/>
  <c r="AP234" i="1" s="1"/>
  <c r="T157" i="1"/>
  <c r="U235" i="1"/>
  <c r="U234" i="1"/>
  <c r="U157" i="1" s="1"/>
  <c r="V235" i="1"/>
  <c r="V234" i="1" s="1"/>
  <c r="V157" i="1" s="1"/>
  <c r="W229" i="1"/>
  <c r="W235" i="1" s="1"/>
  <c r="W234" i="1" s="1"/>
  <c r="W157" i="1" s="1"/>
  <c r="X235" i="1"/>
  <c r="X234" i="1" s="1"/>
  <c r="Y235" i="1"/>
  <c r="Y234" i="1"/>
  <c r="Y157" i="1"/>
  <c r="T220" i="1"/>
  <c r="X220" i="1"/>
  <c r="X222" i="1" s="1"/>
  <c r="Y222" i="1"/>
  <c r="J208" i="1"/>
  <c r="AC224" i="1" s="1"/>
  <c r="AB224" i="1"/>
  <c r="AD226" i="1"/>
  <c r="AD227" i="1"/>
  <c r="T158" i="1"/>
  <c r="D161" i="1"/>
  <c r="E161" i="1"/>
  <c r="F161" i="1"/>
  <c r="G161" i="1"/>
  <c r="H161" i="1"/>
  <c r="I161" i="1"/>
  <c r="J161" i="1"/>
  <c r="K161" i="1"/>
  <c r="L161" i="1"/>
  <c r="M161" i="1"/>
  <c r="O161" i="1"/>
  <c r="P161" i="1"/>
  <c r="R161" i="1"/>
  <c r="T161" i="1"/>
  <c r="U161" i="1"/>
  <c r="V161" i="1"/>
  <c r="Z161" i="1"/>
  <c r="AA161" i="1"/>
  <c r="AB161" i="1"/>
  <c r="AC161" i="1"/>
  <c r="AK161" i="1"/>
  <c r="AL161" i="1" s="1"/>
  <c r="AM166" i="1" s="1"/>
  <c r="AM161" i="1"/>
  <c r="D162" i="1"/>
  <c r="D163" i="1" s="1"/>
  <c r="E162" i="1"/>
  <c r="F162" i="1"/>
  <c r="H162" i="1"/>
  <c r="H163" i="1" s="1"/>
  <c r="J162" i="1"/>
  <c r="L162" i="1"/>
  <c r="M162" i="1"/>
  <c r="O162" i="1"/>
  <c r="P162" i="1"/>
  <c r="R162" i="1"/>
  <c r="T162" i="1"/>
  <c r="T163" i="1" s="1"/>
  <c r="U162" i="1"/>
  <c r="Z162" i="1"/>
  <c r="AA162" i="1"/>
  <c r="AB162" i="1"/>
  <c r="F163" i="1"/>
  <c r="J163" i="1"/>
  <c r="L163" i="1"/>
  <c r="O163" i="1"/>
  <c r="P163" i="1"/>
  <c r="Z163" i="1"/>
  <c r="AA163" i="1"/>
  <c r="AB163" i="1"/>
  <c r="H166" i="1"/>
  <c r="I166" i="1"/>
  <c r="J166" i="1"/>
  <c r="K166" i="1"/>
  <c r="L166" i="1"/>
  <c r="M166" i="1"/>
  <c r="O166" i="1"/>
  <c r="Z166" i="1"/>
  <c r="H167" i="1"/>
  <c r="J167" i="1"/>
  <c r="L167" i="1"/>
  <c r="P167" i="1"/>
  <c r="T167" i="1"/>
  <c r="J168" i="1"/>
  <c r="H171" i="1"/>
  <c r="I171" i="1"/>
  <c r="J171" i="1"/>
  <c r="K171" i="1"/>
  <c r="L171" i="1"/>
  <c r="M171" i="1"/>
  <c r="O171" i="1"/>
  <c r="P171" i="1"/>
  <c r="V171" i="1"/>
  <c r="Z171" i="1"/>
  <c r="T172" i="1"/>
  <c r="H173" i="1"/>
  <c r="T173" i="1"/>
  <c r="AK175" i="1"/>
  <c r="AL175" i="1" s="1"/>
  <c r="AM182" i="1" s="1"/>
  <c r="AM175" i="1"/>
  <c r="AN175" i="1"/>
  <c r="J178" i="1"/>
  <c r="L178" i="1"/>
  <c r="F179" i="1"/>
  <c r="H179" i="1"/>
  <c r="J179" i="1"/>
  <c r="L179" i="1"/>
  <c r="M179" i="1"/>
  <c r="AB179" i="1"/>
  <c r="H182" i="1"/>
  <c r="I182" i="1"/>
  <c r="J182" i="1"/>
  <c r="K182" i="1"/>
  <c r="L182" i="1"/>
  <c r="M182" i="1"/>
  <c r="N182" i="1"/>
  <c r="O182" i="1"/>
  <c r="Q182" i="1"/>
  <c r="S182" i="1"/>
  <c r="U182" i="1"/>
  <c r="AG182" i="1"/>
  <c r="AH182" i="1"/>
  <c r="AN182" i="1"/>
  <c r="H183" i="1"/>
  <c r="J183" i="1"/>
  <c r="L183" i="1"/>
  <c r="P183" i="1"/>
  <c r="T183" i="1"/>
  <c r="J184" i="1"/>
  <c r="L184" i="1"/>
  <c r="H187" i="1"/>
  <c r="J187" i="1"/>
  <c r="K187" i="1"/>
  <c r="L187" i="1"/>
  <c r="M187" i="1"/>
  <c r="N187" i="1"/>
  <c r="O187" i="1"/>
  <c r="P187" i="1"/>
  <c r="Q187" i="1"/>
  <c r="R187" i="1"/>
  <c r="S187" i="1"/>
  <c r="T187" i="1"/>
  <c r="U187" i="1"/>
  <c r="V187" i="1"/>
  <c r="X187" i="1"/>
  <c r="Y187" i="1"/>
  <c r="Z187" i="1"/>
  <c r="AB187" i="1"/>
  <c r="AC187" i="1"/>
  <c r="AD187" i="1"/>
  <c r="AG187" i="1"/>
  <c r="AH187" i="1"/>
  <c r="AN187" i="1"/>
  <c r="AO187" i="1"/>
  <c r="H188" i="1"/>
  <c r="T188" i="1"/>
  <c r="J199" i="1"/>
  <c r="K199" i="1"/>
  <c r="J200" i="1"/>
  <c r="K200" i="1" s="1"/>
  <c r="S217" i="1"/>
  <c r="J201" i="1" s="1"/>
  <c r="K201" i="1" s="1"/>
  <c r="P218" i="1"/>
  <c r="J202" i="1" s="1"/>
  <c r="K202" i="1" s="1"/>
  <c r="Q218" i="1"/>
  <c r="R219" i="1"/>
  <c r="S219" i="1"/>
  <c r="U219" i="1"/>
  <c r="V219" i="1" s="1"/>
  <c r="U220" i="1"/>
  <c r="V220" i="1"/>
  <c r="W220" i="1"/>
  <c r="W222" i="1" s="1"/>
  <c r="J209" i="1"/>
  <c r="K209" i="1"/>
  <c r="J211" i="1"/>
  <c r="K211" i="1"/>
  <c r="K212" i="1"/>
  <c r="AM215" i="1"/>
  <c r="AN215" i="1"/>
  <c r="AO215" i="1"/>
  <c r="AP215" i="1"/>
  <c r="AQ215" i="1"/>
  <c r="AR215" i="1"/>
  <c r="AS215" i="1"/>
  <c r="AM216" i="1"/>
  <c r="AN216" i="1"/>
  <c r="AO216" i="1"/>
  <c r="AP216" i="1"/>
  <c r="AQ216" i="1"/>
  <c r="AR216" i="1"/>
  <c r="AS216" i="1"/>
  <c r="AM217" i="1"/>
  <c r="AN217" i="1"/>
  <c r="AO217" i="1"/>
  <c r="AP217" i="1"/>
  <c r="AQ217" i="1"/>
  <c r="AR217" i="1"/>
  <c r="AS217" i="1"/>
  <c r="AM218" i="1"/>
  <c r="AN218" i="1"/>
  <c r="AO218" i="1"/>
  <c r="AP218" i="1"/>
  <c r="AQ218" i="1"/>
  <c r="AR218" i="1"/>
  <c r="AS218" i="1"/>
  <c r="AM219" i="1"/>
  <c r="AN219" i="1"/>
  <c r="AO219" i="1"/>
  <c r="AP219" i="1"/>
  <c r="AQ219" i="1"/>
  <c r="AR219" i="1"/>
  <c r="AS219" i="1"/>
  <c r="AM220" i="1"/>
  <c r="AN220" i="1"/>
  <c r="AO220" i="1"/>
  <c r="AQ220" i="1"/>
  <c r="AR220" i="1"/>
  <c r="AS220" i="1"/>
  <c r="AM221" i="1"/>
  <c r="AN221" i="1"/>
  <c r="AO221" i="1"/>
  <c r="AQ221" i="1"/>
  <c r="AR221" i="1"/>
  <c r="AS221" i="1"/>
  <c r="AM222" i="1"/>
  <c r="AN222" i="1"/>
  <c r="AO222" i="1"/>
  <c r="AR222" i="1"/>
  <c r="AS222" i="1"/>
  <c r="AM223" i="1"/>
  <c r="AN223" i="1"/>
  <c r="AO223" i="1"/>
  <c r="AP223" i="1"/>
  <c r="AS223" i="1"/>
  <c r="AM224" i="1"/>
  <c r="AN224" i="1"/>
  <c r="AO224" i="1"/>
  <c r="AP224" i="1"/>
  <c r="AS224" i="1"/>
  <c r="AM225" i="1"/>
  <c r="AN225" i="1"/>
  <c r="AO225" i="1"/>
  <c r="AP225" i="1"/>
  <c r="AQ225" i="1"/>
  <c r="AR225" i="1"/>
  <c r="AS225" i="1"/>
  <c r="AM226" i="1"/>
  <c r="AN226" i="1"/>
  <c r="AO226" i="1"/>
  <c r="AP226" i="1"/>
  <c r="AQ226" i="1"/>
  <c r="AM227" i="1"/>
  <c r="AN227" i="1"/>
  <c r="AO227" i="1"/>
  <c r="AP227" i="1"/>
  <c r="AQ227" i="1"/>
  <c r="AR227" i="1"/>
  <c r="AS227" i="1"/>
  <c r="AM228" i="1"/>
  <c r="AN228" i="1"/>
  <c r="AO228" i="1"/>
  <c r="AP228" i="1"/>
  <c r="AQ228" i="1"/>
  <c r="AR228" i="1"/>
  <c r="AS228" i="1"/>
  <c r="AO229" i="1"/>
  <c r="AP229" i="1"/>
  <c r="AN235" i="1"/>
  <c r="AO235" i="1"/>
  <c r="AP235" i="1"/>
  <c r="N238" i="1"/>
  <c r="J238" i="1" s="1"/>
  <c r="AO238" i="1"/>
  <c r="AP238" i="1"/>
  <c r="AQ238" i="1"/>
  <c r="AR238" i="1"/>
  <c r="AS238" i="1"/>
  <c r="AM239" i="1"/>
  <c r="AN239" i="1"/>
  <c r="AO239" i="1"/>
  <c r="AP239" i="1"/>
  <c r="AQ239" i="1"/>
  <c r="AR239" i="1"/>
  <c r="AS239" i="1"/>
  <c r="O240" i="1"/>
  <c r="S240" i="1" s="1"/>
  <c r="AO240" i="1" s="1"/>
  <c r="AM240" i="1"/>
  <c r="AN240" i="1"/>
  <c r="AP240" i="1"/>
  <c r="AQ240" i="1"/>
  <c r="AR240" i="1"/>
  <c r="AS240" i="1"/>
  <c r="P241" i="1"/>
  <c r="Q241" i="1"/>
  <c r="AM241" i="1"/>
  <c r="AN241" i="1"/>
  <c r="AO241" i="1"/>
  <c r="AP241" i="1"/>
  <c r="AQ241" i="1"/>
  <c r="AR241" i="1"/>
  <c r="AS241" i="1"/>
  <c r="R242" i="1"/>
  <c r="S252" i="1"/>
  <c r="AO252" i="1" s="1"/>
  <c r="U242" i="1"/>
  <c r="V242" i="1"/>
  <c r="AP242" i="1" s="1"/>
  <c r="AM242" i="1"/>
  <c r="AN242" i="1"/>
  <c r="AQ242" i="1"/>
  <c r="AR242" i="1"/>
  <c r="AS242" i="1"/>
  <c r="T243" i="1"/>
  <c r="U243" i="1"/>
  <c r="V243" i="1"/>
  <c r="W243" i="1"/>
  <c r="AM243" i="1"/>
  <c r="AN243" i="1"/>
  <c r="AO243" i="1"/>
  <c r="AR243" i="1"/>
  <c r="AS243" i="1"/>
  <c r="AM244" i="1"/>
  <c r="AN244" i="1"/>
  <c r="AO244" i="1"/>
  <c r="AQ244" i="1"/>
  <c r="AR244" i="1"/>
  <c r="AS244" i="1"/>
  <c r="W252" i="1"/>
  <c r="W245" i="1"/>
  <c r="AP245" i="1" s="1"/>
  <c r="AM245" i="1"/>
  <c r="AN245" i="1"/>
  <c r="AO245" i="1"/>
  <c r="AR245" i="1"/>
  <c r="AS245" i="1"/>
  <c r="AM246" i="1"/>
  <c r="AN246" i="1"/>
  <c r="AO246" i="1"/>
  <c r="AP246" i="1"/>
  <c r="AS246" i="1"/>
  <c r="AA247" i="1"/>
  <c r="AQ247" i="1" s="1"/>
  <c r="AB247" i="1"/>
  <c r="AC247" i="1"/>
  <c r="AD247" i="1"/>
  <c r="AD252" i="1" s="1"/>
  <c r="AD258" i="1" s="1"/>
  <c r="AD257" i="1" s="1"/>
  <c r="AM247" i="1"/>
  <c r="AN247" i="1"/>
  <c r="AO247" i="1"/>
  <c r="AP247" i="1"/>
  <c r="AS247" i="1"/>
  <c r="AM248" i="1"/>
  <c r="AN248" i="1"/>
  <c r="AO248" i="1"/>
  <c r="AP248" i="1"/>
  <c r="AQ248" i="1"/>
  <c r="AR248" i="1"/>
  <c r="AS248" i="1"/>
  <c r="AC249" i="1"/>
  <c r="AR249" i="1" s="1"/>
  <c r="AD249" i="1"/>
  <c r="AE249" i="1"/>
  <c r="AE252" i="1" s="1"/>
  <c r="AE258" i="1" s="1"/>
  <c r="AE257" i="1" s="1"/>
  <c r="AF249" i="1"/>
  <c r="AG249" i="1"/>
  <c r="AM249" i="1"/>
  <c r="AN249" i="1"/>
  <c r="AO249" i="1"/>
  <c r="AP249" i="1"/>
  <c r="AQ249" i="1"/>
  <c r="AC250" i="1"/>
  <c r="AR250" i="1" s="1"/>
  <c r="AD250" i="1"/>
  <c r="AE250" i="1"/>
  <c r="AF250" i="1"/>
  <c r="AS250" i="1" s="1"/>
  <c r="AG250" i="1"/>
  <c r="AM250" i="1"/>
  <c r="AN250" i="1"/>
  <c r="AO250" i="1"/>
  <c r="AP250" i="1"/>
  <c r="AQ250" i="1"/>
  <c r="AE251" i="1"/>
  <c r="AF251" i="1"/>
  <c r="AG251" i="1"/>
  <c r="AH251" i="1"/>
  <c r="AI251" i="1"/>
  <c r="AM251" i="1"/>
  <c r="AN251" i="1"/>
  <c r="AO251" i="1"/>
  <c r="AP251" i="1"/>
  <c r="AQ251" i="1"/>
  <c r="AR251" i="1"/>
  <c r="AS251" i="1"/>
  <c r="L252" i="1"/>
  <c r="M252" i="1"/>
  <c r="AC252" i="1"/>
  <c r="AC258" i="1" s="1"/>
  <c r="AC257" i="1" s="1"/>
  <c r="AG252" i="1"/>
  <c r="AG258" i="1" s="1"/>
  <c r="AH252" i="1"/>
  <c r="AI252" i="1"/>
  <c r="AI258" i="1" s="1"/>
  <c r="AI257" i="1" s="1"/>
  <c r="AP252" i="1"/>
  <c r="AM256" i="1"/>
  <c r="AN256" i="1"/>
  <c r="AO256" i="1"/>
  <c r="AP256" i="1"/>
  <c r="AQ256" i="1"/>
  <c r="AR256" i="1"/>
  <c r="AS256" i="1"/>
  <c r="L258" i="1"/>
  <c r="L257" i="1" s="1"/>
  <c r="M258" i="1"/>
  <c r="M257" i="1" s="1"/>
  <c r="P258" i="1"/>
  <c r="P257" i="1" s="1"/>
  <c r="Q258" i="1"/>
  <c r="Q257" i="1"/>
  <c r="R258" i="1"/>
  <c r="R257" i="1"/>
  <c r="S258" i="1"/>
  <c r="S257" i="1" s="1"/>
  <c r="T258" i="1"/>
  <c r="T257" i="1" s="1"/>
  <c r="U258" i="1"/>
  <c r="U257" i="1" s="1"/>
  <c r="V258" i="1"/>
  <c r="V257" i="1"/>
  <c r="W258" i="1"/>
  <c r="W257" i="1"/>
  <c r="X258" i="1"/>
  <c r="X257" i="1" s="1"/>
  <c r="Y258" i="1"/>
  <c r="Y257" i="1"/>
  <c r="AG257" i="1"/>
  <c r="AH258" i="1"/>
  <c r="AH257" i="1"/>
  <c r="AP258" i="1"/>
  <c r="AK262" i="1"/>
  <c r="AM262" i="1"/>
  <c r="AN262" i="1"/>
  <c r="AO262" i="1"/>
  <c r="AP262" i="1"/>
  <c r="AQ262" i="1"/>
  <c r="AK263" i="1"/>
  <c r="AL263" i="1"/>
  <c r="AM263" i="1"/>
  <c r="AN263" i="1"/>
  <c r="AO263" i="1"/>
  <c r="AP263" i="1"/>
  <c r="AQ263" i="1"/>
  <c r="AK264" i="1"/>
  <c r="AM264" i="1"/>
  <c r="AN264" i="1"/>
  <c r="AO264" i="1"/>
  <c r="AP264" i="1"/>
  <c r="AQ264" i="1"/>
  <c r="AK265" i="1"/>
  <c r="AM265" i="1"/>
  <c r="AN265" i="1"/>
  <c r="AO265" i="1"/>
  <c r="AP265" i="1"/>
  <c r="AQ265" i="1"/>
  <c r="AK266" i="1"/>
  <c r="AM266" i="1"/>
  <c r="AN266" i="1"/>
  <c r="AO266" i="1"/>
  <c r="AP266" i="1"/>
  <c r="AQ266" i="1"/>
  <c r="AK267" i="1"/>
  <c r="AM267" i="1"/>
  <c r="AN267" i="1"/>
  <c r="AO267" i="1"/>
  <c r="AP267" i="1"/>
  <c r="AQ267" i="1"/>
  <c r="AK268" i="1"/>
  <c r="AM268" i="1"/>
  <c r="AN268" i="1"/>
  <c r="AO268" i="1"/>
  <c r="AP268" i="1"/>
  <c r="AQ268" i="1"/>
  <c r="AK269" i="1"/>
  <c r="AM269" i="1"/>
  <c r="AN269" i="1"/>
  <c r="AO269" i="1"/>
  <c r="AP269" i="1"/>
  <c r="AQ269" i="1"/>
  <c r="AK270" i="1"/>
  <c r="AM270" i="1"/>
  <c r="AN270" i="1"/>
  <c r="AO270" i="1"/>
  <c r="AP270" i="1"/>
  <c r="AQ270" i="1"/>
  <c r="AM271" i="1"/>
  <c r="AN271" i="1"/>
  <c r="AO271" i="1"/>
  <c r="AP271" i="1"/>
  <c r="AQ271" i="1"/>
  <c r="AK272" i="1"/>
  <c r="AM272" i="1"/>
  <c r="AN272" i="1"/>
  <c r="AO272" i="1"/>
  <c r="AP272" i="1"/>
  <c r="AQ272" i="1"/>
  <c r="AM273" i="1"/>
  <c r="AN273" i="1"/>
  <c r="AO273" i="1"/>
  <c r="AP273" i="1"/>
  <c r="AQ273" i="1"/>
  <c r="AM274" i="1"/>
  <c r="AN274" i="1"/>
  <c r="AO274" i="1"/>
  <c r="AP274" i="1"/>
  <c r="AQ274" i="1"/>
  <c r="AK275" i="1"/>
  <c r="AM275" i="1"/>
  <c r="AN275" i="1"/>
  <c r="AO275" i="1"/>
  <c r="AP275" i="1"/>
  <c r="AQ275" i="1"/>
  <c r="AK276" i="1"/>
  <c r="AM276" i="1"/>
  <c r="AN276" i="1"/>
  <c r="AO276" i="1"/>
  <c r="AP276" i="1"/>
  <c r="AQ276" i="1"/>
  <c r="AK277" i="1"/>
  <c r="AM277" i="1"/>
  <c r="AN277" i="1"/>
  <c r="AO277" i="1"/>
  <c r="AP277" i="1"/>
  <c r="AQ277" i="1"/>
  <c r="AK278" i="1"/>
  <c r="AM278" i="1"/>
  <c r="AN278" i="1"/>
  <c r="AO278" i="1"/>
  <c r="AP278" i="1"/>
  <c r="AQ278" i="1"/>
  <c r="AK280" i="1"/>
  <c r="AM280" i="1"/>
  <c r="AN280" i="1"/>
  <c r="AO280" i="1"/>
  <c r="AP280" i="1"/>
  <c r="AQ280" i="1"/>
  <c r="AM281" i="1"/>
  <c r="AN281" i="1"/>
  <c r="AO281" i="1"/>
  <c r="AP281" i="1"/>
  <c r="AQ281" i="1"/>
  <c r="AM282" i="1"/>
  <c r="AN282" i="1"/>
  <c r="AO282" i="1"/>
  <c r="AP282" i="1"/>
  <c r="AQ282" i="1"/>
  <c r="AK284" i="1"/>
  <c r="AM284" i="1"/>
  <c r="AN284" i="1"/>
  <c r="AO284" i="1"/>
  <c r="AP284" i="1"/>
  <c r="AQ284" i="1"/>
  <c r="AK285" i="1"/>
  <c r="AM285" i="1"/>
  <c r="AN285" i="1"/>
  <c r="AO285" i="1"/>
  <c r="AP285" i="1"/>
  <c r="AQ285" i="1"/>
  <c r="AK286" i="1"/>
  <c r="AM286" i="1"/>
  <c r="AN286" i="1"/>
  <c r="AO286" i="1"/>
  <c r="AP286" i="1"/>
  <c r="AQ286" i="1"/>
  <c r="AK287" i="1"/>
  <c r="AM287" i="1"/>
  <c r="AN287" i="1"/>
  <c r="AO287" i="1"/>
  <c r="AP287" i="1"/>
  <c r="AQ287" i="1"/>
  <c r="D288" i="1"/>
  <c r="E288" i="1"/>
  <c r="F288" i="1"/>
  <c r="G288" i="1"/>
  <c r="H288" i="1"/>
  <c r="I288" i="1"/>
  <c r="J288" i="1"/>
  <c r="K288" i="1"/>
  <c r="L288" i="1"/>
  <c r="M288" i="1"/>
  <c r="N288" i="1"/>
  <c r="O288" i="1"/>
  <c r="P288" i="1"/>
  <c r="AO288" i="1" s="1"/>
  <c r="AO295" i="1" s="1"/>
  <c r="AO297" i="1" s="1"/>
  <c r="Q288" i="1"/>
  <c r="R288" i="1"/>
  <c r="S288" i="1"/>
  <c r="T288" i="1"/>
  <c r="U288" i="1"/>
  <c r="V288" i="1"/>
  <c r="V295" i="1" s="1"/>
  <c r="V297" i="1" s="1"/>
  <c r="W288" i="1"/>
  <c r="W295" i="1" s="1"/>
  <c r="W297" i="1" s="1"/>
  <c r="X288" i="1"/>
  <c r="X295" i="1" s="1"/>
  <c r="X297" i="1" s="1"/>
  <c r="Y288" i="1"/>
  <c r="Z288" i="1"/>
  <c r="Z295" i="1" s="1"/>
  <c r="Z297" i="1" s="1"/>
  <c r="AA288" i="1"/>
  <c r="AB288" i="1"/>
  <c r="AB295" i="1" s="1"/>
  <c r="AB297" i="1" s="1"/>
  <c r="AC288" i="1"/>
  <c r="AD288" i="1"/>
  <c r="AL288" i="1"/>
  <c r="AM288" i="1"/>
  <c r="AN288" i="1"/>
  <c r="AQ288" i="1"/>
  <c r="AQ295" i="1" s="1"/>
  <c r="M290" i="1"/>
  <c r="N290" i="1"/>
  <c r="O295" i="1"/>
  <c r="O297" i="1" s="1"/>
  <c r="P290" i="1"/>
  <c r="Q290" i="1"/>
  <c r="R290" i="1"/>
  <c r="S295" i="1"/>
  <c r="S297" i="1"/>
  <c r="S299" i="1"/>
  <c r="S301" i="1" s="1"/>
  <c r="S291" i="1" s="1"/>
  <c r="S290" i="1"/>
  <c r="T290" i="1"/>
  <c r="U290" i="1"/>
  <c r="V290" i="1"/>
  <c r="X290" i="1"/>
  <c r="Y290" i="1"/>
  <c r="Z290" i="1"/>
  <c r="AA301" i="1"/>
  <c r="AA300" i="1"/>
  <c r="AA299" i="1"/>
  <c r="AA290" i="1"/>
  <c r="AB290" i="1"/>
  <c r="AC290" i="1"/>
  <c r="AN290" i="1"/>
  <c r="AO290" i="1"/>
  <c r="AP290" i="1"/>
  <c r="AQ290" i="1"/>
  <c r="M301" i="1"/>
  <c r="M291" i="1" s="1"/>
  <c r="N301" i="1"/>
  <c r="N291" i="1" s="1"/>
  <c r="P301" i="1"/>
  <c r="P291" i="1" s="1"/>
  <c r="Q301" i="1"/>
  <c r="Q291" i="1"/>
  <c r="R301" i="1"/>
  <c r="R291" i="1"/>
  <c r="T301" i="1"/>
  <c r="T291" i="1"/>
  <c r="U301" i="1"/>
  <c r="U291" i="1" s="1"/>
  <c r="V301" i="1"/>
  <c r="V291" i="1" s="1"/>
  <c r="X301" i="1"/>
  <c r="X291" i="1"/>
  <c r="Y301" i="1"/>
  <c r="Y291" i="1" s="1"/>
  <c r="Z301" i="1"/>
  <c r="Z291" i="1"/>
  <c r="AB301" i="1"/>
  <c r="AB291" i="1"/>
  <c r="AC301" i="1"/>
  <c r="AC291" i="1"/>
  <c r="AN301" i="1"/>
  <c r="AN291" i="1"/>
  <c r="AO301" i="1"/>
  <c r="AO291" i="1" s="1"/>
  <c r="AP301" i="1"/>
  <c r="AP291" i="1" s="1"/>
  <c r="M292" i="1"/>
  <c r="N292" i="1"/>
  <c r="P292" i="1"/>
  <c r="Q292" i="1"/>
  <c r="R292" i="1"/>
  <c r="S303" i="1"/>
  <c r="S305" i="1" s="1"/>
  <c r="S293" i="1" s="1"/>
  <c r="T292" i="1"/>
  <c r="AA295" i="1"/>
  <c r="AA297" i="1" s="1"/>
  <c r="AA303" i="1" s="1"/>
  <c r="AA292" i="1" s="1"/>
  <c r="AN292" i="1"/>
  <c r="AO292" i="1"/>
  <c r="AP292" i="1"/>
  <c r="AQ292" i="1"/>
  <c r="M305" i="1"/>
  <c r="M293" i="1"/>
  <c r="N305" i="1"/>
  <c r="N293" i="1"/>
  <c r="P305" i="1"/>
  <c r="P293" i="1" s="1"/>
  <c r="Q305" i="1"/>
  <c r="Q293" i="1" s="1"/>
  <c r="R305" i="1"/>
  <c r="R293" i="1" s="1"/>
  <c r="T305" i="1"/>
  <c r="T293" i="1" s="1"/>
  <c r="AN305" i="1"/>
  <c r="AN293" i="1"/>
  <c r="AO305" i="1"/>
  <c r="AO293" i="1"/>
  <c r="M295" i="1"/>
  <c r="N295" i="1"/>
  <c r="P295" i="1"/>
  <c r="P297" i="1" s="1"/>
  <c r="Q295" i="1"/>
  <c r="Q297" i="1" s="1"/>
  <c r="R295" i="1"/>
  <c r="R297" i="1" s="1"/>
  <c r="T295" i="1"/>
  <c r="T297" i="1" s="1"/>
  <c r="Y295" i="1"/>
  <c r="Y297" i="1" s="1"/>
  <c r="AC295" i="1"/>
  <c r="AD295" i="1"/>
  <c r="AN295" i="1"/>
  <c r="AN297" i="1" s="1"/>
  <c r="M297" i="1"/>
  <c r="N297" i="1"/>
  <c r="AC297" i="1"/>
  <c r="AD297" i="1"/>
  <c r="AQ297" i="1"/>
  <c r="W301" i="1"/>
  <c r="AD301" i="1"/>
  <c r="AQ301" i="1"/>
  <c r="W305" i="1"/>
  <c r="AA305" i="1"/>
  <c r="AA304" i="1" s="1"/>
  <c r="U305" i="1"/>
  <c r="V305" i="1"/>
  <c r="X305" i="1"/>
  <c r="Y305" i="1"/>
  <c r="Z305" i="1"/>
  <c r="AB305" i="1"/>
  <c r="AC305" i="1"/>
  <c r="AD305" i="1"/>
  <c r="AP305" i="1"/>
  <c r="AQ305" i="1"/>
  <c r="W309" i="1"/>
  <c r="AA310" i="1"/>
  <c r="AA309" i="1" s="1"/>
  <c r="M321" i="1"/>
  <c r="N321" i="1"/>
  <c r="O321" i="1"/>
  <c r="P321" i="1"/>
  <c r="Q321" i="1"/>
  <c r="R321" i="1"/>
  <c r="S321" i="1"/>
  <c r="T321" i="1"/>
  <c r="U321" i="1"/>
  <c r="V321" i="1"/>
  <c r="W321" i="1"/>
  <c r="X321" i="1"/>
  <c r="Y321" i="1"/>
  <c r="Z321" i="1"/>
  <c r="AA321" i="1"/>
  <c r="AB321" i="1"/>
  <c r="AC321" i="1"/>
  <c r="AD321" i="1"/>
  <c r="AN321" i="1"/>
  <c r="AO321" i="1"/>
  <c r="AP321" i="1"/>
  <c r="AQ321" i="1"/>
  <c r="AK326" i="1"/>
  <c r="AM326" i="1"/>
  <c r="AN326" i="1"/>
  <c r="AO326" i="1"/>
  <c r="AP326" i="1"/>
  <c r="AQ326" i="1"/>
  <c r="AK327" i="1"/>
  <c r="AM327" i="1"/>
  <c r="AN327" i="1"/>
  <c r="AO327" i="1"/>
  <c r="AP327" i="1"/>
  <c r="AQ327" i="1"/>
  <c r="AK328" i="1"/>
  <c r="AM328" i="1"/>
  <c r="AN328" i="1"/>
  <c r="AO328" i="1"/>
  <c r="AP328" i="1"/>
  <c r="AQ328" i="1"/>
  <c r="AK329" i="1"/>
  <c r="AM329" i="1"/>
  <c r="AN329" i="1"/>
  <c r="AO329" i="1"/>
  <c r="AP329" i="1"/>
  <c r="AQ329" i="1"/>
  <c r="AM331" i="1"/>
  <c r="AO331" i="1"/>
  <c r="AP331" i="1"/>
  <c r="AQ331" i="1"/>
  <c r="AM335" i="1"/>
  <c r="AN335" i="1"/>
  <c r="AO335" i="1"/>
  <c r="AP335" i="1"/>
  <c r="AQ335" i="1"/>
  <c r="AM336" i="1"/>
  <c r="AN336" i="1"/>
  <c r="AO336" i="1"/>
  <c r="AP336" i="1"/>
  <c r="AQ336" i="1"/>
  <c r="AM337" i="1"/>
  <c r="AN337" i="1"/>
  <c r="AO337" i="1"/>
  <c r="AP337" i="1"/>
  <c r="AQ337" i="1"/>
  <c r="AM338" i="1"/>
  <c r="AN338" i="1"/>
  <c r="AO338" i="1"/>
  <c r="AP338" i="1"/>
  <c r="AQ338" i="1"/>
  <c r="AM339" i="1"/>
  <c r="AN339" i="1"/>
  <c r="AO339" i="1"/>
  <c r="AP339" i="1"/>
  <c r="AQ339" i="1"/>
  <c r="AM340" i="1"/>
  <c r="AN340" i="1"/>
  <c r="AO340" i="1"/>
  <c r="AP340" i="1"/>
  <c r="AQ340" i="1"/>
  <c r="AM344" i="1"/>
  <c r="AN344" i="1"/>
  <c r="AO344" i="1"/>
  <c r="AP344" i="1"/>
  <c r="AQ344" i="1"/>
  <c r="AM345" i="1"/>
  <c r="AN345" i="1"/>
  <c r="AO345" i="1"/>
  <c r="AP345" i="1"/>
  <c r="AQ345" i="1"/>
  <c r="AM346" i="1"/>
  <c r="AM379" i="1" s="1"/>
  <c r="AM378" i="1" s="1"/>
  <c r="AN346" i="1"/>
  <c r="AN379" i="1" s="1"/>
  <c r="AN378" i="1" s="1"/>
  <c r="AO346" i="1"/>
  <c r="AP346" i="1"/>
  <c r="AQ346" i="1"/>
  <c r="AM347" i="1"/>
  <c r="AM383" i="1" s="1"/>
  <c r="AM385" i="1" s="1"/>
  <c r="AM395" i="1" s="1"/>
  <c r="AN347" i="1"/>
  <c r="AO347" i="1"/>
  <c r="AP347" i="1"/>
  <c r="AQ347" i="1"/>
  <c r="D351" i="1"/>
  <c r="AK351" i="1" s="1"/>
  <c r="E351" i="1"/>
  <c r="F351" i="1"/>
  <c r="G351" i="1"/>
  <c r="H351" i="1"/>
  <c r="I351" i="1"/>
  <c r="I355" i="1" s="1"/>
  <c r="J351" i="1"/>
  <c r="J355" i="1" s="1"/>
  <c r="L351" i="1"/>
  <c r="L355" i="1" s="1"/>
  <c r="AN355" i="1" s="1"/>
  <c r="M351" i="1"/>
  <c r="N351" i="1"/>
  <c r="O351" i="1"/>
  <c r="P351" i="1"/>
  <c r="Q351" i="1"/>
  <c r="R351" i="1"/>
  <c r="S351" i="1"/>
  <c r="T351" i="1"/>
  <c r="U351" i="1"/>
  <c r="AP351" i="1" s="1"/>
  <c r="V351" i="1"/>
  <c r="W351" i="1"/>
  <c r="Y351" i="1"/>
  <c r="Y355" i="1" s="1"/>
  <c r="Z351" i="1"/>
  <c r="Z355" i="1" s="1"/>
  <c r="AB351" i="1"/>
  <c r="AB355" i="1" s="1"/>
  <c r="AC351" i="1"/>
  <c r="AD351" i="1"/>
  <c r="AL351" i="1"/>
  <c r="AN351" i="1"/>
  <c r="AO351" i="1"/>
  <c r="D352" i="1"/>
  <c r="E352" i="1"/>
  <c r="F352" i="1"/>
  <c r="F355" i="1" s="1"/>
  <c r="G352" i="1"/>
  <c r="H352" i="1"/>
  <c r="AM352" i="1" s="1"/>
  <c r="I352" i="1"/>
  <c r="J352" i="1"/>
  <c r="K352" i="1"/>
  <c r="L352" i="1"/>
  <c r="M352" i="1"/>
  <c r="N352" i="1"/>
  <c r="O352" i="1"/>
  <c r="P352" i="1"/>
  <c r="Q352" i="1"/>
  <c r="Q355" i="1" s="1"/>
  <c r="R352" i="1"/>
  <c r="S352" i="1"/>
  <c r="T352" i="1"/>
  <c r="U352" i="1"/>
  <c r="V352" i="1"/>
  <c r="V355" i="1" s="1"/>
  <c r="W352" i="1"/>
  <c r="X352" i="1"/>
  <c r="AQ352" i="1" s="1"/>
  <c r="Y352" i="1"/>
  <c r="Z352" i="1"/>
  <c r="AA352" i="1"/>
  <c r="AB352" i="1"/>
  <c r="AC352" i="1"/>
  <c r="AD352" i="1"/>
  <c r="AL352" i="1"/>
  <c r="AN352" i="1"/>
  <c r="AO352" i="1"/>
  <c r="D353" i="1"/>
  <c r="E353" i="1"/>
  <c r="E355" i="1" s="1"/>
  <c r="F353" i="1"/>
  <c r="G353" i="1"/>
  <c r="H353" i="1"/>
  <c r="I353" i="1"/>
  <c r="J353" i="1"/>
  <c r="K353" i="1"/>
  <c r="L353" i="1"/>
  <c r="M353" i="1"/>
  <c r="N353" i="1"/>
  <c r="O353" i="1"/>
  <c r="P353" i="1"/>
  <c r="AO353" i="1" s="1"/>
  <c r="Q353" i="1"/>
  <c r="R353" i="1"/>
  <c r="S353" i="1"/>
  <c r="T353" i="1"/>
  <c r="U353" i="1"/>
  <c r="U355" i="1" s="1"/>
  <c r="V353" i="1"/>
  <c r="W353" i="1"/>
  <c r="X353" i="1"/>
  <c r="Y353" i="1"/>
  <c r="Z353" i="1"/>
  <c r="AA353" i="1"/>
  <c r="AB353" i="1"/>
  <c r="AC353" i="1"/>
  <c r="AD353" i="1"/>
  <c r="AL353" i="1"/>
  <c r="AM353" i="1"/>
  <c r="AN353" i="1"/>
  <c r="AQ353" i="1"/>
  <c r="D355" i="1"/>
  <c r="M355" i="1"/>
  <c r="N355" i="1"/>
  <c r="O355" i="1"/>
  <c r="P355" i="1"/>
  <c r="R355" i="1"/>
  <c r="S355" i="1"/>
  <c r="AO355" i="1" s="1"/>
  <c r="T355" i="1"/>
  <c r="AC355" i="1"/>
  <c r="AD355" i="1"/>
  <c r="AL355" i="1"/>
  <c r="D358" i="1"/>
  <c r="AK358" i="1" s="1"/>
  <c r="E358" i="1"/>
  <c r="F358" i="1"/>
  <c r="G358" i="1"/>
  <c r="H358" i="1"/>
  <c r="I358" i="1"/>
  <c r="J358" i="1"/>
  <c r="K358" i="1"/>
  <c r="K370" i="1" s="1"/>
  <c r="AM370" i="1" s="1"/>
  <c r="L358" i="1"/>
  <c r="L370" i="1" s="1"/>
  <c r="AN370" i="1" s="1"/>
  <c r="M358" i="1"/>
  <c r="M370" i="1" s="1"/>
  <c r="N358" i="1"/>
  <c r="N370" i="1" s="1"/>
  <c r="O358" i="1"/>
  <c r="P358" i="1"/>
  <c r="Q358" i="1"/>
  <c r="Q370" i="1" s="1"/>
  <c r="R358" i="1"/>
  <c r="R370" i="1" s="1"/>
  <c r="S358" i="1"/>
  <c r="S370" i="1" s="1"/>
  <c r="T358" i="1"/>
  <c r="U358" i="1"/>
  <c r="V358" i="1"/>
  <c r="W358" i="1"/>
  <c r="X358" i="1"/>
  <c r="Y358" i="1"/>
  <c r="Z358" i="1"/>
  <c r="AA358" i="1"/>
  <c r="AQ358" i="1" s="1"/>
  <c r="AB358" i="1"/>
  <c r="AB370" i="1" s="1"/>
  <c r="AC358" i="1"/>
  <c r="AC370" i="1" s="1"/>
  <c r="AD358" i="1"/>
  <c r="AD370" i="1" s="1"/>
  <c r="AL358" i="1"/>
  <c r="AM358" i="1"/>
  <c r="AN358" i="1"/>
  <c r="AP358" i="1"/>
  <c r="AK359" i="1"/>
  <c r="AM359" i="1"/>
  <c r="AN359" i="1"/>
  <c r="AO359" i="1"/>
  <c r="AP359" i="1"/>
  <c r="AQ359" i="1"/>
  <c r="AK360" i="1"/>
  <c r="AM360" i="1"/>
  <c r="AN360" i="1"/>
  <c r="AO360" i="1"/>
  <c r="AP360" i="1"/>
  <c r="AQ360" i="1"/>
  <c r="D361" i="1"/>
  <c r="E361" i="1"/>
  <c r="F361" i="1"/>
  <c r="G361" i="1"/>
  <c r="AL361" i="1"/>
  <c r="AM361" i="1"/>
  <c r="AN361" i="1"/>
  <c r="AO361" i="1"/>
  <c r="AP361" i="1"/>
  <c r="AQ361" i="1"/>
  <c r="AK362" i="1"/>
  <c r="AM362" i="1"/>
  <c r="AN362" i="1"/>
  <c r="AO362" i="1"/>
  <c r="AP362" i="1"/>
  <c r="AQ362" i="1"/>
  <c r="AK363" i="1"/>
  <c r="AM363" i="1"/>
  <c r="AN363" i="1"/>
  <c r="AO363" i="1"/>
  <c r="AP363" i="1"/>
  <c r="AQ363" i="1"/>
  <c r="AK364" i="1"/>
  <c r="AM364" i="1"/>
  <c r="AN364" i="1"/>
  <c r="AO364" i="1"/>
  <c r="AP364" i="1"/>
  <c r="AQ364" i="1"/>
  <c r="AK365" i="1"/>
  <c r="AM365" i="1"/>
  <c r="AN365" i="1"/>
  <c r="AO365" i="1"/>
  <c r="AP365" i="1"/>
  <c r="AQ365" i="1"/>
  <c r="AK366" i="1"/>
  <c r="AM366" i="1"/>
  <c r="AN366" i="1"/>
  <c r="AO366" i="1"/>
  <c r="AP366" i="1"/>
  <c r="AQ366" i="1"/>
  <c r="AM367" i="1"/>
  <c r="AN367" i="1"/>
  <c r="AO367" i="1"/>
  <c r="AP367" i="1"/>
  <c r="AQ367" i="1"/>
  <c r="D368" i="1"/>
  <c r="E368" i="1"/>
  <c r="F368" i="1"/>
  <c r="F370" i="1" s="1"/>
  <c r="G368" i="1"/>
  <c r="AL368" i="1"/>
  <c r="AM368" i="1"/>
  <c r="AN368" i="1"/>
  <c r="AO368" i="1"/>
  <c r="AP368" i="1"/>
  <c r="AQ368" i="1"/>
  <c r="AM369" i="1"/>
  <c r="AN369" i="1"/>
  <c r="AO369" i="1"/>
  <c r="AP369" i="1"/>
  <c r="AQ369" i="1"/>
  <c r="E370" i="1"/>
  <c r="G370" i="1"/>
  <c r="H370" i="1"/>
  <c r="I370" i="1"/>
  <c r="J370" i="1"/>
  <c r="O370" i="1"/>
  <c r="P370" i="1"/>
  <c r="T370" i="1"/>
  <c r="U370" i="1"/>
  <c r="V370" i="1"/>
  <c r="W370" i="1"/>
  <c r="X370" i="1"/>
  <c r="Y370" i="1"/>
  <c r="Z370" i="1"/>
  <c r="AL370" i="1"/>
  <c r="H375" i="1"/>
  <c r="L375" i="1" s="1"/>
  <c r="I375" i="1"/>
  <c r="M375" i="1" s="1"/>
  <c r="J375" i="1"/>
  <c r="N375" i="1" s="1"/>
  <c r="K375" i="1"/>
  <c r="AP375" i="1"/>
  <c r="Z379" i="1"/>
  <c r="Y379" i="1"/>
  <c r="AQ379" i="1"/>
  <c r="AP379" i="1"/>
  <c r="AB379" i="1"/>
  <c r="AA379" i="1"/>
  <c r="X376" i="1"/>
  <c r="X391" i="1" s="1"/>
  <c r="AB376" i="1"/>
  <c r="AC379" i="1"/>
  <c r="AD379" i="1"/>
  <c r="I376" i="1"/>
  <c r="I391" i="1" s="1"/>
  <c r="I392" i="1" s="1"/>
  <c r="O376" i="1"/>
  <c r="S376" i="1"/>
  <c r="S391" i="1" s="1"/>
  <c r="W376" i="1"/>
  <c r="H379" i="1"/>
  <c r="I379" i="1"/>
  <c r="J379" i="1"/>
  <c r="K379" i="1"/>
  <c r="L379" i="1"/>
  <c r="M379" i="1"/>
  <c r="N379" i="1"/>
  <c r="O379" i="1"/>
  <c r="P379" i="1"/>
  <c r="Q379" i="1"/>
  <c r="R379" i="1"/>
  <c r="S379" i="1"/>
  <c r="T379" i="1"/>
  <c r="U379" i="1"/>
  <c r="V379" i="1"/>
  <c r="W379" i="1"/>
  <c r="X379" i="1"/>
  <c r="AL379" i="1"/>
  <c r="AL378" i="1" s="1"/>
  <c r="AO379" i="1"/>
  <c r="AO378" i="1"/>
  <c r="AN380" i="1"/>
  <c r="AO380" i="1"/>
  <c r="H383" i="1"/>
  <c r="H385" i="1" s="1"/>
  <c r="H395" i="1" s="1"/>
  <c r="H396" i="1" s="1"/>
  <c r="H393" i="1" s="1"/>
  <c r="I383" i="1"/>
  <c r="I385" i="1" s="1"/>
  <c r="J383" i="1"/>
  <c r="J385" i="1" s="1"/>
  <c r="K383" i="1"/>
  <c r="L383" i="1"/>
  <c r="M383" i="1"/>
  <c r="N383" i="1"/>
  <c r="O383" i="1"/>
  <c r="P383" i="1"/>
  <c r="Q383" i="1"/>
  <c r="R383" i="1"/>
  <c r="S383" i="1"/>
  <c r="S385" i="1" s="1"/>
  <c r="S395" i="1" s="1"/>
  <c r="S396" i="1" s="1"/>
  <c r="S393" i="1" s="1"/>
  <c r="T383" i="1"/>
  <c r="T385" i="1" s="1"/>
  <c r="T395" i="1" s="1"/>
  <c r="U383" i="1"/>
  <c r="U385" i="1" s="1"/>
  <c r="V383" i="1"/>
  <c r="W383" i="1"/>
  <c r="X383" i="1"/>
  <c r="X385" i="1" s="1"/>
  <c r="X395" i="1" s="1"/>
  <c r="Y383" i="1"/>
  <c r="Y385" i="1" s="1"/>
  <c r="Y395" i="1" s="1"/>
  <c r="Y396" i="1" s="1"/>
  <c r="Y393" i="1" s="1"/>
  <c r="Y392" i="1" s="1"/>
  <c r="Y390" i="1" s="1"/>
  <c r="Z383" i="1"/>
  <c r="Z385" i="1" s="1"/>
  <c r="Z395" i="1" s="1"/>
  <c r="AA383" i="1"/>
  <c r="AB383" i="1"/>
  <c r="AC383" i="1"/>
  <c r="AD383" i="1"/>
  <c r="AL383" i="1"/>
  <c r="AN383" i="1"/>
  <c r="AO383" i="1"/>
  <c r="AP383" i="1"/>
  <c r="AP385" i="1" s="1"/>
  <c r="AQ383" i="1"/>
  <c r="AQ385" i="1" s="1"/>
  <c r="AQ395" i="1" s="1"/>
  <c r="K385" i="1"/>
  <c r="K395" i="1" s="1"/>
  <c r="L385" i="1"/>
  <c r="M385" i="1"/>
  <c r="M395" i="1" s="1"/>
  <c r="N385" i="1"/>
  <c r="N395" i="1" s="1"/>
  <c r="N396" i="1" s="1"/>
  <c r="N393" i="1" s="1"/>
  <c r="O385" i="1"/>
  <c r="P385" i="1"/>
  <c r="P395" i="1" s="1"/>
  <c r="Q385" i="1"/>
  <c r="R385" i="1"/>
  <c r="V385" i="1"/>
  <c r="W385" i="1"/>
  <c r="W395" i="1" s="1"/>
  <c r="W396" i="1" s="1"/>
  <c r="AA385" i="1"/>
  <c r="AA395" i="1" s="1"/>
  <c r="AB385" i="1"/>
  <c r="AC385" i="1"/>
  <c r="AD385" i="1"/>
  <c r="AL385" i="1"/>
  <c r="AN385" i="1"/>
  <c r="AO385" i="1"/>
  <c r="H387" i="1"/>
  <c r="I387" i="1"/>
  <c r="J387" i="1"/>
  <c r="K387" i="1"/>
  <c r="L387" i="1"/>
  <c r="M387" i="1"/>
  <c r="N387" i="1"/>
  <c r="O387" i="1"/>
  <c r="P387" i="1"/>
  <c r="Q387" i="1"/>
  <c r="R387" i="1"/>
  <c r="S387" i="1"/>
  <c r="W387" i="1"/>
  <c r="AA387" i="1"/>
  <c r="H397" i="1"/>
  <c r="H390" i="1"/>
  <c r="H391" i="1"/>
  <c r="I397" i="1"/>
  <c r="I395" i="1"/>
  <c r="I390" i="1"/>
  <c r="J397" i="1"/>
  <c r="J395" i="1"/>
  <c r="J396" i="1" s="1"/>
  <c r="J393" i="1" s="1"/>
  <c r="J389" i="1" s="1"/>
  <c r="J388" i="1" s="1"/>
  <c r="J390" i="1"/>
  <c r="J391" i="1"/>
  <c r="J392" i="1"/>
  <c r="K397" i="1"/>
  <c r="K396" i="1" s="1"/>
  <c r="K393" i="1" s="1"/>
  <c r="K390" i="1"/>
  <c r="L397" i="1"/>
  <c r="L395" i="1"/>
  <c r="AN397" i="1"/>
  <c r="AN396" i="1" s="1"/>
  <c r="AN393" i="1" s="1"/>
  <c r="AN392" i="1" s="1"/>
  <c r="AN390" i="1" s="1"/>
  <c r="AN395" i="1"/>
  <c r="AN391" i="1"/>
  <c r="L391" i="1"/>
  <c r="M397" i="1"/>
  <c r="M391" i="1"/>
  <c r="N397" i="1"/>
  <c r="N391" i="1"/>
  <c r="O397" i="1"/>
  <c r="O395" i="1"/>
  <c r="O396" i="1"/>
  <c r="O393" i="1" s="1"/>
  <c r="O391" i="1"/>
  <c r="P397" i="1"/>
  <c r="AO397" i="1"/>
  <c r="AO395" i="1"/>
  <c r="AO396" i="1" s="1"/>
  <c r="AO393" i="1" s="1"/>
  <c r="AO392" i="1" s="1"/>
  <c r="AO390" i="1" s="1"/>
  <c r="AO391" i="1"/>
  <c r="P391" i="1"/>
  <c r="Q397" i="1"/>
  <c r="Q396" i="1" s="1"/>
  <c r="Q393" i="1" s="1"/>
  <c r="Q395" i="1"/>
  <c r="Q391" i="1"/>
  <c r="R397" i="1"/>
  <c r="R396" i="1" s="1"/>
  <c r="R393" i="1" s="1"/>
  <c r="R395" i="1"/>
  <c r="R391" i="1"/>
  <c r="S397" i="1"/>
  <c r="T388" i="1"/>
  <c r="U388" i="1"/>
  <c r="V388" i="1"/>
  <c r="W389" i="1"/>
  <c r="W388" i="1" s="1"/>
  <c r="X388" i="1"/>
  <c r="Y388" i="1"/>
  <c r="Z388" i="1"/>
  <c r="AA389" i="1"/>
  <c r="AA388" i="1"/>
  <c r="AB388" i="1"/>
  <c r="AC388" i="1"/>
  <c r="AD388" i="1"/>
  <c r="AL397" i="1"/>
  <c r="AL395" i="1"/>
  <c r="AL396" i="1" s="1"/>
  <c r="AL393" i="1" s="1"/>
  <c r="AL389" i="1" s="1"/>
  <c r="AL388" i="1" s="1"/>
  <c r="AL391" i="1"/>
  <c r="AL392" i="1" s="1"/>
  <c r="AM397" i="1"/>
  <c r="AM396" i="1" s="1"/>
  <c r="AM393" i="1" s="1"/>
  <c r="AM391" i="1"/>
  <c r="AM392" i="1" s="1"/>
  <c r="AM389" i="1" s="1"/>
  <c r="AM388" i="1" s="1"/>
  <c r="AN388" i="1"/>
  <c r="AO388" i="1"/>
  <c r="AP388" i="1"/>
  <c r="AQ388" i="1"/>
  <c r="T397" i="1"/>
  <c r="T396" i="1" s="1"/>
  <c r="T393" i="1" s="1"/>
  <c r="T392" i="1" s="1"/>
  <c r="T390" i="1" s="1"/>
  <c r="T391" i="1"/>
  <c r="U397" i="1"/>
  <c r="U395" i="1"/>
  <c r="U396" i="1"/>
  <c r="U393" i="1" s="1"/>
  <c r="U392" i="1" s="1"/>
  <c r="U390" i="1" s="1"/>
  <c r="U391" i="1"/>
  <c r="V397" i="1"/>
  <c r="V396" i="1" s="1"/>
  <c r="V393" i="1" s="1"/>
  <c r="V392" i="1" s="1"/>
  <c r="V390" i="1" s="1"/>
  <c r="V395" i="1"/>
  <c r="V391" i="1"/>
  <c r="W397" i="1"/>
  <c r="W393" i="1"/>
  <c r="W392" i="1"/>
  <c r="W390" i="1" s="1"/>
  <c r="W391" i="1"/>
  <c r="X397" i="1"/>
  <c r="X396" i="1" s="1"/>
  <c r="X393" i="1" s="1"/>
  <c r="X392" i="1" s="1"/>
  <c r="X390" i="1" s="1"/>
  <c r="Y397" i="1"/>
  <c r="Y391" i="1"/>
  <c r="Z397" i="1"/>
  <c r="Z396" i="1" s="1"/>
  <c r="Z393" i="1" s="1"/>
  <c r="Z392" i="1" s="1"/>
  <c r="Z390" i="1" s="1"/>
  <c r="Z391" i="1"/>
  <c r="AA397" i="1"/>
  <c r="AB397" i="1"/>
  <c r="AB395" i="1"/>
  <c r="AB396" i="1" s="1"/>
  <c r="AB393" i="1" s="1"/>
  <c r="AB392" i="1" s="1"/>
  <c r="AB390" i="1" s="1"/>
  <c r="AB391" i="1"/>
  <c r="AC397" i="1"/>
  <c r="AC395" i="1"/>
  <c r="AC391" i="1"/>
  <c r="AD397" i="1"/>
  <c r="AD395" i="1"/>
  <c r="AD396" i="1"/>
  <c r="AD393" i="1"/>
  <c r="AD392" i="1" s="1"/>
  <c r="AD390" i="1" s="1"/>
  <c r="AD391" i="1"/>
  <c r="AP397" i="1"/>
  <c r="AP395" i="1"/>
  <c r="AP396" i="1" s="1"/>
  <c r="AP393" i="1" s="1"/>
  <c r="AP392" i="1" s="1"/>
  <c r="AP390" i="1" s="1"/>
  <c r="AP391" i="1"/>
  <c r="AQ397" i="1"/>
  <c r="AQ396" i="1" s="1"/>
  <c r="AQ393" i="1" s="1"/>
  <c r="AQ392" i="1" s="1"/>
  <c r="AQ390" i="1" s="1"/>
  <c r="AQ391" i="1"/>
  <c r="H402" i="1"/>
  <c r="I402" i="1"/>
  <c r="J402" i="1"/>
  <c r="K402" i="1"/>
  <c r="L402" i="1"/>
  <c r="M402" i="1"/>
  <c r="N402" i="1"/>
  <c r="O402" i="1"/>
  <c r="P402" i="1"/>
  <c r="Q402" i="1"/>
  <c r="R402" i="1"/>
  <c r="S402" i="1"/>
  <c r="T402" i="1"/>
  <c r="U402" i="1"/>
  <c r="V402" i="1"/>
  <c r="W402" i="1"/>
  <c r="X402" i="1"/>
  <c r="Y402" i="1"/>
  <c r="Z402" i="1"/>
  <c r="AA402" i="1"/>
  <c r="AB402" i="1"/>
  <c r="AC402" i="1"/>
  <c r="AD402" i="1"/>
  <c r="AK402" i="1"/>
  <c r="AL402" i="1"/>
  <c r="AM470" i="1"/>
  <c r="AM402" i="1" s="1"/>
  <c r="AN470" i="1"/>
  <c r="AN402" i="1"/>
  <c r="AO470" i="1"/>
  <c r="AO402" i="1" s="1"/>
  <c r="AP470" i="1"/>
  <c r="AP402" i="1" s="1"/>
  <c r="AQ470" i="1"/>
  <c r="AQ402" i="1"/>
  <c r="H404" i="1"/>
  <c r="I404" i="1"/>
  <c r="J404" i="1"/>
  <c r="K404" i="1"/>
  <c r="L404" i="1"/>
  <c r="M404" i="1"/>
  <c r="N404" i="1"/>
  <c r="O404" i="1"/>
  <c r="P404" i="1"/>
  <c r="Q404" i="1"/>
  <c r="R404" i="1"/>
  <c r="S404" i="1"/>
  <c r="T404" i="1"/>
  <c r="U404" i="1"/>
  <c r="V404" i="1"/>
  <c r="W404" i="1"/>
  <c r="X404" i="1"/>
  <c r="Y404" i="1"/>
  <c r="Z404" i="1"/>
  <c r="AA404" i="1"/>
  <c r="AB404" i="1"/>
  <c r="AC404" i="1"/>
  <c r="AD404" i="1"/>
  <c r="AK404" i="1"/>
  <c r="AL404" i="1"/>
  <c r="AM472" i="1"/>
  <c r="AM404" i="1"/>
  <c r="AN472" i="1"/>
  <c r="AN404" i="1" s="1"/>
  <c r="AO472" i="1"/>
  <c r="AO404" i="1"/>
  <c r="AP472" i="1"/>
  <c r="AP404" i="1" s="1"/>
  <c r="AQ472" i="1"/>
  <c r="AQ404" i="1"/>
  <c r="H405" i="1"/>
  <c r="I405" i="1"/>
  <c r="J405" i="1"/>
  <c r="K405" i="1"/>
  <c r="L405" i="1"/>
  <c r="M405" i="1"/>
  <c r="N405" i="1"/>
  <c r="O405" i="1"/>
  <c r="P405" i="1"/>
  <c r="Q405" i="1"/>
  <c r="R405" i="1"/>
  <c r="S405" i="1"/>
  <c r="T405" i="1"/>
  <c r="U405" i="1"/>
  <c r="V405" i="1"/>
  <c r="W405" i="1"/>
  <c r="X405" i="1"/>
  <c r="Y405" i="1"/>
  <c r="Z405" i="1"/>
  <c r="AA405" i="1"/>
  <c r="AB405" i="1"/>
  <c r="AC405" i="1"/>
  <c r="AD405" i="1"/>
  <c r="AK405" i="1"/>
  <c r="AL405" i="1"/>
  <c r="AM473" i="1"/>
  <c r="AM405" i="1" s="1"/>
  <c r="AN473" i="1"/>
  <c r="AN405" i="1" s="1"/>
  <c r="AO473" i="1"/>
  <c r="AO405" i="1" s="1"/>
  <c r="AP473" i="1"/>
  <c r="AP405" i="1"/>
  <c r="AQ473" i="1"/>
  <c r="AQ405" i="1" s="1"/>
  <c r="H406" i="1"/>
  <c r="I406" i="1"/>
  <c r="J406" i="1"/>
  <c r="K406" i="1"/>
  <c r="L406" i="1"/>
  <c r="M406" i="1"/>
  <c r="N406" i="1"/>
  <c r="O406" i="1"/>
  <c r="P406" i="1"/>
  <c r="Q406" i="1"/>
  <c r="R406" i="1"/>
  <c r="S406" i="1"/>
  <c r="T406" i="1"/>
  <c r="U406" i="1"/>
  <c r="V406" i="1"/>
  <c r="W406" i="1"/>
  <c r="X406" i="1"/>
  <c r="Y406" i="1"/>
  <c r="Z406" i="1"/>
  <c r="AA406" i="1"/>
  <c r="AB406" i="1"/>
  <c r="AC406" i="1"/>
  <c r="AD406" i="1"/>
  <c r="AK406" i="1"/>
  <c r="AL406" i="1"/>
  <c r="AM406" i="1"/>
  <c r="AN406" i="1"/>
  <c r="AO406" i="1"/>
  <c r="AP406" i="1"/>
  <c r="AQ406" i="1"/>
  <c r="H407" i="1"/>
  <c r="I407" i="1"/>
  <c r="J407" i="1"/>
  <c r="K407" i="1"/>
  <c r="L407" i="1"/>
  <c r="M407" i="1"/>
  <c r="N407" i="1"/>
  <c r="O407" i="1"/>
  <c r="P407" i="1"/>
  <c r="Q407" i="1"/>
  <c r="R407" i="1"/>
  <c r="S407" i="1"/>
  <c r="T407" i="1"/>
  <c r="U407" i="1"/>
  <c r="V407" i="1"/>
  <c r="W407" i="1"/>
  <c r="X407" i="1"/>
  <c r="Y407" i="1"/>
  <c r="Z407" i="1"/>
  <c r="AA407" i="1"/>
  <c r="AB407" i="1"/>
  <c r="AC407" i="1"/>
  <c r="AD407" i="1"/>
  <c r="AK407" i="1"/>
  <c r="AL407" i="1"/>
  <c r="AM475" i="1"/>
  <c r="AM407" i="1"/>
  <c r="AN475" i="1"/>
  <c r="AN407" i="1" s="1"/>
  <c r="AO475" i="1"/>
  <c r="AO407" i="1" s="1"/>
  <c r="AP475" i="1"/>
  <c r="AP407" i="1" s="1"/>
  <c r="AQ475" i="1"/>
  <c r="AQ407" i="1"/>
  <c r="H408" i="1"/>
  <c r="I408" i="1"/>
  <c r="J408" i="1"/>
  <c r="K408" i="1"/>
  <c r="L408" i="1"/>
  <c r="M408" i="1"/>
  <c r="N408" i="1"/>
  <c r="O408" i="1"/>
  <c r="P408" i="1"/>
  <c r="Q408" i="1"/>
  <c r="R408" i="1"/>
  <c r="S408" i="1"/>
  <c r="T408" i="1"/>
  <c r="U408" i="1"/>
  <c r="V408" i="1"/>
  <c r="W408" i="1"/>
  <c r="X408" i="1"/>
  <c r="Y408" i="1"/>
  <c r="Z408" i="1"/>
  <c r="AA408" i="1"/>
  <c r="AB408" i="1"/>
  <c r="AC408" i="1"/>
  <c r="AD408" i="1"/>
  <c r="AK408" i="1"/>
  <c r="AL408" i="1"/>
  <c r="AM476" i="1"/>
  <c r="AM408" i="1" s="1"/>
  <c r="AN476" i="1"/>
  <c r="AN408" i="1" s="1"/>
  <c r="AO476" i="1"/>
  <c r="AO408" i="1" s="1"/>
  <c r="AP476" i="1"/>
  <c r="AP408" i="1" s="1"/>
  <c r="AQ476" i="1"/>
  <c r="AQ408" i="1"/>
  <c r="H409" i="1"/>
  <c r="I409" i="1"/>
  <c r="J409" i="1"/>
  <c r="K409" i="1"/>
  <c r="L409" i="1"/>
  <c r="M409" i="1"/>
  <c r="N409" i="1"/>
  <c r="O409" i="1"/>
  <c r="P409" i="1"/>
  <c r="Q409" i="1"/>
  <c r="R409" i="1"/>
  <c r="S409" i="1"/>
  <c r="T409" i="1"/>
  <c r="U409" i="1"/>
  <c r="V409" i="1"/>
  <c r="W409" i="1"/>
  <c r="X409" i="1"/>
  <c r="Y409" i="1"/>
  <c r="Z409" i="1"/>
  <c r="AA409" i="1"/>
  <c r="AB409" i="1"/>
  <c r="AC409" i="1"/>
  <c r="AD409" i="1"/>
  <c r="AK409" i="1"/>
  <c r="AL409" i="1"/>
  <c r="AM477" i="1"/>
  <c r="AM409" i="1" s="1"/>
  <c r="AN477" i="1"/>
  <c r="AN409" i="1"/>
  <c r="AO477" i="1"/>
  <c r="AO409" i="1" s="1"/>
  <c r="AP477" i="1"/>
  <c r="AP409" i="1" s="1"/>
  <c r="AQ477" i="1"/>
  <c r="AQ409" i="1"/>
  <c r="H410" i="1"/>
  <c r="I410" i="1"/>
  <c r="J410" i="1"/>
  <c r="K410" i="1"/>
  <c r="L410" i="1"/>
  <c r="M410" i="1"/>
  <c r="N410" i="1"/>
  <c r="O410" i="1"/>
  <c r="P410" i="1"/>
  <c r="Q410" i="1"/>
  <c r="R410" i="1"/>
  <c r="S410" i="1"/>
  <c r="T410" i="1"/>
  <c r="U410" i="1"/>
  <c r="V410" i="1"/>
  <c r="W410" i="1"/>
  <c r="X410" i="1"/>
  <c r="Y410" i="1"/>
  <c r="Z410" i="1"/>
  <c r="AA410" i="1"/>
  <c r="AB410" i="1"/>
  <c r="AC410" i="1"/>
  <c r="AD410" i="1"/>
  <c r="AK410" i="1"/>
  <c r="AL410" i="1"/>
  <c r="AM478" i="1"/>
  <c r="AM410" i="1" s="1"/>
  <c r="AN478" i="1"/>
  <c r="AN410" i="1"/>
  <c r="AO478" i="1"/>
  <c r="AO410" i="1" s="1"/>
  <c r="AP478" i="1"/>
  <c r="AP410" i="1" s="1"/>
  <c r="AQ478" i="1"/>
  <c r="AQ410" i="1" s="1"/>
  <c r="H411" i="1"/>
  <c r="I411" i="1"/>
  <c r="J411" i="1"/>
  <c r="K411" i="1"/>
  <c r="L411" i="1"/>
  <c r="M411" i="1"/>
  <c r="N411" i="1"/>
  <c r="O411" i="1"/>
  <c r="P411" i="1"/>
  <c r="Q411" i="1"/>
  <c r="R411" i="1"/>
  <c r="S411" i="1"/>
  <c r="T411" i="1"/>
  <c r="U411" i="1"/>
  <c r="V411" i="1"/>
  <c r="W411" i="1"/>
  <c r="X411" i="1"/>
  <c r="Y411" i="1"/>
  <c r="Z411" i="1"/>
  <c r="AA411" i="1"/>
  <c r="AB411" i="1"/>
  <c r="AC411" i="1"/>
  <c r="AD411" i="1"/>
  <c r="AK411" i="1"/>
  <c r="AL411" i="1"/>
  <c r="AM479" i="1"/>
  <c r="AM411" i="1" s="1"/>
  <c r="AN479" i="1"/>
  <c r="AN411" i="1" s="1"/>
  <c r="AO479" i="1"/>
  <c r="AO411" i="1"/>
  <c r="AP479" i="1"/>
  <c r="AP411" i="1"/>
  <c r="AQ479" i="1"/>
  <c r="AQ411" i="1" s="1"/>
  <c r="H412" i="1"/>
  <c r="I412" i="1"/>
  <c r="J412" i="1"/>
  <c r="K412" i="1"/>
  <c r="L412" i="1"/>
  <c r="M412" i="1"/>
  <c r="N412" i="1"/>
  <c r="O412" i="1"/>
  <c r="P412" i="1"/>
  <c r="Q412" i="1"/>
  <c r="R412" i="1"/>
  <c r="S412" i="1"/>
  <c r="T412" i="1"/>
  <c r="U412" i="1"/>
  <c r="V412" i="1"/>
  <c r="W412" i="1"/>
  <c r="X412" i="1"/>
  <c r="Y412" i="1"/>
  <c r="Z412" i="1"/>
  <c r="AA412" i="1"/>
  <c r="AB412" i="1"/>
  <c r="AC412" i="1"/>
  <c r="AD412" i="1"/>
  <c r="AK412" i="1"/>
  <c r="AL412" i="1"/>
  <c r="AM480" i="1"/>
  <c r="AM412" i="1" s="1"/>
  <c r="AN480" i="1"/>
  <c r="AN412" i="1"/>
  <c r="AO480" i="1"/>
  <c r="AO412" i="1"/>
  <c r="AP480" i="1"/>
  <c r="AP412" i="1" s="1"/>
  <c r="AQ480" i="1"/>
  <c r="AQ412" i="1" s="1"/>
  <c r="H413" i="1"/>
  <c r="I413" i="1"/>
  <c r="J413" i="1"/>
  <c r="K413" i="1"/>
  <c r="L413" i="1"/>
  <c r="M413" i="1"/>
  <c r="N413" i="1"/>
  <c r="O413" i="1"/>
  <c r="P413" i="1"/>
  <c r="Q413" i="1"/>
  <c r="R413" i="1"/>
  <c r="S413" i="1"/>
  <c r="T413" i="1"/>
  <c r="U413" i="1"/>
  <c r="V413" i="1"/>
  <c r="W413" i="1"/>
  <c r="X413" i="1"/>
  <c r="Y413" i="1"/>
  <c r="Z413" i="1"/>
  <c r="AA413" i="1"/>
  <c r="AB413" i="1"/>
  <c r="AC413" i="1"/>
  <c r="AD413" i="1"/>
  <c r="AK413" i="1"/>
  <c r="AL413" i="1"/>
  <c r="AM481" i="1"/>
  <c r="AM413" i="1"/>
  <c r="AN481" i="1"/>
  <c r="AN413" i="1"/>
  <c r="AO481" i="1"/>
  <c r="AO413" i="1" s="1"/>
  <c r="AP481" i="1"/>
  <c r="AP413" i="1"/>
  <c r="AQ481" i="1"/>
  <c r="AQ413" i="1" s="1"/>
  <c r="H414" i="1"/>
  <c r="I414" i="1"/>
  <c r="J414" i="1"/>
  <c r="K414" i="1"/>
  <c r="L414" i="1"/>
  <c r="M414" i="1"/>
  <c r="N414" i="1"/>
  <c r="O414" i="1"/>
  <c r="P414" i="1"/>
  <c r="Q414" i="1"/>
  <c r="R414" i="1"/>
  <c r="S414" i="1"/>
  <c r="T414" i="1"/>
  <c r="U414" i="1"/>
  <c r="V414" i="1"/>
  <c r="W414" i="1"/>
  <c r="X414" i="1"/>
  <c r="Y414" i="1"/>
  <c r="Z414" i="1"/>
  <c r="AA414" i="1"/>
  <c r="AB414" i="1"/>
  <c r="AC414" i="1"/>
  <c r="AD414" i="1"/>
  <c r="AK414" i="1"/>
  <c r="AL414" i="1"/>
  <c r="AM482" i="1"/>
  <c r="AM414" i="1" s="1"/>
  <c r="AN482" i="1"/>
  <c r="AN414" i="1" s="1"/>
  <c r="AO482" i="1"/>
  <c r="AO414" i="1" s="1"/>
  <c r="AP482" i="1"/>
  <c r="AP414" i="1"/>
  <c r="AQ482" i="1"/>
  <c r="AQ414" i="1" s="1"/>
  <c r="H415" i="1"/>
  <c r="I415" i="1"/>
  <c r="J415" i="1"/>
  <c r="K415" i="1"/>
  <c r="L415" i="1"/>
  <c r="M415" i="1"/>
  <c r="N415" i="1"/>
  <c r="O415" i="1"/>
  <c r="P415" i="1"/>
  <c r="Q415" i="1"/>
  <c r="R415" i="1"/>
  <c r="S415" i="1"/>
  <c r="T415" i="1"/>
  <c r="U415" i="1"/>
  <c r="V415" i="1"/>
  <c r="W415" i="1"/>
  <c r="X415" i="1"/>
  <c r="Y415" i="1"/>
  <c r="Z415" i="1"/>
  <c r="AA415" i="1"/>
  <c r="AB415" i="1"/>
  <c r="AC415" i="1"/>
  <c r="AD415" i="1"/>
  <c r="AK415" i="1"/>
  <c r="AL415" i="1"/>
  <c r="AM483" i="1"/>
  <c r="AM415" i="1"/>
  <c r="AN483" i="1"/>
  <c r="AN415" i="1" s="1"/>
  <c r="AO483" i="1"/>
  <c r="AO415" i="1"/>
  <c r="AP483" i="1"/>
  <c r="AP415" i="1" s="1"/>
  <c r="AQ483" i="1"/>
  <c r="AQ415" i="1"/>
  <c r="H417" i="1"/>
  <c r="I417" i="1"/>
  <c r="J417" i="1"/>
  <c r="K417" i="1"/>
  <c r="L417" i="1"/>
  <c r="M417" i="1"/>
  <c r="N417" i="1"/>
  <c r="O417" i="1"/>
  <c r="P417" i="1"/>
  <c r="Q417" i="1"/>
  <c r="R417" i="1"/>
  <c r="S417" i="1"/>
  <c r="T417" i="1"/>
  <c r="U417" i="1"/>
  <c r="V417" i="1"/>
  <c r="W417" i="1"/>
  <c r="X417" i="1"/>
  <c r="Y417" i="1"/>
  <c r="Z417" i="1"/>
  <c r="AA417" i="1"/>
  <c r="AB417" i="1"/>
  <c r="AC417" i="1"/>
  <c r="AD417" i="1"/>
  <c r="AK417" i="1"/>
  <c r="AL417" i="1"/>
  <c r="AM417" i="1"/>
  <c r="AN417" i="1"/>
  <c r="AO417" i="1"/>
  <c r="AP417" i="1"/>
  <c r="AQ417" i="1"/>
  <c r="H427" i="1"/>
  <c r="I427" i="1"/>
  <c r="J427" i="1"/>
  <c r="K427" i="1"/>
  <c r="L427" i="1"/>
  <c r="M427" i="1"/>
  <c r="N427" i="1"/>
  <c r="O427" i="1"/>
  <c r="P427" i="1"/>
  <c r="Q427" i="1"/>
  <c r="R427" i="1"/>
  <c r="S427" i="1"/>
  <c r="T427" i="1"/>
  <c r="U427" i="1"/>
  <c r="V427" i="1"/>
  <c r="W427" i="1"/>
  <c r="X427" i="1"/>
  <c r="Y427" i="1"/>
  <c r="Z427" i="1"/>
  <c r="AA427" i="1"/>
  <c r="AB427" i="1"/>
  <c r="AC427" i="1"/>
  <c r="AD427" i="1"/>
  <c r="AL427" i="1"/>
  <c r="AM495" i="1"/>
  <c r="AM427" i="1"/>
  <c r="AN495" i="1"/>
  <c r="AN427" i="1" s="1"/>
  <c r="AO495" i="1"/>
  <c r="AO427" i="1" s="1"/>
  <c r="AP495" i="1"/>
  <c r="AP427" i="1"/>
  <c r="AQ495" i="1"/>
  <c r="AQ427" i="1"/>
  <c r="AK432" i="1"/>
  <c r="AP500" i="1"/>
  <c r="AP432" i="1" s="1"/>
  <c r="AQ500" i="1"/>
  <c r="AQ432" i="1"/>
  <c r="H434" i="1"/>
  <c r="I434" i="1"/>
  <c r="J434" i="1"/>
  <c r="K434" i="1"/>
  <c r="L434" i="1"/>
  <c r="M434" i="1"/>
  <c r="N434" i="1"/>
  <c r="O434" i="1"/>
  <c r="P434" i="1"/>
  <c r="Q434" i="1"/>
  <c r="R434" i="1"/>
  <c r="S434" i="1"/>
  <c r="T434" i="1"/>
  <c r="U434" i="1"/>
  <c r="V434" i="1"/>
  <c r="W434" i="1"/>
  <c r="X434" i="1"/>
  <c r="Y434" i="1"/>
  <c r="Z434" i="1"/>
  <c r="AA434" i="1"/>
  <c r="AB434" i="1"/>
  <c r="AC434" i="1"/>
  <c r="AD434" i="1"/>
  <c r="AK434" i="1"/>
  <c r="AL434" i="1"/>
  <c r="AM502" i="1"/>
  <c r="AM434" i="1"/>
  <c r="AN502" i="1"/>
  <c r="AN434" i="1" s="1"/>
  <c r="AO502" i="1"/>
  <c r="AO434" i="1" s="1"/>
  <c r="AP502" i="1"/>
  <c r="AP434" i="1" s="1"/>
  <c r="AQ502" i="1"/>
  <c r="AQ434" i="1"/>
  <c r="H435" i="1"/>
  <c r="I435" i="1"/>
  <c r="J435" i="1"/>
  <c r="K435" i="1"/>
  <c r="L435" i="1"/>
  <c r="M435" i="1"/>
  <c r="N435" i="1"/>
  <c r="O435" i="1"/>
  <c r="P435" i="1"/>
  <c r="Q435" i="1"/>
  <c r="R435" i="1"/>
  <c r="S435" i="1"/>
  <c r="T435" i="1"/>
  <c r="U435" i="1"/>
  <c r="V435" i="1"/>
  <c r="W435" i="1"/>
  <c r="X435" i="1"/>
  <c r="Y435" i="1"/>
  <c r="Z435" i="1"/>
  <c r="AA435" i="1"/>
  <c r="AB435" i="1"/>
  <c r="AC435" i="1"/>
  <c r="AD435" i="1"/>
  <c r="AK435" i="1"/>
  <c r="AL435" i="1"/>
  <c r="AM503" i="1"/>
  <c r="AM435" i="1" s="1"/>
  <c r="AN503" i="1"/>
  <c r="AN435" i="1"/>
  <c r="AO503" i="1"/>
  <c r="AO435" i="1"/>
  <c r="AP503" i="1"/>
  <c r="AP435" i="1" s="1"/>
  <c r="AQ503" i="1"/>
  <c r="AQ435" i="1" s="1"/>
  <c r="AK437" i="1"/>
  <c r="AP505" i="1"/>
  <c r="AP437" i="1"/>
  <c r="AQ505" i="1"/>
  <c r="AQ437" i="1"/>
  <c r="D440" i="1"/>
  <c r="E440" i="1"/>
  <c r="F440" i="1"/>
  <c r="G440" i="1"/>
  <c r="H508" i="1"/>
  <c r="H440" i="1" s="1"/>
  <c r="I508" i="1"/>
  <c r="J508" i="1"/>
  <c r="J440" i="1"/>
  <c r="K508" i="1"/>
  <c r="AM508" i="1" s="1"/>
  <c r="AM440" i="1" s="1"/>
  <c r="L508" i="1"/>
  <c r="L532" i="1" s="1"/>
  <c r="L464" i="1" s="1"/>
  <c r="L440" i="1"/>
  <c r="M508" i="1"/>
  <c r="M440" i="1"/>
  <c r="N508" i="1"/>
  <c r="N440" i="1" s="1"/>
  <c r="O508" i="1"/>
  <c r="O440" i="1" s="1"/>
  <c r="P508" i="1"/>
  <c r="P440" i="1" s="1"/>
  <c r="Q508" i="1"/>
  <c r="R508" i="1"/>
  <c r="R440" i="1"/>
  <c r="S508" i="1"/>
  <c r="S440" i="1" s="1"/>
  <c r="T508" i="1"/>
  <c r="T532" i="1" s="1"/>
  <c r="T464" i="1" s="1"/>
  <c r="T440" i="1"/>
  <c r="U508" i="1"/>
  <c r="U440" i="1"/>
  <c r="V508" i="1"/>
  <c r="V440" i="1" s="1"/>
  <c r="W508" i="1"/>
  <c r="W440" i="1" s="1"/>
  <c r="X508" i="1"/>
  <c r="X440" i="1" s="1"/>
  <c r="Y508" i="1"/>
  <c r="Z508" i="1"/>
  <c r="Z440" i="1"/>
  <c r="AA508" i="1"/>
  <c r="AA440" i="1" s="1"/>
  <c r="AB508" i="1"/>
  <c r="AB532" i="1" s="1"/>
  <c r="AB464" i="1" s="1"/>
  <c r="AB440" i="1"/>
  <c r="AC508" i="1"/>
  <c r="AC440" i="1"/>
  <c r="AD508" i="1"/>
  <c r="AD440" i="1" s="1"/>
  <c r="AK508" i="1"/>
  <c r="AK440" i="1" s="1"/>
  <c r="AL508" i="1"/>
  <c r="AL440" i="1" s="1"/>
  <c r="AO508" i="1"/>
  <c r="AO440" i="1" s="1"/>
  <c r="AP508" i="1"/>
  <c r="AP440" i="1"/>
  <c r="AQ508" i="1"/>
  <c r="AQ440" i="1"/>
  <c r="H443" i="1"/>
  <c r="I443" i="1"/>
  <c r="J443" i="1"/>
  <c r="K443" i="1"/>
  <c r="L443" i="1"/>
  <c r="M443" i="1"/>
  <c r="N443" i="1"/>
  <c r="O443" i="1"/>
  <c r="P443" i="1"/>
  <c r="Q443" i="1"/>
  <c r="R443" i="1"/>
  <c r="S443" i="1"/>
  <c r="T443" i="1"/>
  <c r="U443" i="1"/>
  <c r="V443" i="1"/>
  <c r="W443" i="1"/>
  <c r="X443" i="1"/>
  <c r="Y443" i="1"/>
  <c r="Z443" i="1"/>
  <c r="AA443" i="1"/>
  <c r="AB443" i="1"/>
  <c r="AC443" i="1"/>
  <c r="AD443" i="1"/>
  <c r="AK443" i="1"/>
  <c r="AL443" i="1"/>
  <c r="AM511" i="1"/>
  <c r="AM443" i="1" s="1"/>
  <c r="AN511" i="1"/>
  <c r="AN443" i="1"/>
  <c r="AO511" i="1"/>
  <c r="AO443" i="1" s="1"/>
  <c r="AP511" i="1"/>
  <c r="AP443" i="1" s="1"/>
  <c r="AQ511" i="1"/>
  <c r="AQ443" i="1" s="1"/>
  <c r="H444" i="1"/>
  <c r="I444" i="1"/>
  <c r="J444" i="1"/>
  <c r="K444" i="1"/>
  <c r="L444" i="1"/>
  <c r="M444" i="1"/>
  <c r="N444" i="1"/>
  <c r="O444" i="1"/>
  <c r="P444" i="1"/>
  <c r="Q444" i="1"/>
  <c r="R444" i="1"/>
  <c r="S444" i="1"/>
  <c r="T444" i="1"/>
  <c r="U444" i="1"/>
  <c r="V444" i="1"/>
  <c r="W444" i="1"/>
  <c r="X444" i="1"/>
  <c r="Y444" i="1"/>
  <c r="Z444" i="1"/>
  <c r="AA444" i="1"/>
  <c r="AB444" i="1"/>
  <c r="AC444" i="1"/>
  <c r="AD444" i="1"/>
  <c r="AK444" i="1"/>
  <c r="AL444" i="1"/>
  <c r="AM512" i="1"/>
  <c r="AM444" i="1"/>
  <c r="AN512" i="1"/>
  <c r="AN444" i="1"/>
  <c r="AO512" i="1"/>
  <c r="AO444" i="1" s="1"/>
  <c r="AP512" i="1"/>
  <c r="AP444" i="1" s="1"/>
  <c r="AQ512" i="1"/>
  <c r="AQ444" i="1" s="1"/>
  <c r="AK445" i="1"/>
  <c r="AP513" i="1"/>
  <c r="AP445" i="1" s="1"/>
  <c r="AQ513" i="1"/>
  <c r="AQ445" i="1" s="1"/>
  <c r="H446" i="1"/>
  <c r="I446" i="1"/>
  <c r="J446" i="1"/>
  <c r="K446" i="1"/>
  <c r="L446" i="1"/>
  <c r="M446" i="1"/>
  <c r="N446" i="1"/>
  <c r="O446" i="1"/>
  <c r="P446" i="1"/>
  <c r="Q446" i="1"/>
  <c r="R446" i="1"/>
  <c r="S446" i="1"/>
  <c r="T446" i="1"/>
  <c r="U446" i="1"/>
  <c r="V446" i="1"/>
  <c r="W446" i="1"/>
  <c r="X446" i="1"/>
  <c r="Y446" i="1"/>
  <c r="Z446" i="1"/>
  <c r="AA446" i="1"/>
  <c r="AB446" i="1"/>
  <c r="AC446" i="1"/>
  <c r="AD446" i="1"/>
  <c r="AK446" i="1"/>
  <c r="AL446" i="1"/>
  <c r="AM514" i="1"/>
  <c r="AM446" i="1" s="1"/>
  <c r="AN514" i="1"/>
  <c r="AN446" i="1"/>
  <c r="AO514" i="1"/>
  <c r="AO446" i="1"/>
  <c r="AP514" i="1"/>
  <c r="AP446" i="1" s="1"/>
  <c r="AQ514" i="1"/>
  <c r="AQ446" i="1"/>
  <c r="E447" i="1"/>
  <c r="E461" i="1" s="1"/>
  <c r="E464" i="1" s="1"/>
  <c r="H447" i="1"/>
  <c r="I447" i="1"/>
  <c r="J447" i="1"/>
  <c r="K447" i="1"/>
  <c r="L447" i="1"/>
  <c r="M447" i="1"/>
  <c r="N447" i="1"/>
  <c r="O447" i="1"/>
  <c r="P447" i="1"/>
  <c r="Q447" i="1"/>
  <c r="R447" i="1"/>
  <c r="S447" i="1"/>
  <c r="T447" i="1"/>
  <c r="U447" i="1"/>
  <c r="V447" i="1"/>
  <c r="W447" i="1"/>
  <c r="X447" i="1"/>
  <c r="Y447" i="1"/>
  <c r="Z447" i="1"/>
  <c r="AA447" i="1"/>
  <c r="AB447" i="1"/>
  <c r="AC447" i="1"/>
  <c r="AD447" i="1"/>
  <c r="AK447" i="1"/>
  <c r="AL447" i="1"/>
  <c r="AM515" i="1"/>
  <c r="AM447" i="1"/>
  <c r="AN515" i="1"/>
  <c r="AN447" i="1" s="1"/>
  <c r="AO515" i="1"/>
  <c r="AO447" i="1"/>
  <c r="AP515" i="1"/>
  <c r="AP447" i="1"/>
  <c r="AQ515" i="1"/>
  <c r="AQ447" i="1" s="1"/>
  <c r="AK448" i="1"/>
  <c r="AP516" i="1"/>
  <c r="AP448" i="1"/>
  <c r="AQ516" i="1"/>
  <c r="AQ448" i="1"/>
  <c r="AK449" i="1"/>
  <c r="AP517" i="1"/>
  <c r="AP449" i="1"/>
  <c r="AQ517" i="1"/>
  <c r="AQ449" i="1" s="1"/>
  <c r="AK450" i="1"/>
  <c r="AP518" i="1"/>
  <c r="AP450" i="1" s="1"/>
  <c r="AQ518" i="1"/>
  <c r="AQ450" i="1" s="1"/>
  <c r="H451" i="1"/>
  <c r="I451" i="1"/>
  <c r="J451" i="1"/>
  <c r="K451" i="1"/>
  <c r="L451" i="1"/>
  <c r="M451" i="1"/>
  <c r="N451" i="1"/>
  <c r="O451" i="1"/>
  <c r="P451" i="1"/>
  <c r="Q451" i="1"/>
  <c r="R451" i="1"/>
  <c r="S451" i="1"/>
  <c r="T451" i="1"/>
  <c r="U451" i="1"/>
  <c r="V451" i="1"/>
  <c r="W451" i="1"/>
  <c r="X451" i="1"/>
  <c r="Y451" i="1"/>
  <c r="Z451" i="1"/>
  <c r="AA451" i="1"/>
  <c r="AB451" i="1"/>
  <c r="AC451" i="1"/>
  <c r="AD451" i="1"/>
  <c r="AK451" i="1"/>
  <c r="AL451" i="1"/>
  <c r="AM519" i="1"/>
  <c r="AM451" i="1" s="1"/>
  <c r="AN519" i="1"/>
  <c r="AN451" i="1"/>
  <c r="AO519" i="1"/>
  <c r="AO451" i="1"/>
  <c r="AP519" i="1"/>
  <c r="AP451" i="1" s="1"/>
  <c r="AQ519" i="1"/>
  <c r="AQ451" i="1" s="1"/>
  <c r="H452" i="1"/>
  <c r="I452" i="1"/>
  <c r="J452" i="1"/>
  <c r="K452" i="1"/>
  <c r="L452" i="1"/>
  <c r="M452" i="1"/>
  <c r="N452" i="1"/>
  <c r="O452" i="1"/>
  <c r="P452" i="1"/>
  <c r="Q452" i="1"/>
  <c r="R452" i="1"/>
  <c r="S452" i="1"/>
  <c r="T452" i="1"/>
  <c r="U452" i="1"/>
  <c r="V452" i="1"/>
  <c r="W452" i="1"/>
  <c r="X452" i="1"/>
  <c r="Y452" i="1"/>
  <c r="Z452" i="1"/>
  <c r="AA452" i="1"/>
  <c r="AB452" i="1"/>
  <c r="AC452" i="1"/>
  <c r="AD452" i="1"/>
  <c r="AK452" i="1"/>
  <c r="AL452" i="1"/>
  <c r="AM520" i="1"/>
  <c r="AM452" i="1" s="1"/>
  <c r="AN520" i="1"/>
  <c r="AN452" i="1" s="1"/>
  <c r="AO520" i="1"/>
  <c r="AO452" i="1" s="1"/>
  <c r="AP520" i="1"/>
  <c r="AP452" i="1"/>
  <c r="AQ520" i="1"/>
  <c r="AQ452" i="1"/>
  <c r="H453" i="1"/>
  <c r="I453" i="1"/>
  <c r="J453" i="1"/>
  <c r="K453" i="1"/>
  <c r="L453" i="1"/>
  <c r="M453" i="1"/>
  <c r="N453" i="1"/>
  <c r="O453" i="1"/>
  <c r="P453" i="1"/>
  <c r="Q453" i="1"/>
  <c r="R453" i="1"/>
  <c r="S453" i="1"/>
  <c r="T453" i="1"/>
  <c r="U453" i="1"/>
  <c r="V453" i="1"/>
  <c r="W453" i="1"/>
  <c r="X453" i="1"/>
  <c r="Y453" i="1"/>
  <c r="Z453" i="1"/>
  <c r="AA453" i="1"/>
  <c r="AB453" i="1"/>
  <c r="AC453" i="1"/>
  <c r="AD453" i="1"/>
  <c r="AK453" i="1"/>
  <c r="AL453" i="1"/>
  <c r="AM521" i="1"/>
  <c r="AM453" i="1" s="1"/>
  <c r="AN521" i="1"/>
  <c r="AN453" i="1" s="1"/>
  <c r="AO521" i="1"/>
  <c r="AO453" i="1" s="1"/>
  <c r="AP521" i="1"/>
  <c r="AP453" i="1"/>
  <c r="AQ521" i="1"/>
  <c r="AQ453" i="1"/>
  <c r="AK454" i="1"/>
  <c r="H455" i="1"/>
  <c r="I455" i="1"/>
  <c r="J455" i="1"/>
  <c r="K455" i="1"/>
  <c r="L455" i="1"/>
  <c r="M455" i="1"/>
  <c r="N455" i="1"/>
  <c r="O455" i="1"/>
  <c r="P455" i="1"/>
  <c r="Q455" i="1"/>
  <c r="R455" i="1"/>
  <c r="S455" i="1"/>
  <c r="T455" i="1"/>
  <c r="U455" i="1"/>
  <c r="V455" i="1"/>
  <c r="W455" i="1"/>
  <c r="X455" i="1"/>
  <c r="Y455" i="1"/>
  <c r="Z455" i="1"/>
  <c r="AA455" i="1"/>
  <c r="AB455" i="1"/>
  <c r="AC455" i="1"/>
  <c r="AD455" i="1"/>
  <c r="AK455" i="1"/>
  <c r="AL455" i="1"/>
  <c r="AM523" i="1"/>
  <c r="AM455" i="1" s="1"/>
  <c r="AN523" i="1"/>
  <c r="AN455" i="1"/>
  <c r="AO523" i="1"/>
  <c r="AO455" i="1"/>
  <c r="AP523" i="1"/>
  <c r="AP455" i="1" s="1"/>
  <c r="AQ523" i="1"/>
  <c r="AQ455" i="1"/>
  <c r="H456" i="1"/>
  <c r="I456" i="1"/>
  <c r="J456" i="1"/>
  <c r="K456" i="1"/>
  <c r="L456" i="1"/>
  <c r="M456" i="1"/>
  <c r="N456" i="1"/>
  <c r="O456" i="1"/>
  <c r="P456" i="1"/>
  <c r="Q456" i="1"/>
  <c r="R456" i="1"/>
  <c r="S456" i="1"/>
  <c r="T456" i="1"/>
  <c r="U456" i="1"/>
  <c r="V456" i="1"/>
  <c r="W456" i="1"/>
  <c r="X456" i="1"/>
  <c r="Y456" i="1"/>
  <c r="Z456" i="1"/>
  <c r="AA456" i="1"/>
  <c r="AB456" i="1"/>
  <c r="AC456" i="1"/>
  <c r="AD456" i="1"/>
  <c r="AK456" i="1"/>
  <c r="AL456" i="1"/>
  <c r="AM524" i="1"/>
  <c r="AM456" i="1"/>
  <c r="AN524" i="1"/>
  <c r="AN456" i="1" s="1"/>
  <c r="AO524" i="1"/>
  <c r="AO456" i="1"/>
  <c r="AP524" i="1"/>
  <c r="AP456" i="1" s="1"/>
  <c r="AQ524" i="1"/>
  <c r="AQ456" i="1" s="1"/>
  <c r="H457" i="1"/>
  <c r="I457" i="1"/>
  <c r="J457" i="1"/>
  <c r="K457" i="1"/>
  <c r="L457" i="1"/>
  <c r="M457" i="1"/>
  <c r="N457" i="1"/>
  <c r="O457" i="1"/>
  <c r="P457" i="1"/>
  <c r="Q457" i="1"/>
  <c r="R457" i="1"/>
  <c r="S457" i="1"/>
  <c r="T457" i="1"/>
  <c r="U457" i="1"/>
  <c r="V457" i="1"/>
  <c r="W457" i="1"/>
  <c r="X457" i="1"/>
  <c r="Y457" i="1"/>
  <c r="Z457" i="1"/>
  <c r="AA457" i="1"/>
  <c r="AB457" i="1"/>
  <c r="AC457" i="1"/>
  <c r="AD457" i="1"/>
  <c r="AK457" i="1"/>
  <c r="AL457" i="1"/>
  <c r="AM457" i="1"/>
  <c r="AN457" i="1"/>
  <c r="AO457" i="1"/>
  <c r="AP457" i="1"/>
  <c r="AQ457" i="1"/>
  <c r="H458" i="1"/>
  <c r="I458" i="1"/>
  <c r="J458" i="1"/>
  <c r="K458" i="1"/>
  <c r="L458" i="1"/>
  <c r="M458" i="1"/>
  <c r="N458" i="1"/>
  <c r="O458" i="1"/>
  <c r="P458" i="1"/>
  <c r="Q458" i="1"/>
  <c r="R458" i="1"/>
  <c r="S458" i="1"/>
  <c r="T458" i="1"/>
  <c r="U458" i="1"/>
  <c r="V458" i="1"/>
  <c r="W458" i="1"/>
  <c r="X458" i="1"/>
  <c r="Y458" i="1"/>
  <c r="Z458" i="1"/>
  <c r="AA458" i="1"/>
  <c r="AB458" i="1"/>
  <c r="AC458" i="1"/>
  <c r="AD458" i="1"/>
  <c r="AL458" i="1"/>
  <c r="AM526" i="1"/>
  <c r="AM458" i="1"/>
  <c r="AN526" i="1"/>
  <c r="AN458" i="1" s="1"/>
  <c r="AO526" i="1"/>
  <c r="AO458" i="1"/>
  <c r="AP526" i="1"/>
  <c r="AP458" i="1" s="1"/>
  <c r="AQ526" i="1"/>
  <c r="AQ458" i="1" s="1"/>
  <c r="H459" i="1"/>
  <c r="I459" i="1"/>
  <c r="J459" i="1"/>
  <c r="K459" i="1"/>
  <c r="L459" i="1"/>
  <c r="M459" i="1"/>
  <c r="N459" i="1"/>
  <c r="O459" i="1"/>
  <c r="P459" i="1"/>
  <c r="Q459" i="1"/>
  <c r="R459" i="1"/>
  <c r="S459" i="1"/>
  <c r="T459" i="1"/>
  <c r="U459" i="1"/>
  <c r="V459" i="1"/>
  <c r="W459" i="1"/>
  <c r="X459" i="1"/>
  <c r="Y459" i="1"/>
  <c r="Z459" i="1"/>
  <c r="AA459" i="1"/>
  <c r="AB459" i="1"/>
  <c r="AC459" i="1"/>
  <c r="AD459" i="1"/>
  <c r="AL459" i="1"/>
  <c r="AM527" i="1"/>
  <c r="AM459" i="1" s="1"/>
  <c r="AN527" i="1"/>
  <c r="AN459" i="1"/>
  <c r="AO527" i="1"/>
  <c r="AO459" i="1" s="1"/>
  <c r="AP527" i="1"/>
  <c r="AP459" i="1" s="1"/>
  <c r="AQ527" i="1"/>
  <c r="AQ459" i="1" s="1"/>
  <c r="H460" i="1"/>
  <c r="I460" i="1"/>
  <c r="J460" i="1"/>
  <c r="K460" i="1"/>
  <c r="L460" i="1"/>
  <c r="M460" i="1"/>
  <c r="N460" i="1"/>
  <c r="O460" i="1"/>
  <c r="P460" i="1"/>
  <c r="Q460" i="1"/>
  <c r="R460" i="1"/>
  <c r="S460" i="1"/>
  <c r="T460" i="1"/>
  <c r="U460" i="1"/>
  <c r="V460" i="1"/>
  <c r="W460" i="1"/>
  <c r="X460" i="1"/>
  <c r="Y460" i="1"/>
  <c r="Z460" i="1"/>
  <c r="AA460" i="1"/>
  <c r="AB460" i="1"/>
  <c r="AC460" i="1"/>
  <c r="AD460" i="1"/>
  <c r="AK460" i="1"/>
  <c r="AL460" i="1"/>
  <c r="AM528" i="1"/>
  <c r="AM460" i="1"/>
  <c r="AN528" i="1"/>
  <c r="AN460" i="1"/>
  <c r="AO528" i="1"/>
  <c r="AO460" i="1" s="1"/>
  <c r="AP528" i="1"/>
  <c r="AP460" i="1" s="1"/>
  <c r="AQ528" i="1"/>
  <c r="AQ460" i="1" s="1"/>
  <c r="D461" i="1"/>
  <c r="F461" i="1"/>
  <c r="G461" i="1"/>
  <c r="H529" i="1"/>
  <c r="H461" i="1" s="1"/>
  <c r="I529" i="1"/>
  <c r="I461" i="1"/>
  <c r="J529" i="1"/>
  <c r="J532" i="1" s="1"/>
  <c r="J464" i="1" s="1"/>
  <c r="J461" i="1"/>
  <c r="K529" i="1"/>
  <c r="K461" i="1" s="1"/>
  <c r="L529" i="1"/>
  <c r="L461" i="1" s="1"/>
  <c r="M529" i="1"/>
  <c r="M461" i="1" s="1"/>
  <c r="N529" i="1"/>
  <c r="O529" i="1"/>
  <c r="O461" i="1"/>
  <c r="P529" i="1"/>
  <c r="P461" i="1" s="1"/>
  <c r="Q529" i="1"/>
  <c r="Q461" i="1"/>
  <c r="R529" i="1"/>
  <c r="R532" i="1" s="1"/>
  <c r="R464" i="1" s="1"/>
  <c r="R461" i="1"/>
  <c r="S529" i="1"/>
  <c r="S461" i="1" s="1"/>
  <c r="T529" i="1"/>
  <c r="T461" i="1" s="1"/>
  <c r="U529" i="1"/>
  <c r="U461" i="1" s="1"/>
  <c r="V529" i="1"/>
  <c r="W529" i="1"/>
  <c r="AP529" i="1" s="1"/>
  <c r="AP461" i="1" s="1"/>
  <c r="W461" i="1"/>
  <c r="X529" i="1"/>
  <c r="X461" i="1" s="1"/>
  <c r="Y529" i="1"/>
  <c r="Y461" i="1"/>
  <c r="Z529" i="1"/>
  <c r="Z532" i="1" s="1"/>
  <c r="Z464" i="1" s="1"/>
  <c r="Z461" i="1"/>
  <c r="AA529" i="1"/>
  <c r="AA461" i="1" s="1"/>
  <c r="AB529" i="1"/>
  <c r="AB461" i="1" s="1"/>
  <c r="AC529" i="1"/>
  <c r="AC461" i="1" s="1"/>
  <c r="AD529" i="1"/>
  <c r="AK529" i="1"/>
  <c r="AK461" i="1"/>
  <c r="AL529" i="1"/>
  <c r="AL461" i="1" s="1"/>
  <c r="AM529" i="1"/>
  <c r="AM461" i="1"/>
  <c r="AN529" i="1"/>
  <c r="AN461" i="1"/>
  <c r="AO529" i="1"/>
  <c r="AO461" i="1" s="1"/>
  <c r="AQ529" i="1"/>
  <c r="AQ461" i="1" s="1"/>
  <c r="H463" i="1"/>
  <c r="I463" i="1"/>
  <c r="J463" i="1"/>
  <c r="K463" i="1"/>
  <c r="L463" i="1"/>
  <c r="M463" i="1"/>
  <c r="N463" i="1"/>
  <c r="O463" i="1"/>
  <c r="P463" i="1"/>
  <c r="Q463" i="1"/>
  <c r="R463" i="1"/>
  <c r="S463" i="1"/>
  <c r="T463" i="1"/>
  <c r="U463" i="1"/>
  <c r="V463" i="1"/>
  <c r="W463" i="1"/>
  <c r="X463" i="1"/>
  <c r="Y463" i="1"/>
  <c r="Z463" i="1"/>
  <c r="AA463" i="1"/>
  <c r="AB463" i="1"/>
  <c r="AC463" i="1"/>
  <c r="AD463" i="1"/>
  <c r="AK463" i="1"/>
  <c r="AL463" i="1"/>
  <c r="AM531" i="1"/>
  <c r="AM463" i="1" s="1"/>
  <c r="AN531" i="1"/>
  <c r="AN463" i="1" s="1"/>
  <c r="AO531" i="1"/>
  <c r="AO463" i="1"/>
  <c r="AP531" i="1"/>
  <c r="AP463" i="1"/>
  <c r="AQ531" i="1"/>
  <c r="AQ463" i="1"/>
  <c r="D464" i="1"/>
  <c r="F464" i="1"/>
  <c r="G464" i="1"/>
  <c r="H532" i="1"/>
  <c r="H464" i="1" s="1"/>
  <c r="I532" i="1"/>
  <c r="I464" i="1" s="1"/>
  <c r="N532" i="1"/>
  <c r="O532" i="1"/>
  <c r="O464" i="1"/>
  <c r="P532" i="1"/>
  <c r="P464" i="1" s="1"/>
  <c r="Q532" i="1"/>
  <c r="Q464" i="1" s="1"/>
  <c r="V532" i="1"/>
  <c r="W532" i="1"/>
  <c r="AP532" i="1" s="1"/>
  <c r="AP464" i="1" s="1"/>
  <c r="W464" i="1"/>
  <c r="X532" i="1"/>
  <c r="X464" i="1" s="1"/>
  <c r="Y532" i="1"/>
  <c r="Y464" i="1" s="1"/>
  <c r="AD532" i="1"/>
  <c r="AK532" i="1"/>
  <c r="AK464" i="1"/>
  <c r="AL532" i="1"/>
  <c r="AL464" i="1" s="1"/>
  <c r="AN532" i="1"/>
  <c r="AN464" i="1" s="1"/>
  <c r="L545" i="1"/>
  <c r="L561" i="1" s="1"/>
  <c r="M545" i="1"/>
  <c r="N545" i="1"/>
  <c r="O545" i="1"/>
  <c r="O561" i="1" s="1"/>
  <c r="P545" i="1"/>
  <c r="Q545" i="1"/>
  <c r="Q561" i="1" s="1"/>
  <c r="R545" i="1"/>
  <c r="R561" i="1" s="1"/>
  <c r="S545" i="1"/>
  <c r="S561" i="1" s="1"/>
  <c r="T545" i="1"/>
  <c r="T561" i="1" s="1"/>
  <c r="U545" i="1"/>
  <c r="V545" i="1"/>
  <c r="W545" i="1"/>
  <c r="W561" i="1" s="1"/>
  <c r="X545" i="1"/>
  <c r="Y545" i="1"/>
  <c r="Z545" i="1"/>
  <c r="AA545" i="1"/>
  <c r="AB545" i="1"/>
  <c r="AB561" i="1" s="1"/>
  <c r="AC545" i="1"/>
  <c r="AD545" i="1"/>
  <c r="AL545" i="1"/>
  <c r="AL561" i="1" s="1"/>
  <c r="AM545" i="1"/>
  <c r="AN545" i="1"/>
  <c r="AN561" i="1" s="1"/>
  <c r="AO545" i="1"/>
  <c r="AO561" i="1" s="1"/>
  <c r="AP545" i="1"/>
  <c r="AP561" i="1" s="1"/>
  <c r="AQ545" i="1"/>
  <c r="AQ561" i="1" s="1"/>
  <c r="L559" i="1"/>
  <c r="M559" i="1"/>
  <c r="N559" i="1"/>
  <c r="O559" i="1"/>
  <c r="P559" i="1"/>
  <c r="Q559" i="1"/>
  <c r="R559" i="1"/>
  <c r="S559" i="1"/>
  <c r="T559" i="1"/>
  <c r="U559" i="1"/>
  <c r="V559" i="1"/>
  <c r="V561" i="1" s="1"/>
  <c r="W559" i="1"/>
  <c r="X559" i="1"/>
  <c r="X561" i="1" s="1"/>
  <c r="Y559" i="1"/>
  <c r="Y561" i="1" s="1"/>
  <c r="Z559" i="1"/>
  <c r="AA559" i="1"/>
  <c r="AB559" i="1"/>
  <c r="AC559" i="1"/>
  <c r="AD559" i="1"/>
  <c r="AL559" i="1"/>
  <c r="AM559" i="1"/>
  <c r="AN559" i="1"/>
  <c r="AO559" i="1"/>
  <c r="AP559" i="1"/>
  <c r="AQ559" i="1"/>
  <c r="M561" i="1"/>
  <c r="N561" i="1"/>
  <c r="P561" i="1"/>
  <c r="U561" i="1"/>
  <c r="Z561" i="1"/>
  <c r="AA561" i="1"/>
  <c r="AC561" i="1"/>
  <c r="AD561" i="1"/>
  <c r="AM561" i="1"/>
  <c r="L572" i="1"/>
  <c r="L581" i="1" s="1"/>
  <c r="M572" i="1"/>
  <c r="N572" i="1"/>
  <c r="O572" i="1"/>
  <c r="P572" i="1"/>
  <c r="Q572" i="1"/>
  <c r="Q581" i="1" s="1"/>
  <c r="R572" i="1"/>
  <c r="S572" i="1"/>
  <c r="T572" i="1"/>
  <c r="T581" i="1" s="1"/>
  <c r="T596" i="1" s="1"/>
  <c r="U572" i="1"/>
  <c r="V572" i="1"/>
  <c r="V581" i="1" s="1"/>
  <c r="W572" i="1"/>
  <c r="W581" i="1" s="1"/>
  <c r="X572" i="1"/>
  <c r="X581" i="1" s="1"/>
  <c r="X596" i="1" s="1"/>
  <c r="Y572" i="1"/>
  <c r="Y581" i="1" s="1"/>
  <c r="Z572" i="1"/>
  <c r="AA572" i="1"/>
  <c r="AB572" i="1"/>
  <c r="AB581" i="1" s="1"/>
  <c r="AC572" i="1"/>
  <c r="AD572" i="1"/>
  <c r="AL572" i="1"/>
  <c r="AM572" i="1"/>
  <c r="AN572" i="1"/>
  <c r="AN581" i="1" s="1"/>
  <c r="AO572" i="1"/>
  <c r="AP572" i="1"/>
  <c r="AQ572" i="1"/>
  <c r="AQ581" i="1" s="1"/>
  <c r="AQ596" i="1" s="1"/>
  <c r="L579" i="1"/>
  <c r="M579" i="1"/>
  <c r="M581" i="1" s="1"/>
  <c r="N579" i="1"/>
  <c r="N581" i="1" s="1"/>
  <c r="O579" i="1"/>
  <c r="P579" i="1"/>
  <c r="Q579" i="1"/>
  <c r="R579" i="1"/>
  <c r="S579" i="1"/>
  <c r="T579" i="1"/>
  <c r="U579" i="1"/>
  <c r="V579" i="1"/>
  <c r="W579" i="1"/>
  <c r="X579" i="1"/>
  <c r="Y579" i="1"/>
  <c r="Z579" i="1"/>
  <c r="AA579" i="1"/>
  <c r="AA581" i="1" s="1"/>
  <c r="AB579" i="1"/>
  <c r="AC579" i="1"/>
  <c r="AC581" i="1" s="1"/>
  <c r="AD579" i="1"/>
  <c r="AD581" i="1" s="1"/>
  <c r="AL579" i="1"/>
  <c r="AM579" i="1"/>
  <c r="AN579" i="1"/>
  <c r="AO579" i="1"/>
  <c r="AP579" i="1"/>
  <c r="AQ579" i="1"/>
  <c r="O581" i="1"/>
  <c r="O596" i="1" s="1"/>
  <c r="P581" i="1"/>
  <c r="R581" i="1"/>
  <c r="S581" i="1"/>
  <c r="U581" i="1"/>
  <c r="Z581" i="1"/>
  <c r="AL581" i="1"/>
  <c r="AL596" i="1" s="1"/>
  <c r="AM581" i="1"/>
  <c r="AO581" i="1"/>
  <c r="AP581" i="1"/>
  <c r="L592" i="1"/>
  <c r="L594" i="1" s="1"/>
  <c r="M592" i="1"/>
  <c r="N592" i="1"/>
  <c r="O592" i="1"/>
  <c r="P592" i="1"/>
  <c r="Q592" i="1"/>
  <c r="R592" i="1"/>
  <c r="S592" i="1"/>
  <c r="T592" i="1"/>
  <c r="U592" i="1"/>
  <c r="U594" i="1" s="1"/>
  <c r="U596" i="1" s="1"/>
  <c r="V592" i="1"/>
  <c r="V594" i="1" s="1"/>
  <c r="V596" i="1" s="1"/>
  <c r="W592" i="1"/>
  <c r="W594" i="1" s="1"/>
  <c r="X592" i="1"/>
  <c r="Y592" i="1"/>
  <c r="Y594" i="1" s="1"/>
  <c r="Y596" i="1" s="1"/>
  <c r="Z592" i="1"/>
  <c r="Z594" i="1" s="1"/>
  <c r="Z596" i="1" s="1"/>
  <c r="AA592" i="1"/>
  <c r="AA594" i="1" s="1"/>
  <c r="AB592" i="1"/>
  <c r="AB594" i="1" s="1"/>
  <c r="AC592" i="1"/>
  <c r="AD592" i="1"/>
  <c r="AL592" i="1"/>
  <c r="AM592" i="1"/>
  <c r="AN592" i="1"/>
  <c r="AO592" i="1"/>
  <c r="AP592" i="1"/>
  <c r="AQ592" i="1"/>
  <c r="M594" i="1"/>
  <c r="M596" i="1" s="1"/>
  <c r="N594" i="1"/>
  <c r="N596" i="1" s="1"/>
  <c r="O594" i="1"/>
  <c r="P594" i="1"/>
  <c r="P596" i="1" s="1"/>
  <c r="Q594" i="1"/>
  <c r="R594" i="1"/>
  <c r="R596" i="1" s="1"/>
  <c r="S594" i="1"/>
  <c r="S596" i="1" s="1"/>
  <c r="T594" i="1"/>
  <c r="X594" i="1"/>
  <c r="AC594" i="1"/>
  <c r="AC596" i="1" s="1"/>
  <c r="AD594" i="1"/>
  <c r="AD596" i="1" s="1"/>
  <c r="AL594" i="1"/>
  <c r="AM594" i="1"/>
  <c r="AM596" i="1" s="1"/>
  <c r="AN594" i="1"/>
  <c r="AO594" i="1"/>
  <c r="AO596" i="1" s="1"/>
  <c r="AP594" i="1"/>
  <c r="AP596" i="1" s="1"/>
  <c r="AQ594" i="1"/>
  <c r="L609" i="1"/>
  <c r="M609" i="1"/>
  <c r="N609" i="1"/>
  <c r="O609" i="1"/>
  <c r="O611" i="1" s="1"/>
  <c r="P609" i="1"/>
  <c r="P622" i="1" s="1"/>
  <c r="Q609" i="1"/>
  <c r="Q622" i="1" s="1"/>
  <c r="R609" i="1"/>
  <c r="R611" i="1" s="1"/>
  <c r="S609" i="1"/>
  <c r="S622" i="1" s="1"/>
  <c r="T609" i="1"/>
  <c r="T611" i="1" s="1"/>
  <c r="U624" i="1" s="1"/>
  <c r="U623" i="1" s="1"/>
  <c r="U609" i="1"/>
  <c r="V609" i="1"/>
  <c r="V622" i="1" s="1"/>
  <c r="W609" i="1"/>
  <c r="X609" i="1"/>
  <c r="Y609" i="1"/>
  <c r="Z609" i="1"/>
  <c r="Z611" i="1" s="1"/>
  <c r="AA624" i="1" s="1"/>
  <c r="AA609" i="1"/>
  <c r="AA622" i="1" s="1"/>
  <c r="AB609" i="1"/>
  <c r="AC609" i="1"/>
  <c r="AD609" i="1"/>
  <c r="L611" i="1"/>
  <c r="M611" i="1"/>
  <c r="N611" i="1"/>
  <c r="S611" i="1"/>
  <c r="U611" i="1"/>
  <c r="W611" i="1"/>
  <c r="X611" i="1"/>
  <c r="Y611" i="1"/>
  <c r="AA611" i="1"/>
  <c r="AB611" i="1"/>
  <c r="AB624" i="1" s="1"/>
  <c r="AB623" i="1" s="1"/>
  <c r="AC611" i="1"/>
  <c r="AD611" i="1"/>
  <c r="R622" i="1"/>
  <c r="T622" i="1"/>
  <c r="U622" i="1"/>
  <c r="W622" i="1"/>
  <c r="X622" i="1"/>
  <c r="Y622" i="1"/>
  <c r="Z622" i="1"/>
  <c r="AB622" i="1"/>
  <c r="AC622" i="1"/>
  <c r="AD622" i="1"/>
  <c r="AE622" i="1"/>
  <c r="AF622" i="1"/>
  <c r="AG622" i="1"/>
  <c r="AH622" i="1"/>
  <c r="AI622" i="1"/>
  <c r="P639" i="1"/>
  <c r="Q639" i="1"/>
  <c r="R639" i="1"/>
  <c r="S639" i="1"/>
  <c r="T639" i="1"/>
  <c r="T624" i="1" s="1"/>
  <c r="T623" i="1" s="1"/>
  <c r="U639" i="1"/>
  <c r="V639" i="1"/>
  <c r="W639" i="1"/>
  <c r="X639" i="1"/>
  <c r="X624" i="1"/>
  <c r="X623" i="1" s="1"/>
  <c r="Y639" i="1"/>
  <c r="Y624" i="1" s="1"/>
  <c r="Y623" i="1" s="1"/>
  <c r="Z639" i="1"/>
  <c r="AA639" i="1"/>
  <c r="AB639" i="1"/>
  <c r="AC639" i="1"/>
  <c r="AD639" i="1"/>
  <c r="AD638" i="1" s="1"/>
  <c r="AD624" i="1"/>
  <c r="AD623" i="1" s="1"/>
  <c r="AE629" i="1"/>
  <c r="AE630" i="1"/>
  <c r="AE631" i="1"/>
  <c r="AE632" i="1"/>
  <c r="AE633" i="1"/>
  <c r="AE634" i="1"/>
  <c r="AE635" i="1"/>
  <c r="AE636" i="1"/>
  <c r="AE637" i="1"/>
  <c r="AE639" i="1" s="1"/>
  <c r="AE624" i="1" s="1"/>
  <c r="AE623" i="1" s="1"/>
  <c r="AF629" i="1"/>
  <c r="AF637" i="1" s="1"/>
  <c r="AF639" i="1" s="1"/>
  <c r="AF624" i="1" s="1"/>
  <c r="AF623" i="1" s="1"/>
  <c r="AF630" i="1"/>
  <c r="AF631" i="1"/>
  <c r="AF632" i="1"/>
  <c r="AF633" i="1"/>
  <c r="AF634" i="1"/>
  <c r="AF635" i="1"/>
  <c r="AF636" i="1"/>
  <c r="AG629" i="1"/>
  <c r="AG637" i="1" s="1"/>
  <c r="AG639" i="1" s="1"/>
  <c r="AG630" i="1"/>
  <c r="AG631" i="1"/>
  <c r="AG632" i="1"/>
  <c r="AG633" i="1"/>
  <c r="AG634" i="1"/>
  <c r="AG635" i="1"/>
  <c r="AG636" i="1"/>
  <c r="AH629" i="1"/>
  <c r="AH630" i="1"/>
  <c r="AH631" i="1"/>
  <c r="AH632" i="1"/>
  <c r="AH633" i="1"/>
  <c r="AH634" i="1"/>
  <c r="AH635" i="1"/>
  <c r="AH636" i="1"/>
  <c r="AH637" i="1"/>
  <c r="AH639" i="1" s="1"/>
  <c r="AI629" i="1"/>
  <c r="AI630" i="1"/>
  <c r="AI631" i="1"/>
  <c r="AI632" i="1"/>
  <c r="AI633" i="1"/>
  <c r="AI634" i="1"/>
  <c r="AI635" i="1"/>
  <c r="AI636" i="1"/>
  <c r="AI637" i="1"/>
  <c r="AI639" i="1" s="1"/>
  <c r="P629" i="1"/>
  <c r="P637" i="1" s="1"/>
  <c r="P638" i="1" s="1"/>
  <c r="Q629" i="1"/>
  <c r="Q637" i="1" s="1"/>
  <c r="Q638" i="1" s="1"/>
  <c r="R629" i="1"/>
  <c r="R637" i="1" s="1"/>
  <c r="R638" i="1" s="1"/>
  <c r="S629" i="1"/>
  <c r="T629" i="1"/>
  <c r="U629" i="1"/>
  <c r="V629" i="1"/>
  <c r="W629" i="1"/>
  <c r="X629" i="1"/>
  <c r="Y629" i="1"/>
  <c r="Z629" i="1"/>
  <c r="AA629" i="1"/>
  <c r="AB629" i="1"/>
  <c r="AB637" i="1" s="1"/>
  <c r="AB638" i="1" s="1"/>
  <c r="AC629" i="1"/>
  <c r="AD629" i="1"/>
  <c r="P630" i="1"/>
  <c r="Q630" i="1"/>
  <c r="R630" i="1"/>
  <c r="S630" i="1"/>
  <c r="S637" i="1" s="1"/>
  <c r="T630" i="1"/>
  <c r="U630" i="1"/>
  <c r="V630" i="1"/>
  <c r="W630" i="1"/>
  <c r="X630" i="1"/>
  <c r="Y630" i="1"/>
  <c r="Z630" i="1"/>
  <c r="AA630" i="1"/>
  <c r="AB630" i="1"/>
  <c r="AC630" i="1"/>
  <c r="AC637" i="1" s="1"/>
  <c r="AC638" i="1" s="1"/>
  <c r="AD630" i="1"/>
  <c r="AD637" i="1" s="1"/>
  <c r="P631" i="1"/>
  <c r="Q631" i="1"/>
  <c r="R631" i="1"/>
  <c r="S631" i="1"/>
  <c r="T631" i="1"/>
  <c r="T637" i="1" s="1"/>
  <c r="T638" i="1" s="1"/>
  <c r="U631" i="1"/>
  <c r="V631" i="1"/>
  <c r="W631" i="1"/>
  <c r="X631" i="1"/>
  <c r="Y631" i="1"/>
  <c r="Z631" i="1"/>
  <c r="AA631" i="1"/>
  <c r="AB631" i="1"/>
  <c r="AC631" i="1"/>
  <c r="AD631" i="1"/>
  <c r="P632" i="1"/>
  <c r="Q632" i="1"/>
  <c r="R632" i="1"/>
  <c r="S632" i="1"/>
  <c r="T632" i="1"/>
  <c r="U632" i="1"/>
  <c r="U637" i="1" s="1"/>
  <c r="U638" i="1" s="1"/>
  <c r="V632" i="1"/>
  <c r="V637" i="1" s="1"/>
  <c r="V638" i="1" s="1"/>
  <c r="W632" i="1"/>
  <c r="X632" i="1"/>
  <c r="Y632" i="1"/>
  <c r="Z632" i="1"/>
  <c r="AA632" i="1"/>
  <c r="AB632" i="1"/>
  <c r="AC632" i="1"/>
  <c r="AD632" i="1"/>
  <c r="P633" i="1"/>
  <c r="Q633" i="1"/>
  <c r="R633" i="1"/>
  <c r="S633" i="1"/>
  <c r="T633" i="1"/>
  <c r="U633" i="1"/>
  <c r="V633" i="1"/>
  <c r="W633" i="1"/>
  <c r="X633" i="1"/>
  <c r="Y633" i="1"/>
  <c r="Z633" i="1"/>
  <c r="AA633" i="1"/>
  <c r="AB633" i="1"/>
  <c r="AC633" i="1"/>
  <c r="AD633" i="1"/>
  <c r="P634" i="1"/>
  <c r="Q634" i="1"/>
  <c r="R634" i="1"/>
  <c r="S634" i="1"/>
  <c r="T634" i="1"/>
  <c r="U634" i="1"/>
  <c r="V634" i="1"/>
  <c r="W634" i="1"/>
  <c r="W637" i="1" s="1"/>
  <c r="X634" i="1"/>
  <c r="Y634" i="1"/>
  <c r="Z634" i="1"/>
  <c r="AA634" i="1"/>
  <c r="AB634" i="1"/>
  <c r="AC634" i="1"/>
  <c r="AD634" i="1"/>
  <c r="P635" i="1"/>
  <c r="Q635" i="1"/>
  <c r="R635" i="1"/>
  <c r="S635" i="1"/>
  <c r="T635" i="1"/>
  <c r="U635" i="1"/>
  <c r="V635" i="1"/>
  <c r="W635" i="1"/>
  <c r="X635" i="1"/>
  <c r="X637" i="1" s="1"/>
  <c r="X638" i="1" s="1"/>
  <c r="Y635" i="1"/>
  <c r="Z635" i="1"/>
  <c r="AA635" i="1"/>
  <c r="AB635" i="1"/>
  <c r="AC635" i="1"/>
  <c r="AD635" i="1"/>
  <c r="P636" i="1"/>
  <c r="Q636" i="1"/>
  <c r="R636" i="1"/>
  <c r="S636" i="1"/>
  <c r="T636" i="1"/>
  <c r="U636" i="1"/>
  <c r="V636" i="1"/>
  <c r="W636" i="1"/>
  <c r="X636" i="1"/>
  <c r="Y636" i="1"/>
  <c r="Y637" i="1" s="1"/>
  <c r="Z636" i="1"/>
  <c r="AA636" i="1"/>
  <c r="AB636" i="1"/>
  <c r="AC636" i="1"/>
  <c r="AD636" i="1"/>
  <c r="Z637" i="1"/>
  <c r="Z638" i="1" s="1"/>
  <c r="AA637" i="1"/>
  <c r="AA638" i="1"/>
  <c r="L643" i="1"/>
  <c r="M643" i="1"/>
  <c r="N643" i="1"/>
  <c r="O643" i="1"/>
  <c r="P643" i="1"/>
  <c r="P644" i="1" s="1"/>
  <c r="Q643" i="1"/>
  <c r="R643" i="1"/>
  <c r="S643" i="1"/>
  <c r="T643" i="1"/>
  <c r="U643" i="1"/>
  <c r="V643" i="1"/>
  <c r="W644" i="1" s="1"/>
  <c r="W643" i="1"/>
  <c r="X644" i="1" s="1"/>
  <c r="X643" i="1"/>
  <c r="Y644" i="1" s="1"/>
  <c r="Y643" i="1"/>
  <c r="Z643" i="1"/>
  <c r="AA643" i="1"/>
  <c r="AB643" i="1"/>
  <c r="AC643" i="1"/>
  <c r="P645" i="1"/>
  <c r="Q645" i="1"/>
  <c r="Q644" i="1"/>
  <c r="R645" i="1"/>
  <c r="R644" i="1" s="1"/>
  <c r="S645" i="1"/>
  <c r="S644" i="1"/>
  <c r="T645" i="1"/>
  <c r="T644" i="1" s="1"/>
  <c r="U645" i="1"/>
  <c r="U644" i="1" s="1"/>
  <c r="V645" i="1"/>
  <c r="V644" i="1" s="1"/>
  <c r="W645" i="1"/>
  <c r="X645" i="1"/>
  <c r="Y645" i="1"/>
  <c r="Z645" i="1"/>
  <c r="Z644" i="1" s="1"/>
  <c r="AA645" i="1"/>
  <c r="AA644" i="1"/>
  <c r="AB645" i="1"/>
  <c r="AB644" i="1" s="1"/>
  <c r="AC645" i="1"/>
  <c r="AC644" i="1" s="1"/>
  <c r="AD645" i="1"/>
  <c r="AD644" i="1" s="1"/>
  <c r="H189" i="1"/>
  <c r="H21" i="1" s="1"/>
  <c r="L9" i="2"/>
  <c r="M9" i="2"/>
  <c r="N9" i="2"/>
  <c r="O9" i="2"/>
  <c r="P9" i="2"/>
  <c r="Q9" i="2"/>
  <c r="R9" i="2"/>
  <c r="S9" i="2"/>
  <c r="T9" i="2"/>
  <c r="U9" i="2"/>
  <c r="J13" i="2"/>
  <c r="K13" i="2"/>
  <c r="L13" i="2"/>
  <c r="E29" i="3" l="1"/>
  <c r="E17" i="3" s="1"/>
  <c r="E18" i="3" s="1"/>
  <c r="AA623" i="1"/>
  <c r="AN596" i="1"/>
  <c r="O389" i="1"/>
  <c r="O388" i="1" s="1"/>
  <c r="W299" i="1"/>
  <c r="W290" i="1" s="1"/>
  <c r="W303" i="1"/>
  <c r="Z624" i="1"/>
  <c r="Z623" i="1" s="1"/>
  <c r="H389" i="1"/>
  <c r="H388" i="1" s="1"/>
  <c r="L596" i="1"/>
  <c r="R389" i="1"/>
  <c r="R388" i="1" s="1"/>
  <c r="W624" i="1"/>
  <c r="W623" i="1" s="1"/>
  <c r="V464" i="1"/>
  <c r="AB596" i="1"/>
  <c r="AA596" i="1"/>
  <c r="Q596" i="1"/>
  <c r="L390" i="1"/>
  <c r="L392" i="1" s="1"/>
  <c r="N390" i="1"/>
  <c r="N392" i="1" s="1"/>
  <c r="N389" i="1" s="1"/>
  <c r="N388" i="1" s="1"/>
  <c r="O390" i="1"/>
  <c r="O392" i="1" s="1"/>
  <c r="M390" i="1"/>
  <c r="M392" i="1" s="1"/>
  <c r="R390" i="1"/>
  <c r="R392" i="1" s="1"/>
  <c r="Q390" i="1"/>
  <c r="Q392" i="1" s="1"/>
  <c r="Q389" i="1" s="1"/>
  <c r="Q388" i="1" s="1"/>
  <c r="P390" i="1"/>
  <c r="P392" i="1" s="1"/>
  <c r="S390" i="1"/>
  <c r="S392" i="1" s="1"/>
  <c r="S389" i="1" s="1"/>
  <c r="S388" i="1" s="1"/>
  <c r="S638" i="1"/>
  <c r="W596" i="1"/>
  <c r="S624" i="1"/>
  <c r="S623" i="1" s="1"/>
  <c r="AC396" i="1"/>
  <c r="AC393" i="1" s="1"/>
  <c r="AC392" i="1" s="1"/>
  <c r="AC390" i="1" s="1"/>
  <c r="I396" i="1"/>
  <c r="I393" i="1" s="1"/>
  <c r="I389" i="1" s="1"/>
  <c r="I388" i="1" s="1"/>
  <c r="AA376" i="1"/>
  <c r="AA391" i="1" s="1"/>
  <c r="AQ222" i="1"/>
  <c r="AB109" i="1"/>
  <c r="AB107" i="1"/>
  <c r="AB108" i="1" s="1"/>
  <c r="L109" i="1"/>
  <c r="L107" i="1"/>
  <c r="V176" i="1"/>
  <c r="V153" i="1"/>
  <c r="V158" i="1" s="1"/>
  <c r="V172" i="1" s="1"/>
  <c r="Z153" i="1"/>
  <c r="V162" i="1"/>
  <c r="D19" i="1"/>
  <c r="H178" i="1"/>
  <c r="H184" i="1"/>
  <c r="D179" i="1"/>
  <c r="AC624" i="1"/>
  <c r="AC623" i="1" s="1"/>
  <c r="L396" i="1"/>
  <c r="L393" i="1" s="1"/>
  <c r="AP257" i="1"/>
  <c r="I173" i="1"/>
  <c r="I188" i="1"/>
  <c r="Z108" i="1"/>
  <c r="W638" i="1"/>
  <c r="K440" i="1"/>
  <c r="H392" i="1"/>
  <c r="AP352" i="1"/>
  <c r="O299" i="1"/>
  <c r="O303" i="1" s="1"/>
  <c r="U295" i="1"/>
  <c r="U297" i="1" s="1"/>
  <c r="AP288" i="1"/>
  <c r="AP295" i="1" s="1"/>
  <c r="AP297" i="1" s="1"/>
  <c r="Y638" i="1"/>
  <c r="K392" i="1"/>
  <c r="AK352" i="1"/>
  <c r="AK288" i="1"/>
  <c r="V90" i="1"/>
  <c r="K389" i="1"/>
  <c r="K388" i="1" s="1"/>
  <c r="K378" i="1"/>
  <c r="AP222" i="1"/>
  <c r="AN508" i="1"/>
  <c r="AN440" i="1" s="1"/>
  <c r="AP370" i="1"/>
  <c r="AP353" i="1"/>
  <c r="V611" i="1"/>
  <c r="V624" i="1" s="1"/>
  <c r="V623" i="1" s="1"/>
  <c r="AC532" i="1"/>
  <c r="AC464" i="1" s="1"/>
  <c r="U532" i="1"/>
  <c r="U464" i="1" s="1"/>
  <c r="M532" i="1"/>
  <c r="M464" i="1" s="1"/>
  <c r="AD461" i="1"/>
  <c r="V461" i="1"/>
  <c r="N461" i="1"/>
  <c r="Y440" i="1"/>
  <c r="Q440" i="1"/>
  <c r="I440" i="1"/>
  <c r="AA396" i="1"/>
  <c r="AA393" i="1" s="1"/>
  <c r="AA392" i="1" s="1"/>
  <c r="I378" i="1"/>
  <c r="AK355" i="1"/>
  <c r="AS249" i="1"/>
  <c r="AF252" i="1"/>
  <c r="X243" i="1"/>
  <c r="AP243" i="1"/>
  <c r="J204" i="1"/>
  <c r="K204" i="1" s="1"/>
  <c r="AP220" i="1"/>
  <c r="H378" i="1"/>
  <c r="AO370" i="1"/>
  <c r="AO257" i="1"/>
  <c r="V221" i="1"/>
  <c r="AN234" i="1"/>
  <c r="L158" i="1"/>
  <c r="L172" i="1" s="1"/>
  <c r="L157" i="1"/>
  <c r="P396" i="1"/>
  <c r="P393" i="1" s="1"/>
  <c r="AO358" i="1"/>
  <c r="AR247" i="1"/>
  <c r="J203" i="1"/>
  <c r="K203" i="1" s="1"/>
  <c r="AM141" i="1"/>
  <c r="AM142" i="1" s="1"/>
  <c r="AM187" i="1" s="1"/>
  <c r="AL143" i="1"/>
  <c r="M396" i="1"/>
  <c r="M393" i="1" s="1"/>
  <c r="M389" i="1" s="1"/>
  <c r="M388" i="1" s="1"/>
  <c r="AP378" i="1"/>
  <c r="AQ378" i="1" s="1"/>
  <c r="AQ375" i="1" s="1"/>
  <c r="AP380" i="1"/>
  <c r="J235" i="1"/>
  <c r="AM229" i="1"/>
  <c r="AA532" i="1"/>
  <c r="S532" i="1"/>
  <c r="K532" i="1"/>
  <c r="AK361" i="1"/>
  <c r="D370" i="1"/>
  <c r="AK370" i="1" s="1"/>
  <c r="AZ119" i="1"/>
  <c r="Q611" i="1"/>
  <c r="R624" i="1" s="1"/>
  <c r="R623" i="1" s="1"/>
  <c r="R375" i="1"/>
  <c r="N378" i="1"/>
  <c r="H355" i="1"/>
  <c r="P611" i="1"/>
  <c r="Q624" i="1" s="1"/>
  <c r="Q623" i="1" s="1"/>
  <c r="Q375" i="1"/>
  <c r="U375" i="1" s="1"/>
  <c r="M378" i="1"/>
  <c r="G355" i="1"/>
  <c r="J252" i="1"/>
  <c r="K238" i="1"/>
  <c r="K252" i="1" s="1"/>
  <c r="K258" i="1" s="1"/>
  <c r="K257" i="1" s="1"/>
  <c r="AM238" i="1"/>
  <c r="T101" i="1"/>
  <c r="T102" i="1" s="1"/>
  <c r="AP94" i="1"/>
  <c r="AP101" i="1" s="1"/>
  <c r="AP102" i="1" s="1"/>
  <c r="Q378" i="1"/>
  <c r="O375" i="1"/>
  <c r="O378" i="1" s="1"/>
  <c r="P375" i="1"/>
  <c r="L378" i="1"/>
  <c r="AK368" i="1"/>
  <c r="W355" i="1"/>
  <c r="AP355" i="1" s="1"/>
  <c r="P90" i="1"/>
  <c r="H168" i="1"/>
  <c r="O107" i="1"/>
  <c r="AN106" i="1"/>
  <c r="AB90" i="1"/>
  <c r="U90" i="1"/>
  <c r="N429" i="1"/>
  <c r="N84" i="1" s="1"/>
  <c r="M429" i="1"/>
  <c r="M84" i="1" s="1"/>
  <c r="R163" i="1"/>
  <c r="V166" i="1"/>
  <c r="Z222" i="1"/>
  <c r="Y223" i="1"/>
  <c r="P102" i="1"/>
  <c r="M97" i="1"/>
  <c r="H97" i="1"/>
  <c r="AQ96" i="1"/>
  <c r="AD11" i="104"/>
  <c r="N33" i="1"/>
  <c r="N39" i="1"/>
  <c r="Q108" i="1"/>
  <c r="K376" i="1"/>
  <c r="K391" i="1" s="1"/>
  <c r="S292" i="1"/>
  <c r="AO258" i="1"/>
  <c r="V244" i="1"/>
  <c r="AP244" i="1" s="1"/>
  <c r="P166" i="1"/>
  <c r="T166" i="1"/>
  <c r="AR56" i="1"/>
  <c r="AD26" i="1"/>
  <c r="AD29" i="1"/>
  <c r="H16" i="1"/>
  <c r="P124" i="1"/>
  <c r="E163" i="1"/>
  <c r="AR94" i="1"/>
  <c r="AB101" i="1"/>
  <c r="AQ84" i="1"/>
  <c r="I80" i="1"/>
  <c r="L67" i="1"/>
  <c r="P29" i="1"/>
  <c r="P43" i="1"/>
  <c r="AO234" i="1"/>
  <c r="P158" i="1"/>
  <c r="P172" i="1" s="1"/>
  <c r="P188" i="1" s="1"/>
  <c r="P189" i="1" s="1"/>
  <c r="P21" i="1" s="1"/>
  <c r="P157" i="1"/>
  <c r="K157" i="1"/>
  <c r="AQ106" i="1"/>
  <c r="AA107" i="1"/>
  <c r="S90" i="1"/>
  <c r="N80" i="1"/>
  <c r="N67" i="1"/>
  <c r="T26" i="1"/>
  <c r="AN348" i="1"/>
  <c r="AN25" i="1" s="1"/>
  <c r="L25" i="1"/>
  <c r="H25" i="1"/>
  <c r="Y90" i="1"/>
  <c r="Q80" i="1"/>
  <c r="K33" i="1"/>
  <c r="K39" i="1"/>
  <c r="AL107" i="1"/>
  <c r="AL108" i="1" s="1"/>
  <c r="P97" i="1"/>
  <c r="J429" i="1"/>
  <c r="J84" i="1" s="1"/>
  <c r="K429" i="1"/>
  <c r="K84" i="1" s="1"/>
  <c r="U163" i="1"/>
  <c r="X157" i="1"/>
  <c r="AS255" i="1"/>
  <c r="N109" i="1"/>
  <c r="AN102" i="1"/>
  <c r="U97" i="1"/>
  <c r="AP97" i="1" s="1"/>
  <c r="AP96" i="1"/>
  <c r="X101" i="1"/>
  <c r="X102" i="1" s="1"/>
  <c r="AQ94" i="1"/>
  <c r="AQ101" i="1" s="1"/>
  <c r="AQ102" i="1" s="1"/>
  <c r="Q429" i="1"/>
  <c r="Q84" i="1" s="1"/>
  <c r="AD67" i="1"/>
  <c r="O252" i="1"/>
  <c r="O258" i="1" s="1"/>
  <c r="O257" i="1" s="1"/>
  <c r="S242" i="1"/>
  <c r="AO242" i="1" s="1"/>
  <c r="T168" i="1"/>
  <c r="AP152" i="1"/>
  <c r="AP157" i="1" s="1"/>
  <c r="AQ152" i="1"/>
  <c r="AM102" i="1"/>
  <c r="J378" i="1"/>
  <c r="N252" i="1"/>
  <c r="AN238" i="1"/>
  <c r="AR224" i="1"/>
  <c r="P168" i="1"/>
  <c r="AM74" i="1"/>
  <c r="AM109" i="1"/>
  <c r="AA370" i="1"/>
  <c r="AQ370" i="1" s="1"/>
  <c r="AN229" i="1"/>
  <c r="AN152" i="1"/>
  <c r="AN157" i="1" s="1"/>
  <c r="AO152" i="1"/>
  <c r="AP135" i="1"/>
  <c r="AF102" i="1"/>
  <c r="AS102" i="1" s="1"/>
  <c r="AS101" i="1"/>
  <c r="AR100" i="1"/>
  <c r="AC102" i="1"/>
  <c r="Y97" i="1"/>
  <c r="AK84" i="1"/>
  <c r="AG131" i="1"/>
  <c r="AA102" i="1"/>
  <c r="AC74" i="1"/>
  <c r="AC109" i="1"/>
  <c r="M74" i="1"/>
  <c r="M109" i="1"/>
  <c r="L168" i="1"/>
  <c r="AM134" i="1"/>
  <c r="AM135" i="1" s="1"/>
  <c r="AI611" i="1"/>
  <c r="AI105" i="1" s="1"/>
  <c r="X97" i="1"/>
  <c r="AR96" i="1"/>
  <c r="AQ135" i="1"/>
  <c r="AA74" i="1"/>
  <c r="AA109" i="1"/>
  <c r="K74" i="1"/>
  <c r="K109" i="1"/>
  <c r="AP67" i="1"/>
  <c r="F67" i="1"/>
  <c r="F72" i="1" s="1"/>
  <c r="V33" i="1"/>
  <c r="V39" i="1"/>
  <c r="M163" i="1"/>
  <c r="AR81" i="1"/>
  <c r="AB80" i="1"/>
  <c r="AR80" i="1" s="1"/>
  <c r="P80" i="1"/>
  <c r="AB33" i="1"/>
  <c r="L19" i="1"/>
  <c r="J20" i="1"/>
  <c r="J23" i="1"/>
  <c r="AK80" i="1"/>
  <c r="Z80" i="1"/>
  <c r="U80" i="1"/>
  <c r="AN67" i="1"/>
  <c r="AH611" i="1"/>
  <c r="AH105" i="1" s="1"/>
  <c r="S39" i="1"/>
  <c r="S33" i="1"/>
  <c r="AD224" i="1"/>
  <c r="AD229" i="1" s="1"/>
  <c r="AD235" i="1" s="1"/>
  <c r="AD234" i="1" s="1"/>
  <c r="AD157" i="1" s="1"/>
  <c r="AA224" i="1"/>
  <c r="AQ224" i="1" s="1"/>
  <c r="AO497" i="1"/>
  <c r="AO429" i="1" s="1"/>
  <c r="AO84" i="1" s="1"/>
  <c r="AN80" i="1"/>
  <c r="AM80" i="1"/>
  <c r="AG611" i="1"/>
  <c r="AG105" i="1" s="1"/>
  <c r="AH610" i="1"/>
  <c r="AI610" i="1" s="1"/>
  <c r="AB19" i="1"/>
  <c r="Q10" i="80"/>
  <c r="AG123" i="1"/>
  <c r="AG17" i="1" s="1"/>
  <c r="AC123" i="1"/>
  <c r="AC17" i="1" s="1"/>
  <c r="AC16" i="1"/>
  <c r="S80" i="1"/>
  <c r="L80" i="1"/>
  <c r="M67" i="1"/>
  <c r="M72" i="1" s="1"/>
  <c r="Z109" i="1"/>
  <c r="AC429" i="1"/>
  <c r="AC84" i="1" s="1"/>
  <c r="I67" i="1"/>
  <c r="W67" i="1"/>
  <c r="AD14" i="104"/>
  <c r="AA33" i="1"/>
  <c r="AA39" i="1"/>
  <c r="AO80" i="1"/>
  <c r="X80" i="1"/>
  <c r="O80" i="1"/>
  <c r="J80" i="1"/>
  <c r="K67" i="1"/>
  <c r="AD15" i="104"/>
  <c r="AD33" i="1"/>
  <c r="AD39" i="1"/>
  <c r="F23" i="1"/>
  <c r="F27" i="1"/>
  <c r="AL67" i="1"/>
  <c r="V67" i="1"/>
  <c r="J67" i="1"/>
  <c r="J72" i="1" s="1"/>
  <c r="AP80" i="1"/>
  <c r="U67" i="1"/>
  <c r="E33" i="1"/>
  <c r="T90" i="1"/>
  <c r="AP497" i="1"/>
  <c r="AP429" i="1" s="1"/>
  <c r="AP84" i="1" s="1"/>
  <c r="W429" i="1"/>
  <c r="W84" i="1" s="1"/>
  <c r="H67" i="1"/>
  <c r="T67" i="1"/>
  <c r="G33" i="1"/>
  <c r="L58" i="80"/>
  <c r="X175" i="1"/>
  <c r="X138" i="1"/>
  <c r="AR82" i="1"/>
  <c r="H80" i="1"/>
  <c r="S67" i="1"/>
  <c r="R429" i="1"/>
  <c r="R84" i="1" s="1"/>
  <c r="I429" i="1"/>
  <c r="I84" i="1" s="1"/>
  <c r="Y67" i="1"/>
  <c r="R67" i="1"/>
  <c r="AD12" i="104"/>
  <c r="AD13" i="104"/>
  <c r="O33" i="1"/>
  <c r="O39" i="1"/>
  <c r="F33" i="1"/>
  <c r="F40" i="1"/>
  <c r="AA429" i="1"/>
  <c r="AA84" i="1" s="1"/>
  <c r="AL80" i="1"/>
  <c r="M80" i="1"/>
  <c r="AC67" i="1"/>
  <c r="D27" i="1"/>
  <c r="H19" i="1"/>
  <c r="I39" i="1"/>
  <c r="I33" i="1"/>
  <c r="U29" i="1"/>
  <c r="U26" i="1"/>
  <c r="M27" i="1"/>
  <c r="L123" i="1"/>
  <c r="L17" i="1" s="1"/>
  <c r="AP348" i="1"/>
  <c r="AP25" i="1" s="1"/>
  <c r="P26" i="1"/>
  <c r="AF151" i="1"/>
  <c r="AF146" i="1" s="1"/>
  <c r="O177" i="1"/>
  <c r="G148" i="1"/>
  <c r="P123" i="1"/>
  <c r="P17" i="1" s="1"/>
  <c r="P16" i="1"/>
  <c r="AO341" i="1"/>
  <c r="AO38" i="1" s="1"/>
  <c r="AQ341" i="1"/>
  <c r="AQ38" i="1" s="1"/>
  <c r="X38" i="1"/>
  <c r="Y26" i="1"/>
  <c r="Y29" i="1"/>
  <c r="J28" i="104"/>
  <c r="J29" i="104"/>
  <c r="J30" i="104"/>
  <c r="J31" i="104"/>
  <c r="AC331" i="1"/>
  <c r="AC341" i="1" s="1"/>
  <c r="AC38" i="1" s="1"/>
  <c r="I148" i="1"/>
  <c r="I10" i="80"/>
  <c r="U123" i="1"/>
  <c r="U17" i="1" s="1"/>
  <c r="W14" i="1"/>
  <c r="K8" i="80" s="1"/>
  <c r="W120" i="1"/>
  <c r="W140" i="1"/>
  <c r="AA120" i="1"/>
  <c r="AP119" i="1"/>
  <c r="W33" i="1"/>
  <c r="W29" i="1" s="1"/>
  <c r="W39" i="1"/>
  <c r="U33" i="1"/>
  <c r="U39" i="1"/>
  <c r="T177" i="1"/>
  <c r="L10" i="80"/>
  <c r="X123" i="1"/>
  <c r="X17" i="1" s="1"/>
  <c r="X16" i="1"/>
  <c r="S23" i="80"/>
  <c r="AE120" i="1"/>
  <c r="J11" i="80"/>
  <c r="J9" i="80"/>
  <c r="Z33" i="1"/>
  <c r="Z39" i="1"/>
  <c r="AB27" i="1"/>
  <c r="AB29" i="1"/>
  <c r="X348" i="1"/>
  <c r="O29" i="1"/>
  <c r="K348" i="1"/>
  <c r="AE152" i="1"/>
  <c r="N16" i="1"/>
  <c r="N123" i="1"/>
  <c r="N17" i="1" s="1"/>
  <c r="AL33" i="1"/>
  <c r="AI37" i="1"/>
  <c r="AI47" i="1" s="1"/>
  <c r="AS47" i="1" s="1"/>
  <c r="AS37" i="1"/>
  <c r="R39" i="1"/>
  <c r="R33" i="1"/>
  <c r="AM341" i="1"/>
  <c r="AM38" i="1" s="1"/>
  <c r="H38" i="1"/>
  <c r="I108" i="1" s="1"/>
  <c r="W26" i="1"/>
  <c r="S26" i="1"/>
  <c r="S29" i="1"/>
  <c r="J27" i="1"/>
  <c r="AF226" i="1"/>
  <c r="AC226" i="1"/>
  <c r="AR226" i="1" s="1"/>
  <c r="J10" i="80"/>
  <c r="V16" i="1"/>
  <c r="AH47" i="1"/>
  <c r="M331" i="1"/>
  <c r="AK331" i="1"/>
  <c r="AK341" i="1" s="1"/>
  <c r="AK38" i="1" s="1"/>
  <c r="D341" i="1"/>
  <c r="D38" i="1" s="1"/>
  <c r="F29" i="1"/>
  <c r="F31" i="1" s="1"/>
  <c r="AH147" i="1"/>
  <c r="N138" i="1"/>
  <c r="K148" i="1"/>
  <c r="AR126" i="1"/>
  <c r="T38" i="1"/>
  <c r="AP341" i="1"/>
  <c r="AP38" i="1" s="1"/>
  <c r="J40" i="1"/>
  <c r="J33" i="1"/>
  <c r="J39" i="1"/>
  <c r="N26" i="1"/>
  <c r="R26" i="1"/>
  <c r="AE147" i="1"/>
  <c r="AA348" i="1"/>
  <c r="E29" i="1"/>
  <c r="AD15" i="1"/>
  <c r="Y39" i="1"/>
  <c r="Y33" i="1"/>
  <c r="AE151" i="1"/>
  <c r="AE146" i="1" s="1"/>
  <c r="G58" i="80"/>
  <c r="G54" i="80" s="1"/>
  <c r="S138" i="1"/>
  <c r="S128" i="1" s="1"/>
  <c r="R10" i="80"/>
  <c r="AD16" i="1"/>
  <c r="AH123" i="1"/>
  <c r="AH17" i="1" s="1"/>
  <c r="AD123" i="1"/>
  <c r="AD17" i="1" s="1"/>
  <c r="Q33" i="1"/>
  <c r="L38" i="1"/>
  <c r="P39" i="1" s="1"/>
  <c r="V29" i="1"/>
  <c r="V26" i="1"/>
  <c r="Z26" i="1"/>
  <c r="Q26" i="1"/>
  <c r="AG146" i="1"/>
  <c r="AC148" i="1"/>
  <c r="M23" i="1"/>
  <c r="V11" i="80"/>
  <c r="V25" i="80"/>
  <c r="V9" i="80"/>
  <c r="V37" i="80"/>
  <c r="W29" i="80"/>
  <c r="W28" i="80"/>
  <c r="AO26" i="1"/>
  <c r="I29" i="1"/>
  <c r="AA177" i="1"/>
  <c r="U177" i="1"/>
  <c r="E177" i="1"/>
  <c r="U54" i="80"/>
  <c r="U55" i="80" s="1"/>
  <c r="U59" i="80"/>
  <c r="R54" i="80"/>
  <c r="R55" i="80" s="1"/>
  <c r="R59" i="80"/>
  <c r="Y175" i="1"/>
  <c r="AB16" i="1"/>
  <c r="E14" i="133"/>
  <c r="Y8" i="80"/>
  <c r="Y54" i="80" s="1"/>
  <c r="I11" i="80"/>
  <c r="I9" i="80"/>
  <c r="M59" i="80"/>
  <c r="M54" i="80"/>
  <c r="H11" i="80"/>
  <c r="H9" i="80"/>
  <c r="H59" i="80"/>
  <c r="H54" i="80"/>
  <c r="U25" i="80"/>
  <c r="U9" i="80"/>
  <c r="V29" i="80"/>
  <c r="V28" i="80"/>
  <c r="Z175" i="1"/>
  <c r="AN16" i="1"/>
  <c r="J20" i="104"/>
  <c r="J21" i="104"/>
  <c r="J22" i="104"/>
  <c r="J23" i="104"/>
  <c r="N59" i="80"/>
  <c r="N54" i="80"/>
  <c r="D17" i="133"/>
  <c r="D19" i="133"/>
  <c r="D20" i="133"/>
  <c r="I59" i="80"/>
  <c r="I54" i="80"/>
  <c r="Q138" i="1"/>
  <c r="P175" i="1"/>
  <c r="AB123" i="1"/>
  <c r="AB17" i="1" s="1"/>
  <c r="T123" i="1"/>
  <c r="T17" i="1" s="1"/>
  <c r="Z121" i="1"/>
  <c r="R121" i="1"/>
  <c r="J121" i="1"/>
  <c r="J16" i="1" s="1"/>
  <c r="R8" i="80"/>
  <c r="J15" i="104"/>
  <c r="AF119" i="1"/>
  <c r="U16" i="80"/>
  <c r="Q9" i="80"/>
  <c r="Q11" i="80"/>
  <c r="U14" i="80"/>
  <c r="U15" i="80"/>
  <c r="J12" i="104"/>
  <c r="J13" i="104"/>
  <c r="T16" i="80"/>
  <c r="P9" i="80"/>
  <c r="T15" i="80"/>
  <c r="T14" i="80"/>
  <c r="K11" i="104"/>
  <c r="L11" i="104"/>
  <c r="M11" i="104"/>
  <c r="N11" i="104"/>
  <c r="J54" i="80"/>
  <c r="J59" i="80"/>
  <c r="O8" i="80"/>
  <c r="J14" i="104"/>
  <c r="P59" i="80"/>
  <c r="P54" i="80"/>
  <c r="N9" i="80"/>
  <c r="N11" i="80"/>
  <c r="R175" i="1"/>
  <c r="Y123" i="1"/>
  <c r="Y17" i="1" s="1"/>
  <c r="M9" i="80"/>
  <c r="M11" i="80"/>
  <c r="AD138" i="1"/>
  <c r="L9" i="80"/>
  <c r="V59" i="80"/>
  <c r="V54" i="80"/>
  <c r="Q59" i="80"/>
  <c r="Q54" i="80"/>
  <c r="Q55" i="80" s="1"/>
  <c r="Y138" i="1"/>
  <c r="Y128" i="1" s="1"/>
  <c r="AF123" i="1"/>
  <c r="AF17" i="1" s="1"/>
  <c r="K14" i="2"/>
  <c r="L14" i="2"/>
  <c r="D16" i="2"/>
  <c r="F16" i="2"/>
  <c r="G16" i="2"/>
  <c r="H16" i="2"/>
  <c r="D23" i="2"/>
  <c r="D28" i="2" s="1"/>
  <c r="D19" i="2"/>
  <c r="K27" i="2"/>
  <c r="J27" i="2"/>
  <c r="J57" i="2" s="1"/>
  <c r="D27" i="2"/>
  <c r="E27" i="2"/>
  <c r="F27" i="2"/>
  <c r="G27" i="2"/>
  <c r="H27" i="2"/>
  <c r="I27" i="2"/>
  <c r="J33" i="2"/>
  <c r="K33" i="2"/>
  <c r="L33" i="2"/>
  <c r="AI151" i="1" l="1"/>
  <c r="AI146" i="1" s="1"/>
  <c r="AI148" i="1" s="1"/>
  <c r="AE148" i="1"/>
  <c r="O292" i="1"/>
  <c r="O305" i="1"/>
  <c r="O293" i="1" s="1"/>
  <c r="W30" i="1"/>
  <c r="K14" i="104"/>
  <c r="L14" i="104"/>
  <c r="N14" i="104"/>
  <c r="M14" i="104"/>
  <c r="J234" i="1"/>
  <c r="AM235" i="1"/>
  <c r="Z183" i="1"/>
  <c r="V183" i="1"/>
  <c r="O9" i="80"/>
  <c r="O11" i="80"/>
  <c r="S15" i="80"/>
  <c r="S14" i="80"/>
  <c r="U24" i="80"/>
  <c r="U17" i="80" s="1"/>
  <c r="U18" i="80"/>
  <c r="V24" i="80"/>
  <c r="V17" i="80" s="1"/>
  <c r="V18" i="80"/>
  <c r="E31" i="1"/>
  <c r="AF229" i="1"/>
  <c r="AL29" i="1"/>
  <c r="AL43" i="1"/>
  <c r="AA15" i="1"/>
  <c r="AA121" i="1"/>
  <c r="AP26" i="1"/>
  <c r="AB23" i="1"/>
  <c r="AQ97" i="1"/>
  <c r="N43" i="1"/>
  <c r="N34" i="1"/>
  <c r="I189" i="1"/>
  <c r="I21" i="1" s="1"/>
  <c r="L108" i="1"/>
  <c r="AA25" i="1"/>
  <c r="AA351" i="1"/>
  <c r="AA355" i="1" s="1"/>
  <c r="AE15" i="1"/>
  <c r="AE119" i="1"/>
  <c r="K58" i="80"/>
  <c r="W175" i="1"/>
  <c r="W138" i="1"/>
  <c r="AP140" i="1"/>
  <c r="W141" i="1"/>
  <c r="W142" i="1" s="1"/>
  <c r="W187" i="1" s="1"/>
  <c r="AA141" i="1"/>
  <c r="AA142" i="1" s="1"/>
  <c r="AA187" i="1" s="1"/>
  <c r="AS105" i="1"/>
  <c r="S375" i="1"/>
  <c r="S378" i="1" s="1"/>
  <c r="T375" i="1"/>
  <c r="V55" i="80"/>
  <c r="E19" i="1"/>
  <c r="E179" i="1"/>
  <c r="S16" i="80"/>
  <c r="W15" i="1"/>
  <c r="W121" i="1"/>
  <c r="AA90" i="1"/>
  <c r="AQ90" i="1" s="1"/>
  <c r="AB182" i="1"/>
  <c r="AQ175" i="1"/>
  <c r="X182" i="1"/>
  <c r="AA35" i="1"/>
  <c r="AA34" i="1"/>
  <c r="AA43" i="1"/>
  <c r="AN252" i="1"/>
  <c r="N258" i="1"/>
  <c r="K43" i="1"/>
  <c r="R378" i="1"/>
  <c r="V375" i="1"/>
  <c r="V378" i="1" s="1"/>
  <c r="AQ380" i="1"/>
  <c r="U19" i="1"/>
  <c r="U35" i="1" s="1"/>
  <c r="U179" i="1"/>
  <c r="AR147" i="1"/>
  <c r="AR152" i="1" s="1"/>
  <c r="K11" i="80"/>
  <c r="K9" i="80"/>
  <c r="L54" i="80"/>
  <c r="L59" i="80"/>
  <c r="L72" i="1"/>
  <c r="AI624" i="1"/>
  <c r="AI623" i="1" s="1"/>
  <c r="N128" i="1"/>
  <c r="AN138" i="1"/>
  <c r="S30" i="1"/>
  <c r="L11" i="80"/>
  <c r="AA19" i="1"/>
  <c r="AA179" i="1"/>
  <c r="AC176" i="1"/>
  <c r="AC162" i="1"/>
  <c r="K25" i="1"/>
  <c r="K351" i="1"/>
  <c r="X39" i="1"/>
  <c r="X33" i="1"/>
  <c r="X108" i="1"/>
  <c r="F35" i="1"/>
  <c r="F43" i="1"/>
  <c r="AF14" i="104"/>
  <c r="AE14" i="104"/>
  <c r="AG14" i="104"/>
  <c r="AH14" i="104"/>
  <c r="V34" i="1"/>
  <c r="V43" i="1"/>
  <c r="AO157" i="1"/>
  <c r="AC108" i="1"/>
  <c r="X245" i="1"/>
  <c r="AQ243" i="1"/>
  <c r="L389" i="1"/>
  <c r="L388" i="1" s="1"/>
  <c r="AD28" i="104"/>
  <c r="AD29" i="104"/>
  <c r="AD30" i="104"/>
  <c r="AD31" i="104"/>
  <c r="AQ39" i="1"/>
  <c r="AQ33" i="1"/>
  <c r="G43" i="1"/>
  <c r="AS252" i="1"/>
  <c r="AF258" i="1"/>
  <c r="Q43" i="1"/>
  <c r="AD128" i="1"/>
  <c r="K15" i="104"/>
  <c r="L15" i="104"/>
  <c r="N15" i="104"/>
  <c r="M15" i="104"/>
  <c r="K23" i="104"/>
  <c r="L23" i="104"/>
  <c r="M23" i="104"/>
  <c r="N23" i="104"/>
  <c r="AI152" i="1"/>
  <c r="AI147" i="1" s="1"/>
  <c r="S146" i="1"/>
  <c r="S131" i="1"/>
  <c r="S161" i="1"/>
  <c r="S129" i="1"/>
  <c r="S130" i="1" s="1"/>
  <c r="S171" i="1" s="1"/>
  <c r="AK33" i="1"/>
  <c r="I176" i="1"/>
  <c r="AM148" i="1"/>
  <c r="I153" i="1"/>
  <c r="M153" i="1"/>
  <c r="M158" i="1" s="1"/>
  <c r="M172" i="1" s="1"/>
  <c r="I162" i="1"/>
  <c r="AD20" i="104"/>
  <c r="AD21" i="104"/>
  <c r="AD22" i="104"/>
  <c r="AD23" i="104"/>
  <c r="AO33" i="1"/>
  <c r="AO108" i="1"/>
  <c r="I43" i="1"/>
  <c r="L20" i="1"/>
  <c r="L23" i="1"/>
  <c r="AQ107" i="1"/>
  <c r="AQ108" i="1" s="1"/>
  <c r="AA108" i="1"/>
  <c r="N464" i="1"/>
  <c r="AF12" i="80"/>
  <c r="AF13" i="80" s="1"/>
  <c r="V16" i="80"/>
  <c r="R9" i="80"/>
  <c r="R11" i="80"/>
  <c r="V14" i="80"/>
  <c r="S28" i="80"/>
  <c r="S29" i="80"/>
  <c r="V15" i="80"/>
  <c r="K22" i="104"/>
  <c r="L22" i="104"/>
  <c r="M22" i="104"/>
  <c r="N22" i="104"/>
  <c r="Q29" i="1"/>
  <c r="N29" i="1"/>
  <c r="M341" i="1"/>
  <c r="AN331" i="1"/>
  <c r="T19" i="1"/>
  <c r="T184" i="1"/>
  <c r="T179" i="1"/>
  <c r="O35" i="1"/>
  <c r="O43" i="1"/>
  <c r="O34" i="1"/>
  <c r="H72" i="1"/>
  <c r="AC90" i="1"/>
  <c r="Z223" i="1"/>
  <c r="AA223" i="1" s="1"/>
  <c r="AQ223" i="1"/>
  <c r="AN107" i="1"/>
  <c r="AG624" i="1"/>
  <c r="AG623" i="1" s="1"/>
  <c r="K176" i="1"/>
  <c r="K162" i="1"/>
  <c r="K153" i="1"/>
  <c r="K158" i="1" s="1"/>
  <c r="K172" i="1" s="1"/>
  <c r="O153" i="1"/>
  <c r="O158" i="1" s="1"/>
  <c r="O172" i="1" s="1"/>
  <c r="AH11" i="104"/>
  <c r="AE11" i="104"/>
  <c r="AF11" i="104"/>
  <c r="AG11" i="104"/>
  <c r="L21" i="104"/>
  <c r="M21" i="104"/>
  <c r="N21" i="104"/>
  <c r="K21" i="104"/>
  <c r="H39" i="1"/>
  <c r="H40" i="1"/>
  <c r="H33" i="1"/>
  <c r="H29" i="1" s="1"/>
  <c r="H31" i="1" s="1"/>
  <c r="H108" i="1"/>
  <c r="K108" i="1"/>
  <c r="X25" i="1"/>
  <c r="AQ348" i="1"/>
  <c r="AQ25" i="1" s="1"/>
  <c r="X351" i="1"/>
  <c r="AE13" i="104"/>
  <c r="AF13" i="104"/>
  <c r="AG13" i="104"/>
  <c r="AH13" i="104"/>
  <c r="W90" i="1"/>
  <c r="AP90" i="1" s="1"/>
  <c r="AB39" i="1"/>
  <c r="AR101" i="1"/>
  <c r="AB102" i="1"/>
  <c r="AR102" i="1" s="1"/>
  <c r="AD464" i="1"/>
  <c r="K12" i="104"/>
  <c r="L12" i="104"/>
  <c r="M12" i="104"/>
  <c r="N12" i="104"/>
  <c r="X128" i="1"/>
  <c r="AQ138" i="1"/>
  <c r="D33" i="1"/>
  <c r="D40" i="1"/>
  <c r="G108" i="1"/>
  <c r="P11" i="80"/>
  <c r="R123" i="1"/>
  <c r="R17" i="1" s="1"/>
  <c r="R16" i="1"/>
  <c r="R124" i="1"/>
  <c r="V124" i="1"/>
  <c r="K20" i="104"/>
  <c r="N20" i="104"/>
  <c r="L20" i="104"/>
  <c r="M20" i="104"/>
  <c r="V123" i="1"/>
  <c r="V17" i="1" s="1"/>
  <c r="AM39" i="1"/>
  <c r="AM33" i="1"/>
  <c r="AM108" i="1"/>
  <c r="G176" i="1"/>
  <c r="AK148" i="1"/>
  <c r="AL148" i="1" s="1"/>
  <c r="G162" i="1"/>
  <c r="H23" i="1"/>
  <c r="H20" i="1"/>
  <c r="AE12" i="104"/>
  <c r="AF12" i="104"/>
  <c r="AG12" i="104"/>
  <c r="AH12" i="104"/>
  <c r="AD43" i="1"/>
  <c r="AD34" i="1"/>
  <c r="AM348" i="1"/>
  <c r="AM25" i="1" s="1"/>
  <c r="AC229" i="1"/>
  <c r="AC235" i="1" s="1"/>
  <c r="AC234" i="1" s="1"/>
  <c r="AC157" i="1" s="1"/>
  <c r="AM252" i="1"/>
  <c r="J258" i="1"/>
  <c r="K464" i="1"/>
  <c r="AM532" i="1"/>
  <c r="AM464" i="1" s="1"/>
  <c r="P389" i="1"/>
  <c r="P388" i="1" s="1"/>
  <c r="O290" i="1"/>
  <c r="O301" i="1"/>
  <c r="O291" i="1" s="1"/>
  <c r="D23" i="1"/>
  <c r="D72" i="1"/>
  <c r="W304" i="1"/>
  <c r="W292" i="1"/>
  <c r="Y146" i="1"/>
  <c r="Y129" i="1"/>
  <c r="Y130" i="1" s="1"/>
  <c r="Y171" i="1" s="1"/>
  <c r="AC129" i="1"/>
  <c r="AC130" i="1" s="1"/>
  <c r="AC171" i="1" s="1"/>
  <c r="Y131" i="1"/>
  <c r="Y161" i="1"/>
  <c r="AF14" i="1"/>
  <c r="AF140" i="1"/>
  <c r="AF122" i="1"/>
  <c r="AG122" i="1"/>
  <c r="R177" i="1"/>
  <c r="R182" i="1"/>
  <c r="V182" i="1"/>
  <c r="N10" i="80"/>
  <c r="Z123" i="1"/>
  <c r="Z17" i="1" s="1"/>
  <c r="Z16" i="1"/>
  <c r="AD124" i="1"/>
  <c r="AH124" i="1"/>
  <c r="Z124" i="1"/>
  <c r="J35" i="1"/>
  <c r="J29" i="1"/>
  <c r="J31" i="1" s="1"/>
  <c r="J43" i="1"/>
  <c r="R34" i="1"/>
  <c r="R29" i="1"/>
  <c r="R43" i="1"/>
  <c r="AB31" i="1"/>
  <c r="AC33" i="1"/>
  <c r="AC39" i="1"/>
  <c r="AD108" i="1"/>
  <c r="O19" i="1"/>
  <c r="O179" i="1"/>
  <c r="AE15" i="104"/>
  <c r="AF15" i="104"/>
  <c r="AH15" i="104"/>
  <c r="AG15" i="104"/>
  <c r="AB35" i="1"/>
  <c r="AB34" i="1"/>
  <c r="AB43" i="1"/>
  <c r="H27" i="1"/>
  <c r="P22" i="1"/>
  <c r="AO532" i="1"/>
  <c r="AO464" i="1" s="1"/>
  <c r="S464" i="1"/>
  <c r="AA390" i="1"/>
  <c r="J206" i="1"/>
  <c r="K206" i="1" s="1"/>
  <c r="P173" i="1"/>
  <c r="Y30" i="1"/>
  <c r="F9" i="133"/>
  <c r="K31" i="104"/>
  <c r="L31" i="104"/>
  <c r="N31" i="104"/>
  <c r="M31" i="104"/>
  <c r="S34" i="1"/>
  <c r="S43" i="1"/>
  <c r="AB40" i="1"/>
  <c r="AG128" i="1"/>
  <c r="AH131" i="1"/>
  <c r="L27" i="1"/>
  <c r="L29" i="1"/>
  <c r="L26" i="1"/>
  <c r="AA464" i="1"/>
  <c r="AQ532" i="1"/>
  <c r="AQ464" i="1" s="1"/>
  <c r="L173" i="1"/>
  <c r="L188" i="1"/>
  <c r="L189" i="1" s="1"/>
  <c r="L21" i="1" s="1"/>
  <c r="L22" i="1" s="1"/>
  <c r="Z167" i="1"/>
  <c r="V163" i="1"/>
  <c r="V167" i="1"/>
  <c r="P378" i="1"/>
  <c r="Z177" i="1"/>
  <c r="Z182" i="1"/>
  <c r="AD182" i="1"/>
  <c r="O54" i="80"/>
  <c r="Y34" i="1"/>
  <c r="Y43" i="1"/>
  <c r="AD24" i="104"/>
  <c r="AD25" i="104"/>
  <c r="AD26" i="104"/>
  <c r="AD27" i="104"/>
  <c r="AP39" i="1"/>
  <c r="AP33" i="1"/>
  <c r="AP29" i="1" s="1"/>
  <c r="AP108" i="1"/>
  <c r="U34" i="1"/>
  <c r="U43" i="1"/>
  <c r="K30" i="104"/>
  <c r="L30" i="104"/>
  <c r="M30" i="104"/>
  <c r="N30" i="104"/>
  <c r="G29" i="1"/>
  <c r="E35" i="1"/>
  <c r="E43" i="1"/>
  <c r="AF128" i="1"/>
  <c r="Q90" i="1"/>
  <c r="J108" i="1"/>
  <c r="Y375" i="1"/>
  <c r="Y378" i="1" s="1"/>
  <c r="Z378" i="1" s="1"/>
  <c r="Z375" i="1" s="1"/>
  <c r="U378" i="1"/>
  <c r="AB72" i="1"/>
  <c r="W300" i="1"/>
  <c r="AH624" i="1"/>
  <c r="AH623" i="1" s="1"/>
  <c r="D14" i="133"/>
  <c r="AP120" i="1"/>
  <c r="AP14" i="1"/>
  <c r="AQ120" i="1"/>
  <c r="AQ122" i="1"/>
  <c r="AP136" i="1"/>
  <c r="AP122" i="1"/>
  <c r="AX124" i="1"/>
  <c r="P55" i="80"/>
  <c r="P177" i="1"/>
  <c r="AO175" i="1"/>
  <c r="AO182" i="1" s="1"/>
  <c r="P182" i="1"/>
  <c r="T182" i="1"/>
  <c r="T189" i="1"/>
  <c r="T21" i="1" s="1"/>
  <c r="T22" i="1" s="1"/>
  <c r="AC182" i="1"/>
  <c r="Y182" i="1"/>
  <c r="T39" i="1"/>
  <c r="T33" i="1"/>
  <c r="T108" i="1"/>
  <c r="U108" i="1"/>
  <c r="V108" i="1"/>
  <c r="W108" i="1"/>
  <c r="V177" i="1"/>
  <c r="Z34" i="1"/>
  <c r="Z29" i="1"/>
  <c r="Z43" i="1"/>
  <c r="K29" i="104"/>
  <c r="L29" i="104"/>
  <c r="M29" i="104"/>
  <c r="N29" i="104"/>
  <c r="R90" i="1"/>
  <c r="AO90" i="1" s="1"/>
  <c r="Y108" i="1"/>
  <c r="AK108" i="1"/>
  <c r="J205" i="1"/>
  <c r="K205" i="1" s="1"/>
  <c r="AP221" i="1"/>
  <c r="K13" i="104"/>
  <c r="L13" i="104"/>
  <c r="M13" i="104"/>
  <c r="N13" i="104"/>
  <c r="Q128" i="1"/>
  <c r="AO138" i="1"/>
  <c r="V36" i="80"/>
  <c r="V30" i="80" s="1"/>
  <c r="V31" i="80"/>
  <c r="L40" i="1"/>
  <c r="L33" i="1"/>
  <c r="L39" i="1"/>
  <c r="F13" i="133"/>
  <c r="F20" i="133" s="1"/>
  <c r="AZ123" i="1"/>
  <c r="AG226" i="1"/>
  <c r="AG229" i="1" s="1"/>
  <c r="AG235" i="1" s="1"/>
  <c r="AG234" i="1" s="1"/>
  <c r="AG152" i="1" s="1"/>
  <c r="AG147" i="1" s="1"/>
  <c r="AG148" i="1" s="1"/>
  <c r="W34" i="1"/>
  <c r="W43" i="1"/>
  <c r="K28" i="104"/>
  <c r="L28" i="104"/>
  <c r="M28" i="104"/>
  <c r="N28" i="104"/>
  <c r="U72" i="1"/>
  <c r="P53" i="1"/>
  <c r="P48" i="1"/>
  <c r="V188" i="1"/>
  <c r="V189" i="1" s="1"/>
  <c r="V21" i="1" s="1"/>
  <c r="V173" i="1"/>
  <c r="P624" i="1"/>
  <c r="P623" i="1" s="1"/>
  <c r="K34" i="2"/>
  <c r="L34" i="2"/>
  <c r="J35" i="2"/>
  <c r="K35" i="2"/>
  <c r="L35" i="2"/>
  <c r="D37" i="2"/>
  <c r="D38" i="2" s="1"/>
  <c r="E37" i="2"/>
  <c r="E63" i="2" s="1"/>
  <c r="F37" i="2"/>
  <c r="F63" i="2" s="1"/>
  <c r="G37" i="2"/>
  <c r="G63" i="2" s="1"/>
  <c r="H37" i="2"/>
  <c r="H63" i="2" s="1"/>
  <c r="I37" i="2"/>
  <c r="I63" i="2" s="1"/>
  <c r="J37" i="2"/>
  <c r="K37" i="2"/>
  <c r="D42" i="2"/>
  <c r="E42" i="2"/>
  <c r="F42" i="2"/>
  <c r="G42" i="2"/>
  <c r="H42" i="2"/>
  <c r="I42" i="2"/>
  <c r="D50" i="2"/>
  <c r="E50" i="2"/>
  <c r="F50" i="2"/>
  <c r="F51" i="2" s="1"/>
  <c r="G50" i="2"/>
  <c r="H50" i="2"/>
  <c r="I50" i="2"/>
  <c r="L72" i="2"/>
  <c r="M72" i="2"/>
  <c r="N72" i="2"/>
  <c r="O72" i="2" s="1"/>
  <c r="D69" i="2"/>
  <c r="D70" i="2"/>
  <c r="E69" i="2"/>
  <c r="E70" i="2"/>
  <c r="E71" i="2"/>
  <c r="F69" i="2"/>
  <c r="F70" i="2"/>
  <c r="F71" i="2"/>
  <c r="G69" i="2"/>
  <c r="G70" i="2"/>
  <c r="H69" i="2"/>
  <c r="H70" i="2"/>
  <c r="I69" i="2"/>
  <c r="I70" i="2"/>
  <c r="I71" i="2"/>
  <c r="J69" i="2"/>
  <c r="D57" i="2"/>
  <c r="E57" i="2"/>
  <c r="E54" i="2"/>
  <c r="F54" i="2" s="1"/>
  <c r="G54" i="2" s="1"/>
  <c r="H54" i="2" s="1"/>
  <c r="I54" i="2" s="1"/>
  <c r="J54" i="2" s="1"/>
  <c r="K54" i="2" s="1"/>
  <c r="L54" i="2" s="1"/>
  <c r="M54" i="2" s="1"/>
  <c r="N54" i="2" s="1"/>
  <c r="O54" i="2" s="1"/>
  <c r="P54" i="2" s="1"/>
  <c r="Q54" i="2" s="1"/>
  <c r="R54" i="2" s="1"/>
  <c r="S54" i="2" s="1"/>
  <c r="T54" i="2" s="1"/>
  <c r="U54" i="2" s="1"/>
  <c r="F57" i="2"/>
  <c r="G57" i="2"/>
  <c r="H57" i="2"/>
  <c r="I57" i="2"/>
  <c r="D63" i="2"/>
  <c r="J63" i="2"/>
  <c r="D65" i="2"/>
  <c r="E65" i="2"/>
  <c r="F65" i="2"/>
  <c r="G65" i="2"/>
  <c r="H65" i="2"/>
  <c r="I65" i="2"/>
  <c r="D67" i="2"/>
  <c r="E67" i="2"/>
  <c r="F67" i="2"/>
  <c r="G67" i="2"/>
  <c r="H67" i="2"/>
  <c r="I67" i="2"/>
  <c r="J67" i="2"/>
  <c r="F101" i="2"/>
  <c r="E97" i="2" s="1"/>
  <c r="E98" i="2"/>
  <c r="E99" i="2" s="1"/>
  <c r="H71" i="2" l="1"/>
  <c r="G71" i="2"/>
  <c r="I51" i="2"/>
  <c r="AC166" i="1"/>
  <c r="Y166" i="1"/>
  <c r="AM34" i="1"/>
  <c r="AM43" i="1"/>
  <c r="E23" i="2"/>
  <c r="X146" i="1"/>
  <c r="X129" i="1"/>
  <c r="X130" i="1" s="1"/>
  <c r="X171" i="1" s="1"/>
  <c r="AB129" i="1"/>
  <c r="AB130" i="1" s="1"/>
  <c r="AB171" i="1" s="1"/>
  <c r="X131" i="1"/>
  <c r="X161" i="1"/>
  <c r="AQ128" i="1"/>
  <c r="Q146" i="1"/>
  <c r="Q129" i="1"/>
  <c r="Q130" i="1" s="1"/>
  <c r="Q171" i="1" s="1"/>
  <c r="Q131" i="1"/>
  <c r="Q161" i="1"/>
  <c r="U129" i="1"/>
  <c r="U130" i="1" s="1"/>
  <c r="U171" i="1" s="1"/>
  <c r="AO128" i="1"/>
  <c r="AM26" i="1"/>
  <c r="AM29" i="1"/>
  <c r="E16" i="2"/>
  <c r="AN26" i="1"/>
  <c r="I167" i="1"/>
  <c r="M167" i="1"/>
  <c r="I163" i="1"/>
  <c r="M173" i="1" s="1"/>
  <c r="AM162" i="1"/>
  <c r="AF28" i="104"/>
  <c r="AE28" i="104"/>
  <c r="AG28" i="104"/>
  <c r="AH28" i="104"/>
  <c r="D81" i="2"/>
  <c r="AE20" i="104"/>
  <c r="AF20" i="104"/>
  <c r="AG20" i="104"/>
  <c r="AH20" i="104"/>
  <c r="AE21" i="104"/>
  <c r="AF21" i="104"/>
  <c r="AG21" i="104"/>
  <c r="AH21" i="104"/>
  <c r="P72" i="2"/>
  <c r="AE26" i="104"/>
  <c r="AF26" i="104"/>
  <c r="AG26" i="104"/>
  <c r="AH26" i="104"/>
  <c r="T23" i="1"/>
  <c r="T27" i="1"/>
  <c r="T40" i="1"/>
  <c r="T72" i="1"/>
  <c r="K355" i="1"/>
  <c r="AM355" i="1" s="1"/>
  <c r="AM351" i="1"/>
  <c r="W128" i="1"/>
  <c r="AP138" i="1"/>
  <c r="Z48" i="1"/>
  <c r="Z44" i="1"/>
  <c r="Z53" i="1"/>
  <c r="AF129" i="1"/>
  <c r="AF130" i="1" s="1"/>
  <c r="AF171" i="1" s="1"/>
  <c r="AF138" i="1"/>
  <c r="AF161" i="1"/>
  <c r="AA182" i="1"/>
  <c r="AP175" i="1"/>
  <c r="AP182" i="1" s="1"/>
  <c r="W182" i="1"/>
  <c r="E45" i="1"/>
  <c r="E48" i="1"/>
  <c r="E53" i="1"/>
  <c r="AF24" i="104"/>
  <c r="AG24" i="104"/>
  <c r="AE24" i="104"/>
  <c r="AH24" i="104"/>
  <c r="AN108" i="1"/>
  <c r="M38" i="1"/>
  <c r="AN341" i="1"/>
  <c r="AN38" i="1" s="1"/>
  <c r="AM258" i="1"/>
  <c r="J257" i="1"/>
  <c r="AM257" i="1" s="1"/>
  <c r="Y53" i="1"/>
  <c r="Y48" i="1"/>
  <c r="Y44" i="1"/>
  <c r="N30" i="1"/>
  <c r="D53" i="2"/>
  <c r="D84" i="2" s="1"/>
  <c r="D45" i="2"/>
  <c r="D82" i="2" s="1"/>
  <c r="AQ121" i="1"/>
  <c r="AQ15" i="1"/>
  <c r="U30" i="1"/>
  <c r="T8" i="80"/>
  <c r="D71" i="2"/>
  <c r="D72" i="2" s="1"/>
  <c r="AG176" i="1"/>
  <c r="AG162" i="1"/>
  <c r="AG167" i="1" s="1"/>
  <c r="AG153" i="1"/>
  <c r="AG158" i="1" s="1"/>
  <c r="AG172" i="1" s="1"/>
  <c r="AG188" i="1" s="1"/>
  <c r="T34" i="1"/>
  <c r="T35" i="1"/>
  <c r="T43" i="1"/>
  <c r="T29" i="1"/>
  <c r="J24" i="104"/>
  <c r="J25" i="104"/>
  <c r="J26" i="104"/>
  <c r="J27" i="104"/>
  <c r="S166" i="1"/>
  <c r="D35" i="1"/>
  <c r="D43" i="1"/>
  <c r="D29" i="1"/>
  <c r="D31" i="1" s="1"/>
  <c r="AP15" i="1"/>
  <c r="AP121" i="1"/>
  <c r="G51" i="2"/>
  <c r="H51" i="2"/>
  <c r="R30" i="1"/>
  <c r="V30" i="1"/>
  <c r="N44" i="1"/>
  <c r="N53" i="1"/>
  <c r="N48" i="1"/>
  <c r="AI176" i="1"/>
  <c r="AI153" i="1"/>
  <c r="AI158" i="1" s="1"/>
  <c r="AI172" i="1" s="1"/>
  <c r="AI188" i="1" s="1"/>
  <c r="AI162" i="1"/>
  <c r="K29" i="1"/>
  <c r="O26" i="1"/>
  <c r="K10" i="80"/>
  <c r="W16" i="1"/>
  <c r="W123" i="1"/>
  <c r="W17" i="1" s="1"/>
  <c r="W124" i="1"/>
  <c r="K54" i="80"/>
  <c r="K59" i="80"/>
  <c r="O59" i="80"/>
  <c r="W48" i="1"/>
  <c r="W44" i="1"/>
  <c r="W53" i="1"/>
  <c r="Z30" i="1"/>
  <c r="Z31" i="1"/>
  <c r="T12" i="104"/>
  <c r="T13" i="104"/>
  <c r="O23" i="1"/>
  <c r="O27" i="1"/>
  <c r="O40" i="1"/>
  <c r="O72" i="1"/>
  <c r="M188" i="1"/>
  <c r="G48" i="1"/>
  <c r="G53" i="1"/>
  <c r="K53" i="1"/>
  <c r="K48" i="1"/>
  <c r="AE14" i="1"/>
  <c r="AE140" i="1"/>
  <c r="AI120" i="1"/>
  <c r="AI15" i="1" s="1"/>
  <c r="AR119" i="1"/>
  <c r="AE122" i="1"/>
  <c r="AE128" i="1"/>
  <c r="AR128" i="1" s="1"/>
  <c r="Y148" i="1"/>
  <c r="Y151" i="1"/>
  <c r="Y156" i="1" s="1"/>
  <c r="AC151" i="1"/>
  <c r="AC156" i="1" s="1"/>
  <c r="AD44" i="1"/>
  <c r="AD53" i="1"/>
  <c r="AD48" i="1"/>
  <c r="X355" i="1"/>
  <c r="AQ355" i="1" s="1"/>
  <c r="AQ351" i="1"/>
  <c r="V48" i="1"/>
  <c r="V44" i="1"/>
  <c r="V53" i="1"/>
  <c r="L30" i="1"/>
  <c r="L31" i="1"/>
  <c r="AQ26" i="1"/>
  <c r="AQ29" i="1"/>
  <c r="I16" i="2"/>
  <c r="AM153" i="1"/>
  <c r="U31" i="1"/>
  <c r="AC163" i="1"/>
  <c r="N257" i="1"/>
  <c r="AN257" i="1" s="1"/>
  <c r="AN258" i="1"/>
  <c r="O10" i="80"/>
  <c r="AA123" i="1"/>
  <c r="AA17" i="1" s="1"/>
  <c r="AA16" i="1"/>
  <c r="AE123" i="1"/>
  <c r="AE17" i="1" s="1"/>
  <c r="AE124" i="1"/>
  <c r="AI124" i="1"/>
  <c r="AA124" i="1"/>
  <c r="V19" i="1"/>
  <c r="V178" i="1"/>
  <c r="V184" i="1"/>
  <c r="V179" i="1"/>
  <c r="P19" i="1"/>
  <c r="T20" i="1" s="1"/>
  <c r="P179" i="1"/>
  <c r="P178" i="1"/>
  <c r="P184" i="1"/>
  <c r="U45" i="1"/>
  <c r="U48" i="1"/>
  <c r="U44" i="1"/>
  <c r="U53" i="1"/>
  <c r="F17" i="133"/>
  <c r="F12" i="133"/>
  <c r="AB53" i="1"/>
  <c r="AB45" i="1"/>
  <c r="AB48" i="1"/>
  <c r="X26" i="1"/>
  <c r="X29" i="1"/>
  <c r="AB26" i="1"/>
  <c r="O188" i="1"/>
  <c r="I183" i="1"/>
  <c r="M183" i="1"/>
  <c r="AM176" i="1"/>
  <c r="I177" i="1"/>
  <c r="AQ34" i="1"/>
  <c r="AQ43" i="1"/>
  <c r="I23" i="2"/>
  <c r="AC177" i="1"/>
  <c r="E23" i="1"/>
  <c r="E27" i="1"/>
  <c r="E72" i="1"/>
  <c r="E40" i="1"/>
  <c r="AA27" i="1"/>
  <c r="AA29" i="1"/>
  <c r="AA26" i="1"/>
  <c r="AC34" i="1"/>
  <c r="AC43" i="1"/>
  <c r="AC29" i="1"/>
  <c r="K188" i="1"/>
  <c r="K189" i="1" s="1"/>
  <c r="K21" i="1" s="1"/>
  <c r="O31" i="1"/>
  <c r="AA45" i="1"/>
  <c r="AA48" i="1"/>
  <c r="AA53" i="1"/>
  <c r="AA44" i="1"/>
  <c r="AL48" i="1"/>
  <c r="AL53" i="1"/>
  <c r="P61" i="1"/>
  <c r="P68" i="1" s="1"/>
  <c r="P50" i="1"/>
  <c r="Z229" i="1"/>
  <c r="K167" i="1"/>
  <c r="O167" i="1"/>
  <c r="K163" i="1"/>
  <c r="O44" i="1"/>
  <c r="O53" i="1"/>
  <c r="O45" i="1"/>
  <c r="O48" i="1"/>
  <c r="I53" i="1"/>
  <c r="I48" i="1"/>
  <c r="T378" i="1"/>
  <c r="X375" i="1"/>
  <c r="W375" i="1"/>
  <c r="W378" i="1" s="1"/>
  <c r="Z19" i="1"/>
  <c r="Z45" i="1" s="1"/>
  <c r="Z178" i="1"/>
  <c r="Z184" i="1"/>
  <c r="Z179" i="1"/>
  <c r="AG129" i="1"/>
  <c r="AG130" i="1" s="1"/>
  <c r="AG171" i="1" s="1"/>
  <c r="AG161" i="1"/>
  <c r="AG138" i="1"/>
  <c r="AG139" i="1" s="1"/>
  <c r="AG133" i="1" s="1"/>
  <c r="H43" i="1"/>
  <c r="H35" i="1"/>
  <c r="K183" i="1"/>
  <c r="O183" i="1"/>
  <c r="K177" i="1"/>
  <c r="AD146" i="1"/>
  <c r="AD129" i="1"/>
  <c r="AD130" i="1" s="1"/>
  <c r="AD171" i="1" s="1"/>
  <c r="AD161" i="1"/>
  <c r="AD131" i="1"/>
  <c r="AF31" i="104"/>
  <c r="AE31" i="104"/>
  <c r="AH31" i="104"/>
  <c r="AG31" i="104"/>
  <c r="AM234" i="1"/>
  <c r="AM157" i="1" s="1"/>
  <c r="J158" i="1"/>
  <c r="J172" i="1" s="1"/>
  <c r="J157" i="1"/>
  <c r="R19" i="1"/>
  <c r="R31" i="1" s="1"/>
  <c r="R179" i="1"/>
  <c r="T178" i="1"/>
  <c r="AK43" i="1"/>
  <c r="AK29" i="1"/>
  <c r="Q53" i="1"/>
  <c r="Q48" i="1"/>
  <c r="AG30" i="104"/>
  <c r="AH30" i="104"/>
  <c r="AE30" i="104"/>
  <c r="AF30" i="104"/>
  <c r="T14" i="104"/>
  <c r="AA23" i="1"/>
  <c r="AA72" i="1"/>
  <c r="AA40" i="1"/>
  <c r="AS226" i="1"/>
  <c r="AE176" i="1"/>
  <c r="AE183" i="1" s="1"/>
  <c r="AE162" i="1"/>
  <c r="AE167" i="1" s="1"/>
  <c r="AE153" i="1"/>
  <c r="AE158" i="1" s="1"/>
  <c r="AE172" i="1" s="1"/>
  <c r="AE188" i="1" s="1"/>
  <c r="AX121" i="1"/>
  <c r="AY120" i="1" s="1"/>
  <c r="AY122" i="1" s="1"/>
  <c r="AZ122" i="1" s="1"/>
  <c r="AY119" i="1"/>
  <c r="AH128" i="1"/>
  <c r="AI131" i="1"/>
  <c r="P54" i="1"/>
  <c r="P75" i="1" s="1"/>
  <c r="L35" i="1"/>
  <c r="L34" i="1"/>
  <c r="L43" i="1"/>
  <c r="P34" i="1"/>
  <c r="AP34" i="1"/>
  <c r="AP43" i="1"/>
  <c r="H23" i="2"/>
  <c r="S48" i="1"/>
  <c r="S44" i="1"/>
  <c r="S53" i="1"/>
  <c r="R44" i="1"/>
  <c r="R53" i="1"/>
  <c r="R48" i="1"/>
  <c r="AF29" i="104"/>
  <c r="AE29" i="104"/>
  <c r="AG29" i="104"/>
  <c r="AH29" i="104"/>
  <c r="F45" i="1"/>
  <c r="F48" i="1"/>
  <c r="F53" i="1"/>
  <c r="AF235" i="1"/>
  <c r="AS229" i="1"/>
  <c r="AD30" i="1"/>
  <c r="AE27" i="104"/>
  <c r="AF27" i="104"/>
  <c r="AG27" i="104"/>
  <c r="AH27" i="104"/>
  <c r="V168" i="1"/>
  <c r="Z168" i="1"/>
  <c r="T58" i="80"/>
  <c r="AF175" i="1"/>
  <c r="AF139" i="1"/>
  <c r="AF141" i="1"/>
  <c r="AF142" i="1" s="1"/>
  <c r="AF187" i="1" s="1"/>
  <c r="G163" i="1"/>
  <c r="AK163" i="1" s="1"/>
  <c r="AL163" i="1" s="1"/>
  <c r="AK162" i="1"/>
  <c r="AL162" i="1" s="1"/>
  <c r="AO43" i="1"/>
  <c r="AO29" i="1"/>
  <c r="G23" i="2"/>
  <c r="AF257" i="1"/>
  <c r="AS257" i="1" s="1"/>
  <c r="AS258" i="1"/>
  <c r="P30" i="1"/>
  <c r="AE23" i="104"/>
  <c r="AF23" i="104"/>
  <c r="AG23" i="104"/>
  <c r="AH23" i="104"/>
  <c r="S148" i="1"/>
  <c r="S151" i="1"/>
  <c r="S156" i="1" s="1"/>
  <c r="U23" i="1"/>
  <c r="U27" i="1"/>
  <c r="U40" i="1"/>
  <c r="E9" i="133"/>
  <c r="D11" i="133"/>
  <c r="D21" i="133"/>
  <c r="AE25" i="104"/>
  <c r="AF25" i="104"/>
  <c r="AG25" i="104"/>
  <c r="AH25" i="104"/>
  <c r="J45" i="1"/>
  <c r="J48" i="1"/>
  <c r="J53" i="1"/>
  <c r="AK176" i="1"/>
  <c r="AL176" i="1" s="1"/>
  <c r="G177" i="1"/>
  <c r="AA229" i="1"/>
  <c r="AA235" i="1" s="1"/>
  <c r="AA234" i="1" s="1"/>
  <c r="AA157" i="1" s="1"/>
  <c r="AB223" i="1"/>
  <c r="AG22" i="104"/>
  <c r="AE22" i="104"/>
  <c r="AF22" i="104"/>
  <c r="AH22" i="104"/>
  <c r="Y245" i="1"/>
  <c r="X34" i="1"/>
  <c r="X43" i="1"/>
  <c r="AB44" i="1" s="1"/>
  <c r="N146" i="1"/>
  <c r="N129" i="1"/>
  <c r="N130" i="1" s="1"/>
  <c r="N171" i="1" s="1"/>
  <c r="AN128" i="1"/>
  <c r="R129" i="1"/>
  <c r="R130" i="1" s="1"/>
  <c r="R171" i="1" s="1"/>
  <c r="N161" i="1"/>
  <c r="N131" i="1"/>
  <c r="AP141" i="1"/>
  <c r="AP142" i="1" s="1"/>
  <c r="AP187" i="1" s="1"/>
  <c r="AQ141" i="1"/>
  <c r="AQ142" i="1" s="1"/>
  <c r="AQ187" i="1" s="1"/>
  <c r="AP143" i="1"/>
  <c r="J91" i="2"/>
  <c r="F98" i="2"/>
  <c r="F99" i="2"/>
  <c r="AR129" i="1" l="1"/>
  <c r="AR130" i="1" s="1"/>
  <c r="AR171" i="1" s="1"/>
  <c r="AR131" i="1"/>
  <c r="I19" i="1"/>
  <c r="I178" i="1"/>
  <c r="I184" i="1"/>
  <c r="M178" i="1"/>
  <c r="M184" i="1"/>
  <c r="I179" i="1"/>
  <c r="AM177" i="1"/>
  <c r="T48" i="1"/>
  <c r="T44" i="1"/>
  <c r="T53" i="1"/>
  <c r="T45" i="1"/>
  <c r="E19" i="2"/>
  <c r="AG136" i="1"/>
  <c r="AG134" i="1"/>
  <c r="AG135" i="1" s="1"/>
  <c r="AC19" i="1"/>
  <c r="AC179" i="1"/>
  <c r="AB50" i="1"/>
  <c r="AB61" i="1"/>
  <c r="AM158" i="1"/>
  <c r="AM172" i="1" s="1"/>
  <c r="N54" i="1"/>
  <c r="N75" i="1" s="1"/>
  <c r="AP123" i="1"/>
  <c r="AP17" i="1" s="1"/>
  <c r="AP16" i="1"/>
  <c r="AP124" i="1"/>
  <c r="E28" i="2"/>
  <c r="E24" i="2"/>
  <c r="E18" i="133"/>
  <c r="E20" i="133"/>
  <c r="E21" i="133"/>
  <c r="G28" i="2"/>
  <c r="G19" i="2"/>
  <c r="H45" i="1"/>
  <c r="H48" i="1"/>
  <c r="H53" i="1"/>
  <c r="O54" i="1"/>
  <c r="O75" i="1" s="1"/>
  <c r="G61" i="1"/>
  <c r="G68" i="1" s="1"/>
  <c r="W49" i="1"/>
  <c r="W61" i="1"/>
  <c r="W68" i="1" s="1"/>
  <c r="X148" i="1"/>
  <c r="AQ146" i="1"/>
  <c r="X151" i="1"/>
  <c r="X156" i="1" s="1"/>
  <c r="AB151" i="1"/>
  <c r="AB156" i="1" s="1"/>
  <c r="AB229" i="1"/>
  <c r="AR223" i="1"/>
  <c r="J207" i="1"/>
  <c r="K207" i="1" s="1"/>
  <c r="AO48" i="1"/>
  <c r="AO53" i="1"/>
  <c r="AH129" i="1"/>
  <c r="AH130" i="1" s="1"/>
  <c r="AH171" i="1" s="1"/>
  <c r="AH138" i="1"/>
  <c r="AH139" i="1" s="1"/>
  <c r="AH133" i="1" s="1"/>
  <c r="AH161" i="1"/>
  <c r="Q61" i="1"/>
  <c r="Q68" i="1" s="1"/>
  <c r="AG163" i="1"/>
  <c r="AG168" i="1" s="1"/>
  <c r="AG166" i="1"/>
  <c r="K168" i="1"/>
  <c r="O168" i="1"/>
  <c r="K173" i="1"/>
  <c r="I28" i="2"/>
  <c r="I24" i="2"/>
  <c r="I19" i="2"/>
  <c r="M189" i="1"/>
  <c r="M21" i="1" s="1"/>
  <c r="M22" i="1" s="1"/>
  <c r="E55" i="1"/>
  <c r="E54" i="1"/>
  <c r="E75" i="1" s="1"/>
  <c r="Z50" i="1"/>
  <c r="Z49" i="1"/>
  <c r="Z61" i="1"/>
  <c r="Z68" i="1" s="1"/>
  <c r="AM30" i="1"/>
  <c r="AM48" i="1"/>
  <c r="AM44" i="1"/>
  <c r="AM53" i="1"/>
  <c r="S54" i="1"/>
  <c r="S75" i="1" s="1"/>
  <c r="AG173" i="1"/>
  <c r="AC30" i="1"/>
  <c r="AC31" i="1"/>
  <c r="AQ48" i="1"/>
  <c r="AQ44" i="1"/>
  <c r="AQ53" i="1"/>
  <c r="AB54" i="1"/>
  <c r="AB55" i="1"/>
  <c r="V23" i="1"/>
  <c r="V20" i="1"/>
  <c r="V27" i="1"/>
  <c r="V40" i="1"/>
  <c r="V72" i="1"/>
  <c r="V35" i="1"/>
  <c r="V31" i="1"/>
  <c r="AG189" i="1"/>
  <c r="AG21" i="1" s="1"/>
  <c r="Y49" i="1"/>
  <c r="Y61" i="1"/>
  <c r="Y68" i="1" s="1"/>
  <c r="E61" i="1"/>
  <c r="E68" i="1" s="1"/>
  <c r="E50" i="1"/>
  <c r="Q72" i="2"/>
  <c r="Z235" i="1"/>
  <c r="AQ229" i="1"/>
  <c r="AG183" i="1"/>
  <c r="AG177" i="1"/>
  <c r="AN129" i="1"/>
  <c r="AN130" i="1" s="1"/>
  <c r="AN171" i="1" s="1"/>
  <c r="AN131" i="1"/>
  <c r="H19" i="2"/>
  <c r="H28" i="2"/>
  <c r="H24" i="2"/>
  <c r="AQ182" i="1"/>
  <c r="R54" i="1"/>
  <c r="R75" i="1" s="1"/>
  <c r="AD54" i="1"/>
  <c r="AD75" i="1" s="1"/>
  <c r="Z54" i="1"/>
  <c r="Z75" i="1" s="1"/>
  <c r="N166" i="1"/>
  <c r="R166" i="1"/>
  <c r="AN161" i="1"/>
  <c r="AN166" i="1" s="1"/>
  <c r="G19" i="1"/>
  <c r="G179" i="1"/>
  <c r="AK177" i="1"/>
  <c r="Q54" i="1"/>
  <c r="Q75" i="1" s="1"/>
  <c r="Q55" i="1"/>
  <c r="Q57" i="1" s="1"/>
  <c r="AC44" i="1"/>
  <c r="AC53" i="1"/>
  <c r="AC45" i="1"/>
  <c r="AC48" i="1"/>
  <c r="AQ30" i="1"/>
  <c r="Y176" i="1"/>
  <c r="Y153" i="1"/>
  <c r="Y158" i="1" s="1"/>
  <c r="Y172" i="1" s="1"/>
  <c r="Y162" i="1"/>
  <c r="AC153" i="1"/>
  <c r="AC158" i="1" s="1"/>
  <c r="AC172" i="1" s="1"/>
  <c r="E51" i="2"/>
  <c r="AO131" i="1"/>
  <c r="AO129" i="1"/>
  <c r="AO130" i="1" s="1"/>
  <c r="AO171" i="1" s="1"/>
  <c r="Y55" i="1"/>
  <c r="Y57" i="1" s="1"/>
  <c r="Y58" i="1" s="1"/>
  <c r="Y54" i="1"/>
  <c r="Y75" i="1" s="1"/>
  <c r="W146" i="1"/>
  <c r="AA129" i="1"/>
  <c r="AA130" i="1" s="1"/>
  <c r="AA171" i="1" s="1"/>
  <c r="W131" i="1"/>
  <c r="W161" i="1"/>
  <c r="AP128" i="1"/>
  <c r="W129" i="1"/>
  <c r="W130" i="1" s="1"/>
  <c r="W171" i="1" s="1"/>
  <c r="S49" i="1"/>
  <c r="S61" i="1"/>
  <c r="S68" i="1" s="1"/>
  <c r="S176" i="1"/>
  <c r="S153" i="1"/>
  <c r="S158" i="1" s="1"/>
  <c r="S172" i="1" s="1"/>
  <c r="S162" i="1"/>
  <c r="Q166" i="1"/>
  <c r="U166" i="1"/>
  <c r="AO161" i="1"/>
  <c r="AO166" i="1" s="1"/>
  <c r="U55" i="1"/>
  <c r="U57" i="1" s="1"/>
  <c r="U58" i="1" s="1"/>
  <c r="U54" i="1"/>
  <c r="U75" i="1" s="1"/>
  <c r="T9" i="80"/>
  <c r="T37" i="80"/>
  <c r="T25" i="80"/>
  <c r="U29" i="80"/>
  <c r="U28" i="80"/>
  <c r="U37" i="80"/>
  <c r="U11" i="80"/>
  <c r="J50" i="1"/>
  <c r="J49" i="1"/>
  <c r="J61" i="1"/>
  <c r="J68" i="1" s="1"/>
  <c r="F61" i="1"/>
  <c r="F68" i="1" s="1"/>
  <c r="F50" i="1"/>
  <c r="AP48" i="1"/>
  <c r="AP44" i="1"/>
  <c r="AP53" i="1"/>
  <c r="AK48" i="1"/>
  <c r="AK53" i="1"/>
  <c r="P76" i="1"/>
  <c r="P70" i="1"/>
  <c r="AM183" i="1"/>
  <c r="F14" i="133"/>
  <c r="Z8" i="80"/>
  <c r="AR14" i="1"/>
  <c r="AR120" i="1"/>
  <c r="AZ124" i="1"/>
  <c r="AR122" i="1"/>
  <c r="AP30" i="1"/>
  <c r="D48" i="1"/>
  <c r="D53" i="1"/>
  <c r="D45" i="1"/>
  <c r="Z20" i="1"/>
  <c r="Z23" i="1"/>
  <c r="Z72" i="1"/>
  <c r="Z40" i="1"/>
  <c r="Z27" i="1"/>
  <c r="Z35" i="1"/>
  <c r="N148" i="1"/>
  <c r="N151" i="1"/>
  <c r="N156" i="1" s="1"/>
  <c r="AN146" i="1"/>
  <c r="AN151" i="1" s="1"/>
  <c r="AN156" i="1" s="1"/>
  <c r="R151" i="1"/>
  <c r="R156" i="1" s="1"/>
  <c r="AF133" i="1"/>
  <c r="AD166" i="1"/>
  <c r="V55" i="1"/>
  <c r="V57" i="1" s="1"/>
  <c r="V54" i="1"/>
  <c r="V75" i="1" s="1"/>
  <c r="X48" i="1"/>
  <c r="AB49" i="1" s="1"/>
  <c r="X44" i="1"/>
  <c r="X53" i="1"/>
  <c r="X378" i="1"/>
  <c r="AA375" i="1"/>
  <c r="AA378" i="1" s="1"/>
  <c r="AB378" i="1" s="1"/>
  <c r="AL54" i="1"/>
  <c r="AL75" i="1" s="1"/>
  <c r="AL55" i="1"/>
  <c r="AA30" i="1"/>
  <c r="AA31" i="1"/>
  <c r="U49" i="1"/>
  <c r="U61" i="1"/>
  <c r="U68" i="1" s="1"/>
  <c r="U50" i="1"/>
  <c r="S58" i="80"/>
  <c r="AE175" i="1"/>
  <c r="AR140" i="1"/>
  <c r="AE141" i="1"/>
  <c r="AE142" i="1" s="1"/>
  <c r="AE187" i="1" s="1"/>
  <c r="AE189" i="1" s="1"/>
  <c r="AE21" i="1" s="1"/>
  <c r="Q148" i="1"/>
  <c r="AO146" i="1"/>
  <c r="Q151" i="1"/>
  <c r="Q156" i="1" s="1"/>
  <c r="U151" i="1"/>
  <c r="U156" i="1" s="1"/>
  <c r="U13" i="104"/>
  <c r="V13" i="104"/>
  <c r="W13" i="104"/>
  <c r="X13" i="104"/>
  <c r="K31" i="1"/>
  <c r="O30" i="1"/>
  <c r="AF166" i="1"/>
  <c r="AF182" i="1"/>
  <c r="AL61" i="1"/>
  <c r="AL68" i="1" s="1"/>
  <c r="O189" i="1"/>
  <c r="O21" i="1" s="1"/>
  <c r="O22" i="1" s="1"/>
  <c r="V49" i="1"/>
  <c r="V61" i="1"/>
  <c r="V68" i="1" s="1"/>
  <c r="V50" i="1"/>
  <c r="S8" i="80"/>
  <c r="J16" i="104"/>
  <c r="J17" i="104"/>
  <c r="T54" i="80"/>
  <c r="T55" i="80" s="1"/>
  <c r="T59" i="80"/>
  <c r="L44" i="1"/>
  <c r="L53" i="1"/>
  <c r="L45" i="1"/>
  <c r="L48" i="1"/>
  <c r="P44" i="1"/>
  <c r="AH151" i="1"/>
  <c r="AH146" i="1"/>
  <c r="AD148" i="1"/>
  <c r="AD151" i="1"/>
  <c r="AD156" i="1" s="1"/>
  <c r="AR146" i="1"/>
  <c r="AR151" i="1" s="1"/>
  <c r="AR156" i="1" s="1"/>
  <c r="I50" i="1"/>
  <c r="I49" i="1"/>
  <c r="I61" i="1"/>
  <c r="I68" i="1" s="1"/>
  <c r="O173" i="1"/>
  <c r="V45" i="1"/>
  <c r="AI119" i="1"/>
  <c r="U12" i="104"/>
  <c r="V12" i="104"/>
  <c r="W12" i="104"/>
  <c r="X12" i="104"/>
  <c r="K27" i="104"/>
  <c r="L27" i="104"/>
  <c r="M27" i="104"/>
  <c r="N27" i="104"/>
  <c r="AN39" i="1"/>
  <c r="AN33" i="1"/>
  <c r="AO39" i="1"/>
  <c r="AM167" i="1"/>
  <c r="AQ129" i="1"/>
  <c r="AQ130" i="1" s="1"/>
  <c r="AQ171" i="1" s="1"/>
  <c r="AQ131" i="1"/>
  <c r="AF234" i="1"/>
  <c r="AS235" i="1"/>
  <c r="J54" i="1"/>
  <c r="J75" i="1" s="1"/>
  <c r="J55" i="1"/>
  <c r="F54" i="1"/>
  <c r="F75" i="1" s="1"/>
  <c r="K26" i="104"/>
  <c r="L26" i="104"/>
  <c r="M26" i="104"/>
  <c r="N26" i="104"/>
  <c r="AQ16" i="1"/>
  <c r="AQ123" i="1"/>
  <c r="AQ17" i="1" s="1"/>
  <c r="AQ124" i="1"/>
  <c r="M33" i="1"/>
  <c r="M40" i="1"/>
  <c r="M39" i="1"/>
  <c r="P108" i="1"/>
  <c r="Q39" i="1"/>
  <c r="O108" i="1"/>
  <c r="N108" i="1"/>
  <c r="M108" i="1"/>
  <c r="I168" i="1"/>
  <c r="AM163" i="1"/>
  <c r="AM168" i="1" s="1"/>
  <c r="M168" i="1"/>
  <c r="AB166" i="1"/>
  <c r="AQ161" i="1"/>
  <c r="X166" i="1"/>
  <c r="D60" i="2"/>
  <c r="AE138" i="1"/>
  <c r="AR138" i="1" s="1"/>
  <c r="AE129" i="1"/>
  <c r="AE130" i="1" s="1"/>
  <c r="AE171" i="1" s="1"/>
  <c r="AE173" i="1" s="1"/>
  <c r="AE161" i="1"/>
  <c r="AR161" i="1" s="1"/>
  <c r="AR166" i="1" s="1"/>
  <c r="K19" i="1"/>
  <c r="K178" i="1"/>
  <c r="K184" i="1"/>
  <c r="K179" i="1"/>
  <c r="O178" i="1"/>
  <c r="O184" i="1"/>
  <c r="K50" i="1"/>
  <c r="K61" i="1"/>
  <c r="K68" i="1" s="1"/>
  <c r="K49" i="1"/>
  <c r="AI167" i="1"/>
  <c r="Z245" i="1"/>
  <c r="Y246" i="1"/>
  <c r="V14" i="104"/>
  <c r="X14" i="104"/>
  <c r="U14" i="104"/>
  <c r="W14" i="104"/>
  <c r="R23" i="1"/>
  <c r="R40" i="1"/>
  <c r="R27" i="1"/>
  <c r="R72" i="1"/>
  <c r="R35" i="1"/>
  <c r="I54" i="1"/>
  <c r="I75" i="1" s="1"/>
  <c r="AA54" i="1"/>
  <c r="AA75" i="1" s="1"/>
  <c r="AA55" i="1"/>
  <c r="AA57" i="1" s="1"/>
  <c r="X30" i="1"/>
  <c r="AB30" i="1"/>
  <c r="L25" i="104"/>
  <c r="N25" i="104"/>
  <c r="K25" i="104"/>
  <c r="M25" i="104"/>
  <c r="D18" i="133"/>
  <c r="E10" i="133"/>
  <c r="R49" i="1"/>
  <c r="R61" i="1"/>
  <c r="R68" i="1" s="1"/>
  <c r="R50" i="1"/>
  <c r="O49" i="1"/>
  <c r="O50" i="1"/>
  <c r="O61" i="1"/>
  <c r="O68" i="1" s="1"/>
  <c r="AA50" i="1"/>
  <c r="AA61" i="1"/>
  <c r="AA68" i="1" s="1"/>
  <c r="AA49" i="1"/>
  <c r="AD49" i="1"/>
  <c r="AD61" i="1"/>
  <c r="AD68" i="1" s="1"/>
  <c r="K54" i="1"/>
  <c r="K75" i="1" s="1"/>
  <c r="K55" i="1"/>
  <c r="W54" i="1"/>
  <c r="W75" i="1" s="1"/>
  <c r="W55" i="1"/>
  <c r="W57" i="1" s="1"/>
  <c r="AI183" i="1"/>
  <c r="L24" i="104"/>
  <c r="M24" i="104"/>
  <c r="K24" i="104"/>
  <c r="N24" i="104"/>
  <c r="R45" i="1"/>
  <c r="P55" i="1"/>
  <c r="P57" i="1" s="1"/>
  <c r="P58" i="1" s="1"/>
  <c r="J173" i="1"/>
  <c r="J188" i="1"/>
  <c r="J189" i="1" s="1"/>
  <c r="J21" i="1" s="1"/>
  <c r="P20" i="1"/>
  <c r="P23" i="1"/>
  <c r="P27" i="1"/>
  <c r="P72" i="1"/>
  <c r="P40" i="1"/>
  <c r="P35" i="1"/>
  <c r="P45" i="1"/>
  <c r="P31" i="1"/>
  <c r="G54" i="1"/>
  <c r="G75" i="1" s="1"/>
  <c r="G55" i="1"/>
  <c r="N49" i="1"/>
  <c r="N61" i="1"/>
  <c r="N68" i="1" s="1"/>
  <c r="T31" i="1"/>
  <c r="T30" i="1"/>
  <c r="AA76" i="1" l="1"/>
  <c r="AA69" i="1"/>
  <c r="AA70" i="1"/>
  <c r="S54" i="80"/>
  <c r="S55" i="80" s="1"/>
  <c r="S59" i="80"/>
  <c r="T18" i="80"/>
  <c r="T24" i="80"/>
  <c r="Z55" i="1"/>
  <c r="Z57" i="1" s="1"/>
  <c r="Z58" i="1" s="1"/>
  <c r="Z234" i="1"/>
  <c r="AQ235" i="1"/>
  <c r="AM49" i="1"/>
  <c r="AM61" i="1"/>
  <c r="AM68" i="1" s="1"/>
  <c r="AM50" i="1"/>
  <c r="AB235" i="1"/>
  <c r="AR229" i="1"/>
  <c r="H54" i="1"/>
  <c r="H75" i="1" s="1"/>
  <c r="N55" i="1"/>
  <c r="N57" i="1" s="1"/>
  <c r="N58" i="1" s="1"/>
  <c r="P83" i="1"/>
  <c r="K17" i="104"/>
  <c r="L17" i="104"/>
  <c r="M17" i="104"/>
  <c r="N17" i="104"/>
  <c r="I69" i="1"/>
  <c r="I76" i="1"/>
  <c r="I70" i="1"/>
  <c r="L16" i="104"/>
  <c r="M16" i="104"/>
  <c r="N16" i="104"/>
  <c r="K16" i="104"/>
  <c r="U76" i="1"/>
  <c r="U69" i="1"/>
  <c r="U70" i="1"/>
  <c r="D54" i="1"/>
  <c r="D75" i="1" s="1"/>
  <c r="D55" i="1"/>
  <c r="AK61" i="1"/>
  <c r="AK68" i="1" s="1"/>
  <c r="AK50" i="1"/>
  <c r="AP131" i="1"/>
  <c r="AP129" i="1"/>
  <c r="AP130" i="1" s="1"/>
  <c r="AP171" i="1" s="1"/>
  <c r="AC61" i="1"/>
  <c r="AC68" i="1" s="1"/>
  <c r="AC50" i="1"/>
  <c r="AC49" i="1"/>
  <c r="AD55" i="1"/>
  <c r="AD57" i="1" s="1"/>
  <c r="R72" i="2"/>
  <c r="AB57" i="1"/>
  <c r="AM188" i="1"/>
  <c r="AM173" i="1"/>
  <c r="T54" i="1"/>
  <c r="T75" i="1" s="1"/>
  <c r="S37" i="80"/>
  <c r="W16" i="80"/>
  <c r="S25" i="80"/>
  <c r="S9" i="80"/>
  <c r="S11" i="80"/>
  <c r="T28" i="80"/>
  <c r="T29" i="80"/>
  <c r="W14" i="80"/>
  <c r="W15" i="80"/>
  <c r="D61" i="1"/>
  <c r="D68" i="1" s="1"/>
  <c r="D50" i="1"/>
  <c r="AP54" i="1"/>
  <c r="AP75" i="1" s="1"/>
  <c r="T11" i="80"/>
  <c r="AP161" i="1"/>
  <c r="AP166" i="1" s="1"/>
  <c r="W166" i="1"/>
  <c r="AA166" i="1"/>
  <c r="AB75" i="1"/>
  <c r="AB68" i="1"/>
  <c r="D64" i="2"/>
  <c r="D83" i="2"/>
  <c r="AQ166" i="1"/>
  <c r="AN34" i="1"/>
  <c r="AN43" i="1"/>
  <c r="F23" i="2"/>
  <c r="AN29" i="1"/>
  <c r="AO34" i="1"/>
  <c r="AF134" i="1"/>
  <c r="AF135" i="1" s="1"/>
  <c r="AF136" i="1"/>
  <c r="AC54" i="1"/>
  <c r="AC75" i="1" s="1"/>
  <c r="AC55" i="1"/>
  <c r="AC57" i="1" s="1"/>
  <c r="AC58" i="1" s="1"/>
  <c r="R55" i="1"/>
  <c r="R57" i="1" s="1"/>
  <c r="AQ55" i="1"/>
  <c r="AQ57" i="1" s="1"/>
  <c r="AQ54" i="1"/>
  <c r="AQ75" i="1" s="1"/>
  <c r="Z69" i="1"/>
  <c r="Z70" i="1"/>
  <c r="Z76" i="1"/>
  <c r="T49" i="1"/>
  <c r="T61" i="1"/>
  <c r="T68" i="1" s="1"/>
  <c r="T50" i="1"/>
  <c r="N76" i="1"/>
  <c r="N69" i="1"/>
  <c r="V69" i="1"/>
  <c r="V70" i="1"/>
  <c r="V76" i="1"/>
  <c r="AP49" i="1"/>
  <c r="AP61" i="1"/>
  <c r="AP68" i="1" s="1"/>
  <c r="E76" i="1"/>
  <c r="E83" i="1" s="1"/>
  <c r="E70" i="1"/>
  <c r="Q76" i="1"/>
  <c r="AM19" i="1"/>
  <c r="AM184" i="1"/>
  <c r="AM179" i="1"/>
  <c r="AM178" i="1"/>
  <c r="H50" i="1"/>
  <c r="H49" i="1"/>
  <c r="H61" i="1"/>
  <c r="H68" i="1" s="1"/>
  <c r="AQ245" i="1"/>
  <c r="AA58" i="1"/>
  <c r="R70" i="1"/>
  <c r="R76" i="1"/>
  <c r="R69" i="1"/>
  <c r="I55" i="1"/>
  <c r="W148" i="1"/>
  <c r="AP146" i="1"/>
  <c r="AP151" i="1" s="1"/>
  <c r="AP156" i="1" s="1"/>
  <c r="W151" i="1"/>
  <c r="W156" i="1" s="1"/>
  <c r="AA151" i="1"/>
  <c r="AA156" i="1" s="1"/>
  <c r="Y69" i="1"/>
  <c r="Y76" i="1"/>
  <c r="AQ49" i="1"/>
  <c r="AQ61" i="1"/>
  <c r="AQ68" i="1" s="1"/>
  <c r="G38" i="2"/>
  <c r="G72" i="2"/>
  <c r="V58" i="1"/>
  <c r="K76" i="1"/>
  <c r="K69" i="1"/>
  <c r="K70" i="1"/>
  <c r="AD176" i="1"/>
  <c r="AD162" i="1"/>
  <c r="AD153" i="1"/>
  <c r="AD158" i="1" s="1"/>
  <c r="AD172" i="1" s="1"/>
  <c r="AR148" i="1"/>
  <c r="BA119" i="1"/>
  <c r="AZ121" i="1"/>
  <c r="AH166" i="1"/>
  <c r="AQ151" i="1"/>
  <c r="AQ156" i="1" s="1"/>
  <c r="AE177" i="1"/>
  <c r="AE182" i="1"/>
  <c r="AR175" i="1"/>
  <c r="AR182" i="1" s="1"/>
  <c r="W58" i="1"/>
  <c r="AC378" i="1"/>
  <c r="AB375" i="1"/>
  <c r="N176" i="1"/>
  <c r="R153" i="1"/>
  <c r="R158" i="1" s="1"/>
  <c r="R172" i="1" s="1"/>
  <c r="AN148" i="1"/>
  <c r="AN153" i="1" s="1"/>
  <c r="AN158" i="1" s="1"/>
  <c r="AN172" i="1" s="1"/>
  <c r="AN188" i="1" s="1"/>
  <c r="AN189" i="1" s="1"/>
  <c r="AN21" i="1" s="1"/>
  <c r="N162" i="1"/>
  <c r="N153" i="1"/>
  <c r="N158" i="1" s="1"/>
  <c r="N172" i="1" s="1"/>
  <c r="AR15" i="1"/>
  <c r="AR121" i="1"/>
  <c r="F70" i="1"/>
  <c r="F76" i="1"/>
  <c r="F83" i="1" s="1"/>
  <c r="AH136" i="1"/>
  <c r="AH134" i="1"/>
  <c r="AH135" i="1" s="1"/>
  <c r="X176" i="1"/>
  <c r="X153" i="1"/>
  <c r="X158" i="1" s="1"/>
  <c r="X172" i="1" s="1"/>
  <c r="AQ148" i="1"/>
  <c r="AB153" i="1"/>
  <c r="X162" i="1"/>
  <c r="T31" i="80"/>
  <c r="T36" i="80"/>
  <c r="T30" i="80" s="1"/>
  <c r="O70" i="1"/>
  <c r="O69" i="1"/>
  <c r="O76" i="1"/>
  <c r="E17" i="133"/>
  <c r="E12" i="133"/>
  <c r="E19" i="133" s="1"/>
  <c r="AH148" i="1"/>
  <c r="AS146" i="1"/>
  <c r="AS151" i="1" s="1"/>
  <c r="AS156" i="1" s="1"/>
  <c r="F55" i="1"/>
  <c r="AL76" i="1"/>
  <c r="AL83" i="1" s="1"/>
  <c r="AO151" i="1"/>
  <c r="AO156" i="1" s="1"/>
  <c r="J32" i="104"/>
  <c r="J33" i="104"/>
  <c r="J34" i="104"/>
  <c r="J35" i="104"/>
  <c r="J38" i="104"/>
  <c r="J39" i="104"/>
  <c r="J40" i="104"/>
  <c r="J69" i="1"/>
  <c r="J70" i="1"/>
  <c r="J76" i="1"/>
  <c r="AL177" i="1"/>
  <c r="AK19" i="1"/>
  <c r="AK179" i="1"/>
  <c r="H29" i="2"/>
  <c r="H38" i="2"/>
  <c r="H72" i="2"/>
  <c r="W69" i="1"/>
  <c r="W76" i="1"/>
  <c r="Q176" i="1"/>
  <c r="U153" i="1"/>
  <c r="U158" i="1" s="1"/>
  <c r="U172" i="1" s="1"/>
  <c r="AO148" i="1"/>
  <c r="Q162" i="1"/>
  <c r="Q153" i="1"/>
  <c r="Q158" i="1" s="1"/>
  <c r="Q172" i="1" s="1"/>
  <c r="X55" i="1"/>
  <c r="X57" i="1" s="1"/>
  <c r="X54" i="1"/>
  <c r="X75" i="1" s="1"/>
  <c r="Z9" i="80"/>
  <c r="AA16" i="80"/>
  <c r="AA14" i="80"/>
  <c r="AA15" i="80"/>
  <c r="S167" i="1"/>
  <c r="S163" i="1"/>
  <c r="S168" i="1" s="1"/>
  <c r="H20" i="2"/>
  <c r="AO54" i="1"/>
  <c r="AO75" i="1" s="1"/>
  <c r="Y183" i="1"/>
  <c r="Y177" i="1"/>
  <c r="AC183" i="1"/>
  <c r="Z246" i="1"/>
  <c r="AA246" i="1" s="1"/>
  <c r="AQ246" i="1"/>
  <c r="AK54" i="1"/>
  <c r="AK75" i="1" s="1"/>
  <c r="AK55" i="1"/>
  <c r="F21" i="133"/>
  <c r="G9" i="133"/>
  <c r="F11" i="133"/>
  <c r="S188" i="1"/>
  <c r="S189" i="1" s="1"/>
  <c r="S21" i="1" s="1"/>
  <c r="S22" i="1" s="1"/>
  <c r="S173" i="1"/>
  <c r="G23" i="1"/>
  <c r="G27" i="1"/>
  <c r="G72" i="1"/>
  <c r="G40" i="1"/>
  <c r="G35" i="1"/>
  <c r="G31" i="1"/>
  <c r="G45" i="1"/>
  <c r="I20" i="2"/>
  <c r="AC23" i="1"/>
  <c r="AC27" i="1"/>
  <c r="AC40" i="1"/>
  <c r="AC72" i="1"/>
  <c r="AC35" i="1"/>
  <c r="I20" i="1"/>
  <c r="I23" i="1"/>
  <c r="I40" i="1"/>
  <c r="I27" i="1"/>
  <c r="M20" i="1"/>
  <c r="I35" i="1"/>
  <c r="I72" i="1"/>
  <c r="I31" i="1"/>
  <c r="I45" i="1"/>
  <c r="M35" i="1"/>
  <c r="M34" i="1"/>
  <c r="M43" i="1"/>
  <c r="M29" i="1"/>
  <c r="Q34" i="1"/>
  <c r="L50" i="1"/>
  <c r="L49" i="1"/>
  <c r="L61" i="1"/>
  <c r="L68" i="1" s="1"/>
  <c r="P49" i="1"/>
  <c r="AD76" i="1"/>
  <c r="AD69" i="1"/>
  <c r="K20" i="1"/>
  <c r="K23" i="1"/>
  <c r="K40" i="1"/>
  <c r="K35" i="1"/>
  <c r="K72" i="1"/>
  <c r="K45" i="1"/>
  <c r="K27" i="1"/>
  <c r="O20" i="1"/>
  <c r="X49" i="1"/>
  <c r="X61" i="1"/>
  <c r="X68" i="1" s="1"/>
  <c r="S183" i="1"/>
  <c r="S177" i="1"/>
  <c r="AC188" i="1"/>
  <c r="AC189" i="1" s="1"/>
  <c r="AC21" i="1" s="1"/>
  <c r="AC22" i="1" s="1"/>
  <c r="S55" i="1"/>
  <c r="S57" i="1" s="1"/>
  <c r="S58" i="1" s="1"/>
  <c r="AO61" i="1"/>
  <c r="AO68" i="1" s="1"/>
  <c r="G70" i="1"/>
  <c r="G76" i="1"/>
  <c r="G83" i="1" s="1"/>
  <c r="E29" i="2"/>
  <c r="E38" i="2"/>
  <c r="E72" i="2"/>
  <c r="AE166" i="1"/>
  <c r="AE163" i="1"/>
  <c r="AE168" i="1" s="1"/>
  <c r="L54" i="1"/>
  <c r="L75" i="1" s="1"/>
  <c r="AE139" i="1"/>
  <c r="U31" i="80"/>
  <c r="U36" i="80"/>
  <c r="U30" i="80" s="1"/>
  <c r="Y167" i="1"/>
  <c r="AC167" i="1"/>
  <c r="Y163" i="1"/>
  <c r="AC173" i="1" s="1"/>
  <c r="AG19" i="1"/>
  <c r="AG179" i="1"/>
  <c r="AG178" i="1"/>
  <c r="AG184" i="1"/>
  <c r="I29" i="2"/>
  <c r="I38" i="2"/>
  <c r="J34" i="2"/>
  <c r="I72" i="2"/>
  <c r="G50" i="1"/>
  <c r="AI14" i="1"/>
  <c r="AI140" i="1"/>
  <c r="AI122" i="1"/>
  <c r="AS119" i="1"/>
  <c r="AF152" i="1"/>
  <c r="AF147" i="1" s="1"/>
  <c r="AS234" i="1"/>
  <c r="Z58" i="80"/>
  <c r="AR141" i="1"/>
  <c r="AR142" i="1" s="1"/>
  <c r="AR187" i="1" s="1"/>
  <c r="AR143" i="1"/>
  <c r="S69" i="1"/>
  <c r="S76" i="1"/>
  <c r="Y188" i="1"/>
  <c r="Y189" i="1" s="1"/>
  <c r="Y21" i="1" s="1"/>
  <c r="Y173" i="1"/>
  <c r="AM54" i="1"/>
  <c r="AM75" i="1" s="1"/>
  <c r="O55" i="1"/>
  <c r="O57" i="1" s="1"/>
  <c r="O58" i="1" s="1"/>
  <c r="AI128" i="1"/>
  <c r="W77" i="1" l="1"/>
  <c r="W83" i="1"/>
  <c r="AK27" i="1"/>
  <c r="AK72" i="1"/>
  <c r="AK40" i="1"/>
  <c r="AK35" i="1"/>
  <c r="AK31" i="1"/>
  <c r="AK45" i="1"/>
  <c r="AB234" i="1"/>
  <c r="AR235" i="1"/>
  <c r="AA8" i="80"/>
  <c r="AA9" i="80" s="1"/>
  <c r="G14" i="133"/>
  <c r="AS120" i="1"/>
  <c r="AS122" i="1"/>
  <c r="AB246" i="1"/>
  <c r="AA252" i="1"/>
  <c r="AA258" i="1" s="1"/>
  <c r="AA257" i="1" s="1"/>
  <c r="Q188" i="1"/>
  <c r="Q189" i="1" s="1"/>
  <c r="Q21" i="1" s="1"/>
  <c r="Q22" i="1" s="1"/>
  <c r="Q173" i="1"/>
  <c r="AL19" i="1"/>
  <c r="AL179" i="1"/>
  <c r="AQ69" i="1"/>
  <c r="AQ76" i="1"/>
  <c r="S72" i="2"/>
  <c r="AD188" i="1"/>
  <c r="AD189" i="1" s="1"/>
  <c r="AD21" i="1" s="1"/>
  <c r="AD173" i="1"/>
  <c r="AS147" i="1"/>
  <c r="AS152" i="1" s="1"/>
  <c r="AS157" i="1" s="1"/>
  <c r="AF148" i="1"/>
  <c r="AO76" i="1"/>
  <c r="Z77" i="1"/>
  <c r="Z83" i="1"/>
  <c r="D70" i="1"/>
  <c r="D76" i="1"/>
  <c r="D83" i="1" s="1"/>
  <c r="Q167" i="1"/>
  <c r="AO162" i="1"/>
  <c r="U167" i="1"/>
  <c r="Q163" i="1"/>
  <c r="AH176" i="1"/>
  <c r="AH153" i="1"/>
  <c r="AH158" i="1" s="1"/>
  <c r="AH172" i="1" s="1"/>
  <c r="AH162" i="1"/>
  <c r="Z252" i="1"/>
  <c r="AP69" i="1"/>
  <c r="AP76" i="1"/>
  <c r="AD58" i="1"/>
  <c r="AM76" i="1"/>
  <c r="AM70" i="1"/>
  <c r="AM69" i="1"/>
  <c r="Y19" i="1"/>
  <c r="Y178" i="1"/>
  <c r="Y184" i="1"/>
  <c r="Y179" i="1"/>
  <c r="AC178" i="1"/>
  <c r="AC184" i="1"/>
  <c r="AO153" i="1"/>
  <c r="AO158" i="1" s="1"/>
  <c r="AO172" i="1" s="1"/>
  <c r="J77" i="1"/>
  <c r="J83" i="1"/>
  <c r="Z10" i="80"/>
  <c r="AR123" i="1"/>
  <c r="AR17" i="1" s="1"/>
  <c r="AR16" i="1"/>
  <c r="AR124" i="1"/>
  <c r="BA121" i="1"/>
  <c r="BA120" i="1"/>
  <c r="BA124" i="1" s="1"/>
  <c r="H69" i="1"/>
  <c r="H70" i="1"/>
  <c r="H76" i="1"/>
  <c r="AI161" i="1"/>
  <c r="AI138" i="1"/>
  <c r="AS138" i="1" s="1"/>
  <c r="AI129" i="1"/>
  <c r="AI130" i="1" s="1"/>
  <c r="AI171" i="1" s="1"/>
  <c r="AI173" i="1" s="1"/>
  <c r="AS128" i="1"/>
  <c r="W58" i="80"/>
  <c r="AI175" i="1"/>
  <c r="AI141" i="1"/>
  <c r="AI142" i="1" s="1"/>
  <c r="AI187" i="1" s="1"/>
  <c r="AI189" i="1" s="1"/>
  <c r="AI21" i="1" s="1"/>
  <c r="AI22" i="1" s="1"/>
  <c r="AS140" i="1"/>
  <c r="W8" i="80"/>
  <c r="AS14" i="1"/>
  <c r="AE133" i="1"/>
  <c r="AR139" i="1"/>
  <c r="AN173" i="1"/>
  <c r="U188" i="1"/>
  <c r="U189" i="1" s="1"/>
  <c r="U21" i="1" s="1"/>
  <c r="U22" i="1" s="1"/>
  <c r="BA122" i="1"/>
  <c r="I77" i="1"/>
  <c r="I83" i="1"/>
  <c r="AM55" i="1"/>
  <c r="L55" i="1"/>
  <c r="AO55" i="1"/>
  <c r="AO57" i="1" s="1"/>
  <c r="Q177" i="1"/>
  <c r="Q183" i="1"/>
  <c r="AO176" i="1"/>
  <c r="AO183" i="1" s="1"/>
  <c r="U183" i="1"/>
  <c r="O77" i="1"/>
  <c r="O83" i="1"/>
  <c r="N188" i="1"/>
  <c r="N189" i="1" s="1"/>
  <c r="N21" i="1" s="1"/>
  <c r="N22" i="1" s="1"/>
  <c r="N173" i="1"/>
  <c r="AR153" i="1"/>
  <c r="Y77" i="1"/>
  <c r="Y83" i="1"/>
  <c r="V77" i="1"/>
  <c r="V83" i="1"/>
  <c r="R58" i="1"/>
  <c r="AB70" i="1"/>
  <c r="AB76" i="1"/>
  <c r="AB69" i="1"/>
  <c r="AC69" i="1"/>
  <c r="AC76" i="1"/>
  <c r="AC70" i="1"/>
  <c r="Z157" i="1"/>
  <c r="AQ234" i="1"/>
  <c r="AQ157" i="1" s="1"/>
  <c r="Z158" i="1"/>
  <c r="Z172" i="1" s="1"/>
  <c r="S19" i="1"/>
  <c r="S179" i="1"/>
  <c r="S178" i="1"/>
  <c r="S184" i="1"/>
  <c r="AD77" i="1"/>
  <c r="AD83" i="1"/>
  <c r="K39" i="104"/>
  <c r="L39" i="104"/>
  <c r="M39" i="104"/>
  <c r="N39" i="104"/>
  <c r="F10" i="2"/>
  <c r="AD167" i="1"/>
  <c r="AR162" i="1"/>
  <c r="AR167" i="1" s="1"/>
  <c r="AD163" i="1"/>
  <c r="S24" i="80"/>
  <c r="S17" i="80" s="1"/>
  <c r="S18" i="80"/>
  <c r="T17" i="80"/>
  <c r="N167" i="1"/>
  <c r="R167" i="1"/>
  <c r="AN162" i="1"/>
  <c r="AN167" i="1" s="1"/>
  <c r="N163" i="1"/>
  <c r="Y22" i="1"/>
  <c r="L38" i="104"/>
  <c r="K38" i="104"/>
  <c r="M38" i="104"/>
  <c r="N38" i="104"/>
  <c r="I53" i="2"/>
  <c r="I39" i="2"/>
  <c r="I84" i="2"/>
  <c r="I45" i="2"/>
  <c r="I81" i="2"/>
  <c r="R188" i="1"/>
  <c r="AD183" i="1"/>
  <c r="AD177" i="1"/>
  <c r="AR176" i="1"/>
  <c r="S77" i="1"/>
  <c r="S83" i="1"/>
  <c r="X69" i="1"/>
  <c r="X76" i="1"/>
  <c r="L70" i="1"/>
  <c r="L69" i="1"/>
  <c r="L76" i="1"/>
  <c r="P69" i="1"/>
  <c r="K35" i="104"/>
  <c r="L35" i="104"/>
  <c r="M35" i="104"/>
  <c r="N35" i="104"/>
  <c r="N183" i="1"/>
  <c r="AN176" i="1"/>
  <c r="AN183" i="1" s="1"/>
  <c r="R183" i="1"/>
  <c r="N177" i="1"/>
  <c r="S31" i="80"/>
  <c r="S36" i="80"/>
  <c r="S30" i="80" s="1"/>
  <c r="AK70" i="1"/>
  <c r="AK76" i="1"/>
  <c r="AK83" i="1" s="1"/>
  <c r="K40" i="104"/>
  <c r="N40" i="104"/>
  <c r="L40" i="104"/>
  <c r="M40" i="104"/>
  <c r="AG22" i="1"/>
  <c r="L34" i="104"/>
  <c r="N34" i="104"/>
  <c r="K34" i="104"/>
  <c r="M34" i="104"/>
  <c r="AQ162" i="1"/>
  <c r="AB167" i="1"/>
  <c r="X167" i="1"/>
  <c r="X163" i="1"/>
  <c r="AM23" i="1"/>
  <c r="AM20" i="1"/>
  <c r="E8" i="2"/>
  <c r="E40" i="2" s="1"/>
  <c r="AM72" i="1"/>
  <c r="AM40" i="1"/>
  <c r="AM35" i="1"/>
  <c r="AM27" i="1"/>
  <c r="AM31" i="1"/>
  <c r="AM45" i="1"/>
  <c r="N77" i="1"/>
  <c r="N83" i="1"/>
  <c r="T55" i="1"/>
  <c r="T57" i="1" s="1"/>
  <c r="T58" i="1" s="1"/>
  <c r="E39" i="2"/>
  <c r="E53" i="2"/>
  <c r="E84" i="2"/>
  <c r="E45" i="2"/>
  <c r="E81" i="2"/>
  <c r="F18" i="133"/>
  <c r="G10" i="133"/>
  <c r="G17" i="133" s="1"/>
  <c r="L33" i="104"/>
  <c r="M33" i="104"/>
  <c r="N33" i="104"/>
  <c r="K33" i="104"/>
  <c r="AB158" i="1"/>
  <c r="AB172" i="1" s="1"/>
  <c r="AD378" i="1"/>
  <c r="AD375" i="1" s="1"/>
  <c r="AC375" i="1"/>
  <c r="K77" i="1"/>
  <c r="K83" i="1"/>
  <c r="W176" i="1"/>
  <c r="W153" i="1"/>
  <c r="W158" i="1" s="1"/>
  <c r="W172" i="1" s="1"/>
  <c r="AA153" i="1"/>
  <c r="AA158" i="1" s="1"/>
  <c r="AA172" i="1" s="1"/>
  <c r="W162" i="1"/>
  <c r="AP148" i="1"/>
  <c r="AP153" i="1" s="1"/>
  <c r="AP158" i="1" s="1"/>
  <c r="AP172" i="1" s="1"/>
  <c r="AP188" i="1" s="1"/>
  <c r="G20" i="133"/>
  <c r="G12" i="133"/>
  <c r="H45" i="2"/>
  <c r="H53" i="2"/>
  <c r="H39" i="2"/>
  <c r="H84" i="2"/>
  <c r="H81" i="2"/>
  <c r="M32" i="104"/>
  <c r="N32" i="104"/>
  <c r="K32" i="104"/>
  <c r="L32" i="104"/>
  <c r="AQ153" i="1"/>
  <c r="AQ158" i="1" s="1"/>
  <c r="AQ172" i="1" s="1"/>
  <c r="T70" i="1"/>
  <c r="T76" i="1"/>
  <c r="T69" i="1"/>
  <c r="AN30" i="1"/>
  <c r="AO30" i="1"/>
  <c r="M30" i="1"/>
  <c r="M31" i="1"/>
  <c r="Q30" i="1"/>
  <c r="X188" i="1"/>
  <c r="X189" i="1" s="1"/>
  <c r="X21" i="1" s="1"/>
  <c r="X22" i="1" s="1"/>
  <c r="X173" i="1"/>
  <c r="Q83" i="1"/>
  <c r="F28" i="2"/>
  <c r="F24" i="2"/>
  <c r="F19" i="2"/>
  <c r="G24" i="2"/>
  <c r="AM189" i="1"/>
  <c r="AM21" i="1" s="1"/>
  <c r="E10" i="2" s="1"/>
  <c r="Z59" i="80"/>
  <c r="Z54" i="80"/>
  <c r="Z55" i="80" s="1"/>
  <c r="AG25" i="1"/>
  <c r="AG20" i="1"/>
  <c r="AG38" i="1"/>
  <c r="AG23" i="1"/>
  <c r="AG67" i="1"/>
  <c r="M44" i="1"/>
  <c r="M53" i="1"/>
  <c r="M45" i="1"/>
  <c r="M48" i="1"/>
  <c r="Q44" i="1"/>
  <c r="X183" i="1"/>
  <c r="AB183" i="1"/>
  <c r="AQ176" i="1"/>
  <c r="X177" i="1"/>
  <c r="G53" i="2"/>
  <c r="G84" i="2"/>
  <c r="G45" i="2"/>
  <c r="G81" i="2"/>
  <c r="R77" i="1"/>
  <c r="R83" i="1"/>
  <c r="AN48" i="1"/>
  <c r="AN44" i="1"/>
  <c r="AN53" i="1"/>
  <c r="AO44" i="1"/>
  <c r="AP55" i="1"/>
  <c r="AP57" i="1" s="1"/>
  <c r="AP58" i="1" s="1"/>
  <c r="U77" i="1"/>
  <c r="U83" i="1"/>
  <c r="H55" i="1"/>
  <c r="Y168" i="1"/>
  <c r="AC168" i="1"/>
  <c r="AE19" i="1"/>
  <c r="AE179" i="1"/>
  <c r="AE178" i="1"/>
  <c r="AE184" i="1"/>
  <c r="AB58" i="1"/>
  <c r="AA77" i="1"/>
  <c r="AA83" i="1"/>
  <c r="W37" i="80" l="1"/>
  <c r="W11" i="80"/>
  <c r="W25" i="80"/>
  <c r="W9" i="80"/>
  <c r="AP77" i="1"/>
  <c r="AP83" i="1"/>
  <c r="AQ177" i="1"/>
  <c r="X19" i="1"/>
  <c r="X178" i="1"/>
  <c r="X184" i="1"/>
  <c r="AB178" i="1"/>
  <c r="AB184" i="1"/>
  <c r="X179" i="1"/>
  <c r="AN54" i="1"/>
  <c r="AN75" i="1" s="1"/>
  <c r="W188" i="1"/>
  <c r="W189" i="1" s="1"/>
  <c r="W21" i="1" s="1"/>
  <c r="W22" i="1" s="1"/>
  <c r="W173" i="1"/>
  <c r="M61" i="1"/>
  <c r="M68" i="1" s="1"/>
  <c r="M50" i="1"/>
  <c r="M49" i="1"/>
  <c r="Q49" i="1"/>
  <c r="F29" i="2"/>
  <c r="F38" i="2"/>
  <c r="F72" i="2"/>
  <c r="G29" i="2"/>
  <c r="W183" i="1"/>
  <c r="AA183" i="1"/>
  <c r="AP176" i="1"/>
  <c r="AP183" i="1" s="1"/>
  <c r="W177" i="1"/>
  <c r="AR183" i="1"/>
  <c r="N168" i="1"/>
  <c r="AN163" i="1"/>
  <c r="AN168" i="1" s="1"/>
  <c r="R168" i="1"/>
  <c r="AB77" i="1"/>
  <c r="AB83" i="1"/>
  <c r="Q19" i="1"/>
  <c r="Q179" i="1"/>
  <c r="Q178" i="1"/>
  <c r="Q184" i="1"/>
  <c r="U184" i="1"/>
  <c r="U178" i="1"/>
  <c r="AO177" i="1"/>
  <c r="AP189" i="1" s="1"/>
  <c r="AP21" i="1" s="1"/>
  <c r="AA58" i="80"/>
  <c r="AS141" i="1"/>
  <c r="AS142" i="1" s="1"/>
  <c r="AS187" i="1" s="1"/>
  <c r="AS189" i="1" s="1"/>
  <c r="AS21" i="1" s="1"/>
  <c r="AS143" i="1"/>
  <c r="AO83" i="1"/>
  <c r="AR246" i="1"/>
  <c r="AB252" i="1"/>
  <c r="AN49" i="1"/>
  <c r="AN61" i="1"/>
  <c r="AN68" i="1" s="1"/>
  <c r="AO49" i="1"/>
  <c r="AD19" i="1"/>
  <c r="AD178" i="1"/>
  <c r="AD184" i="1"/>
  <c r="AD179" i="1"/>
  <c r="AR177" i="1"/>
  <c r="AA188" i="1"/>
  <c r="M54" i="1"/>
  <c r="M75" i="1" s="1"/>
  <c r="AI139" i="1"/>
  <c r="AQ252" i="1"/>
  <c r="Z258" i="1"/>
  <c r="AF176" i="1"/>
  <c r="AF162" i="1"/>
  <c r="AS148" i="1"/>
  <c r="AS153" i="1" s="1"/>
  <c r="AS158" i="1" s="1"/>
  <c r="AS172" i="1" s="1"/>
  <c r="AS188" i="1" s="1"/>
  <c r="AF153" i="1"/>
  <c r="AF158" i="1" s="1"/>
  <c r="AF172" i="1" s="1"/>
  <c r="AS15" i="1"/>
  <c r="AS121" i="1"/>
  <c r="R173" i="1"/>
  <c r="AI177" i="1"/>
  <c r="AI182" i="1"/>
  <c r="AS175" i="1"/>
  <c r="AS182" i="1" s="1"/>
  <c r="AH167" i="1"/>
  <c r="AH163" i="1"/>
  <c r="AH168" i="1" s="1"/>
  <c r="G21" i="133"/>
  <c r="G11" i="133"/>
  <c r="G18" i="133" s="1"/>
  <c r="E58" i="2"/>
  <c r="E80" i="2"/>
  <c r="E43" i="2"/>
  <c r="E25" i="2"/>
  <c r="E17" i="2"/>
  <c r="E30" i="2"/>
  <c r="E21" i="2"/>
  <c r="N19" i="1"/>
  <c r="N178" i="1"/>
  <c r="N184" i="1"/>
  <c r="N179" i="1"/>
  <c r="AN177" i="1"/>
  <c r="R178" i="1"/>
  <c r="R184" i="1"/>
  <c r="R189" i="1"/>
  <c r="R21" i="1" s="1"/>
  <c r="W59" i="80"/>
  <c r="W54" i="80"/>
  <c r="W55" i="80" s="1"/>
  <c r="AO188" i="1"/>
  <c r="AO173" i="1"/>
  <c r="AH188" i="1"/>
  <c r="AH189" i="1" s="1"/>
  <c r="AH21" i="1" s="1"/>
  <c r="AH22" i="1" s="1"/>
  <c r="AH173" i="1"/>
  <c r="F20" i="2"/>
  <c r="G20" i="2"/>
  <c r="AB188" i="1"/>
  <c r="AB189" i="1" s="1"/>
  <c r="AB21" i="1" s="1"/>
  <c r="AB22" i="1" s="1"/>
  <c r="AB173" i="1"/>
  <c r="AS129" i="1"/>
  <c r="AS130" i="1" s="1"/>
  <c r="AS171" i="1" s="1"/>
  <c r="AS131" i="1"/>
  <c r="AH177" i="1"/>
  <c r="AH183" i="1"/>
  <c r="AQ188" i="1"/>
  <c r="T16" i="104"/>
  <c r="T17" i="104"/>
  <c r="AE25" i="1"/>
  <c r="AE38" i="1"/>
  <c r="AE20" i="1"/>
  <c r="AE23" i="1"/>
  <c r="AE67" i="1"/>
  <c r="AR67" i="1" s="1"/>
  <c r="G60" i="2"/>
  <c r="G82" i="2"/>
  <c r="AG39" i="1"/>
  <c r="AG33" i="1"/>
  <c r="I46" i="2"/>
  <c r="I60" i="2"/>
  <c r="I82" i="2"/>
  <c r="AQ58" i="1"/>
  <c r="Q168" i="1"/>
  <c r="AO163" i="1"/>
  <c r="AO168" i="1" s="1"/>
  <c r="U168" i="1"/>
  <c r="AB157" i="1"/>
  <c r="AR234" i="1"/>
  <c r="AR157" i="1" s="1"/>
  <c r="T72" i="2"/>
  <c r="AG26" i="1"/>
  <c r="AG29" i="1"/>
  <c r="L77" i="1"/>
  <c r="L83" i="1"/>
  <c r="P77" i="1"/>
  <c r="AI163" i="1"/>
  <c r="AI168" i="1" s="1"/>
  <c r="AI166" i="1"/>
  <c r="AS161" i="1"/>
  <c r="AS166" i="1" s="1"/>
  <c r="AO167" i="1"/>
  <c r="H60" i="2"/>
  <c r="H46" i="2"/>
  <c r="H82" i="2"/>
  <c r="AD168" i="1"/>
  <c r="AR163" i="1"/>
  <c r="Z188" i="1"/>
  <c r="Z189" i="1" s="1"/>
  <c r="Z21" i="1" s="1"/>
  <c r="Z22" i="1" s="1"/>
  <c r="Z173" i="1"/>
  <c r="U173" i="1"/>
  <c r="H77" i="1"/>
  <c r="H83" i="1"/>
  <c r="AQ77" i="1"/>
  <c r="AQ83" i="1"/>
  <c r="S23" i="1"/>
  <c r="S20" i="1"/>
  <c r="S40" i="1"/>
  <c r="S27" i="1"/>
  <c r="S31" i="1"/>
  <c r="S35" i="1"/>
  <c r="S72" i="1"/>
  <c r="S45" i="1"/>
  <c r="S50" i="1"/>
  <c r="S70" i="1"/>
  <c r="Y20" i="1"/>
  <c r="Y23" i="1"/>
  <c r="Y40" i="1"/>
  <c r="Y27" i="1"/>
  <c r="Y72" i="1"/>
  <c r="Y31" i="1"/>
  <c r="Y35" i="1"/>
  <c r="Y45" i="1"/>
  <c r="Y50" i="1"/>
  <c r="AC20" i="1"/>
  <c r="Y70" i="1"/>
  <c r="X77" i="1"/>
  <c r="X83" i="1"/>
  <c r="AQ183" i="1"/>
  <c r="AN22" i="1"/>
  <c r="AL23" i="1"/>
  <c r="D8" i="2"/>
  <c r="E9" i="2" s="1"/>
  <c r="AL40" i="1"/>
  <c r="AL27" i="1"/>
  <c r="AL35" i="1"/>
  <c r="AL72" i="1"/>
  <c r="AL45" i="1"/>
  <c r="AL31" i="1"/>
  <c r="AL50" i="1"/>
  <c r="AL70" i="1"/>
  <c r="T77" i="1"/>
  <c r="T83" i="1"/>
  <c r="AA167" i="1"/>
  <c r="W167" i="1"/>
  <c r="AP162" i="1"/>
  <c r="AP167" i="1" s="1"/>
  <c r="W163" i="1"/>
  <c r="E48" i="2"/>
  <c r="E60" i="2"/>
  <c r="E46" i="2"/>
  <c r="E82" i="2"/>
  <c r="AC77" i="1"/>
  <c r="AC83" i="1"/>
  <c r="AE134" i="1"/>
  <c r="AE135" i="1" s="1"/>
  <c r="AE136" i="1"/>
  <c r="AR133" i="1"/>
  <c r="AM83" i="1"/>
  <c r="AM77" i="1"/>
  <c r="X168" i="1"/>
  <c r="AQ163" i="1"/>
  <c r="AB168" i="1"/>
  <c r="X58" i="1"/>
  <c r="H10" i="2" l="1"/>
  <c r="W168" i="1"/>
  <c r="AA168" i="1"/>
  <c r="AP163" i="1"/>
  <c r="AP168" i="1" s="1"/>
  <c r="AG30" i="1"/>
  <c r="AG31" i="1"/>
  <c r="AN19" i="1"/>
  <c r="AN184" i="1"/>
  <c r="AN179" i="1"/>
  <c r="AN178" i="1"/>
  <c r="AA173" i="1"/>
  <c r="AQ168" i="1"/>
  <c r="AR168" i="1"/>
  <c r="AS173" i="1"/>
  <c r="AA189" i="1"/>
  <c r="AA21" i="1" s="1"/>
  <c r="AN55" i="1"/>
  <c r="AN57" i="1" s="1"/>
  <c r="AO58" i="1" s="1"/>
  <c r="U72" i="2"/>
  <c r="G83" i="2"/>
  <c r="Z97" i="2" s="1"/>
  <c r="G64" i="2"/>
  <c r="K10" i="2"/>
  <c r="W19" i="1"/>
  <c r="W178" i="1"/>
  <c r="W184" i="1"/>
  <c r="W179" i="1"/>
  <c r="AP177" i="1"/>
  <c r="AA178" i="1"/>
  <c r="AA184" i="1"/>
  <c r="AI19" i="1"/>
  <c r="AI179" i="1"/>
  <c r="AI178" i="1"/>
  <c r="AI184" i="1"/>
  <c r="AR19" i="1"/>
  <c r="AR72" i="1" s="1"/>
  <c r="AR178" i="1"/>
  <c r="AR184" i="1"/>
  <c r="AR179" i="1"/>
  <c r="AA54" i="80"/>
  <c r="AA55" i="80" s="1"/>
  <c r="AA59" i="80"/>
  <c r="AA10" i="80"/>
  <c r="AS123" i="1"/>
  <c r="AS17" i="1" s="1"/>
  <c r="AS16" i="1"/>
  <c r="AS124" i="1"/>
  <c r="T11" i="104"/>
  <c r="N20" i="1"/>
  <c r="N23" i="1"/>
  <c r="N27" i="1"/>
  <c r="N40" i="1"/>
  <c r="N72" i="1"/>
  <c r="N35" i="1"/>
  <c r="N31" i="1"/>
  <c r="N45" i="1"/>
  <c r="R20" i="1"/>
  <c r="N50" i="1"/>
  <c r="N70" i="1"/>
  <c r="H61" i="2"/>
  <c r="H83" i="2"/>
  <c r="AA97" i="2" s="1"/>
  <c r="H64" i="2"/>
  <c r="J42" i="2"/>
  <c r="AR136" i="1"/>
  <c r="AR134" i="1"/>
  <c r="AR135" i="1" s="1"/>
  <c r="AD16" i="104"/>
  <c r="AD17" i="104"/>
  <c r="AE33" i="1"/>
  <c r="AE39" i="1"/>
  <c r="AR38" i="1"/>
  <c r="AF188" i="1"/>
  <c r="AF189" i="1" s="1"/>
  <c r="AF21" i="1" s="1"/>
  <c r="AF22" i="1" s="1"/>
  <c r="AF173" i="1"/>
  <c r="T15" i="104"/>
  <c r="AD20" i="1"/>
  <c r="AD23" i="1"/>
  <c r="AD27" i="1"/>
  <c r="AD40" i="1"/>
  <c r="AD31" i="1"/>
  <c r="AD72" i="1"/>
  <c r="AD35" i="1"/>
  <c r="AD45" i="1"/>
  <c r="AD50" i="1"/>
  <c r="AD70" i="1"/>
  <c r="AE26" i="1"/>
  <c r="AE29" i="1"/>
  <c r="AR25" i="1"/>
  <c r="AQ167" i="1"/>
  <c r="F39" i="2"/>
  <c r="F53" i="2"/>
  <c r="F84" i="2"/>
  <c r="F45" i="2"/>
  <c r="F81" i="2"/>
  <c r="G39" i="2"/>
  <c r="X23" i="1"/>
  <c r="X20" i="1"/>
  <c r="X72" i="1"/>
  <c r="X40" i="1"/>
  <c r="AB20" i="1"/>
  <c r="X27" i="1"/>
  <c r="X35" i="1"/>
  <c r="X45" i="1"/>
  <c r="X31" i="1"/>
  <c r="X50" i="1"/>
  <c r="X70" i="1"/>
  <c r="U17" i="104"/>
  <c r="V17" i="104"/>
  <c r="W17" i="104"/>
  <c r="X17" i="104"/>
  <c r="AS162" i="1"/>
  <c r="AS167" i="1" s="1"/>
  <c r="AF167" i="1"/>
  <c r="AF163" i="1"/>
  <c r="AQ19" i="1"/>
  <c r="AQ178" i="1"/>
  <c r="AQ184" i="1"/>
  <c r="AQ179" i="1"/>
  <c r="U16" i="104"/>
  <c r="V16" i="104"/>
  <c r="X16" i="104"/>
  <c r="W16" i="104"/>
  <c r="AO189" i="1"/>
  <c r="AO21" i="1" s="1"/>
  <c r="AS176" i="1"/>
  <c r="AS183" i="1" s="1"/>
  <c r="AF183" i="1"/>
  <c r="AF177" i="1"/>
  <c r="AN76" i="1"/>
  <c r="AN70" i="1"/>
  <c r="AN69" i="1"/>
  <c r="AO69" i="1"/>
  <c r="Q20" i="1"/>
  <c r="Q23" i="1"/>
  <c r="Q27" i="1"/>
  <c r="Q40" i="1"/>
  <c r="Q72" i="1"/>
  <c r="Q35" i="1"/>
  <c r="Q31" i="1"/>
  <c r="Q45" i="1"/>
  <c r="U20" i="1"/>
  <c r="Q50" i="1"/>
  <c r="Q70" i="1"/>
  <c r="AO19" i="1"/>
  <c r="AO178" i="1"/>
  <c r="AO184" i="1"/>
  <c r="AO179" i="1"/>
  <c r="AR158" i="1"/>
  <c r="AR172" i="1" s="1"/>
  <c r="I61" i="2"/>
  <c r="I64" i="2"/>
  <c r="I83" i="2"/>
  <c r="AB97" i="2" s="1"/>
  <c r="AQ173" i="1"/>
  <c r="Z257" i="1"/>
  <c r="AQ257" i="1" s="1"/>
  <c r="AQ258" i="1"/>
  <c r="AR83" i="1"/>
  <c r="AP173" i="1"/>
  <c r="AQ189" i="1"/>
  <c r="AQ21" i="1" s="1"/>
  <c r="AD22" i="1"/>
  <c r="R22" i="1"/>
  <c r="V22" i="1"/>
  <c r="AI133" i="1"/>
  <c r="AS139" i="1"/>
  <c r="AB258" i="1"/>
  <c r="AR252" i="1"/>
  <c r="W24" i="80"/>
  <c r="W18" i="80"/>
  <c r="AA25" i="80"/>
  <c r="AA18" i="80" s="1"/>
  <c r="E61" i="2"/>
  <c r="E83" i="2"/>
  <c r="X97" i="2" s="1"/>
  <c r="E64" i="2"/>
  <c r="D17" i="2"/>
  <c r="D25" i="2"/>
  <c r="D21" i="2"/>
  <c r="D30" i="2"/>
  <c r="D58" i="2"/>
  <c r="D40" i="2"/>
  <c r="D43" i="2"/>
  <c r="D80" i="2"/>
  <c r="D48" i="2"/>
  <c r="AG34" i="1"/>
  <c r="AG35" i="1"/>
  <c r="AG43" i="1"/>
  <c r="M55" i="1"/>
  <c r="M57" i="1" s="1"/>
  <c r="M69" i="1"/>
  <c r="M70" i="1"/>
  <c r="M76" i="1"/>
  <c r="Q69" i="1"/>
  <c r="AH19" i="1"/>
  <c r="AH179" i="1"/>
  <c r="AH178" i="1"/>
  <c r="AH184" i="1"/>
  <c r="W36" i="80"/>
  <c r="W30" i="80" s="1"/>
  <c r="W31" i="80"/>
  <c r="AE35" i="1" l="1"/>
  <c r="AE43" i="1"/>
  <c r="AE34" i="1"/>
  <c r="AR33" i="1"/>
  <c r="W17" i="80"/>
  <c r="AA24" i="80"/>
  <c r="AA17" i="80" s="1"/>
  <c r="T28" i="104"/>
  <c r="T29" i="104"/>
  <c r="T30" i="104"/>
  <c r="T31" i="104"/>
  <c r="AQ23" i="1"/>
  <c r="AQ20" i="1"/>
  <c r="I8" i="2"/>
  <c r="AQ72" i="1"/>
  <c r="AQ40" i="1"/>
  <c r="AQ35" i="1"/>
  <c r="AQ27" i="1"/>
  <c r="AQ31" i="1"/>
  <c r="AQ45" i="1"/>
  <c r="AQ50" i="1"/>
  <c r="AQ70" i="1"/>
  <c r="AI23" i="1"/>
  <c r="AI38" i="1"/>
  <c r="AI25" i="1"/>
  <c r="AI20" i="1"/>
  <c r="AI67" i="1"/>
  <c r="AA22" i="1"/>
  <c r="AE22" i="1"/>
  <c r="AN77" i="1"/>
  <c r="AN83" i="1"/>
  <c r="AO77" i="1"/>
  <c r="AR188" i="1"/>
  <c r="AR189" i="1" s="1"/>
  <c r="AR21" i="1" s="1"/>
  <c r="AR173" i="1"/>
  <c r="AF168" i="1"/>
  <c r="AS163" i="1"/>
  <c r="AS168" i="1" s="1"/>
  <c r="AI136" i="1"/>
  <c r="AI134" i="1"/>
  <c r="AI135" i="1" s="1"/>
  <c r="AS133" i="1"/>
  <c r="AB257" i="1"/>
  <c r="AR257" i="1" s="1"/>
  <c r="AR258" i="1"/>
  <c r="J43" i="2"/>
  <c r="U11" i="104"/>
  <c r="V11" i="104"/>
  <c r="W11" i="104"/>
  <c r="X11" i="104"/>
  <c r="AP19" i="1"/>
  <c r="AP178" i="1"/>
  <c r="AP184" i="1"/>
  <c r="AP179" i="1"/>
  <c r="W23" i="1"/>
  <c r="W20" i="1"/>
  <c r="W40" i="1"/>
  <c r="W27" i="1"/>
  <c r="W35" i="1"/>
  <c r="W31" i="1"/>
  <c r="W72" i="1"/>
  <c r="AA20" i="1"/>
  <c r="W45" i="1"/>
  <c r="W50" i="1"/>
  <c r="W70" i="1"/>
  <c r="AN23" i="1"/>
  <c r="AN20" i="1"/>
  <c r="F8" i="2"/>
  <c r="AN27" i="1"/>
  <c r="AN72" i="1"/>
  <c r="AN40" i="1"/>
  <c r="AN35" i="1"/>
  <c r="AN31" i="1"/>
  <c r="AN45" i="1"/>
  <c r="AN50" i="1"/>
  <c r="T20" i="104"/>
  <c r="T21" i="104"/>
  <c r="T22" i="104"/>
  <c r="T23" i="104"/>
  <c r="AO23" i="1"/>
  <c r="AO20" i="1"/>
  <c r="G8" i="2"/>
  <c r="AO27" i="1"/>
  <c r="AO72" i="1"/>
  <c r="AO40" i="1"/>
  <c r="AO35" i="1"/>
  <c r="AO45" i="1"/>
  <c r="AO31" i="1"/>
  <c r="AO50" i="1"/>
  <c r="AO70" i="1"/>
  <c r="AF19" i="1"/>
  <c r="AS177" i="1"/>
  <c r="AF179" i="1"/>
  <c r="AF178" i="1"/>
  <c r="AF184" i="1"/>
  <c r="AQ22" i="1"/>
  <c r="I10" i="2"/>
  <c r="AO22" i="1"/>
  <c r="G10" i="2"/>
  <c r="AH23" i="1"/>
  <c r="AH25" i="1"/>
  <c r="AH20" i="1"/>
  <c r="AH38" i="1"/>
  <c r="AH67" i="1"/>
  <c r="F60" i="2"/>
  <c r="F46" i="2"/>
  <c r="F82" i="2"/>
  <c r="G46" i="2"/>
  <c r="U15" i="104"/>
  <c r="V15" i="104"/>
  <c r="X15" i="104"/>
  <c r="W15" i="104"/>
  <c r="M77" i="1"/>
  <c r="M83" i="1"/>
  <c r="Q77" i="1"/>
  <c r="AR26" i="1"/>
  <c r="AR27" i="1"/>
  <c r="J16" i="2"/>
  <c r="AD32" i="104"/>
  <c r="AD33" i="104"/>
  <c r="AD34" i="104"/>
  <c r="AD35" i="104"/>
  <c r="AD38" i="104"/>
  <c r="AD39" i="104"/>
  <c r="AD40" i="104"/>
  <c r="AR39" i="1"/>
  <c r="AR40" i="1"/>
  <c r="AE30" i="1"/>
  <c r="AE31" i="1"/>
  <c r="AR29" i="1"/>
  <c r="T32" i="104"/>
  <c r="T33" i="104"/>
  <c r="T34" i="104"/>
  <c r="T35" i="104"/>
  <c r="T38" i="104"/>
  <c r="T39" i="104"/>
  <c r="T40" i="104"/>
  <c r="AR20" i="1"/>
  <c r="AR23" i="1"/>
  <c r="J8" i="2"/>
  <c r="M58" i="1"/>
  <c r="Q58" i="1"/>
  <c r="AB98" i="2"/>
  <c r="AE17" i="104"/>
  <c r="AG17" i="104"/>
  <c r="AH17" i="104"/>
  <c r="AF17" i="104"/>
  <c r="AG44" i="1"/>
  <c r="AG45" i="1"/>
  <c r="AG48" i="1"/>
  <c r="AE16" i="104"/>
  <c r="AF16" i="104"/>
  <c r="AH16" i="104"/>
  <c r="AG16" i="104"/>
  <c r="AP22" i="1"/>
  <c r="U33" i="104" l="1"/>
  <c r="V33" i="104"/>
  <c r="W33" i="104"/>
  <c r="X33" i="104"/>
  <c r="AH26" i="1"/>
  <c r="AR22" i="1"/>
  <c r="J10" i="2"/>
  <c r="AS22" i="1"/>
  <c r="U32" i="104"/>
  <c r="V32" i="104"/>
  <c r="W32" i="104"/>
  <c r="X32" i="104"/>
  <c r="F9" i="2"/>
  <c r="F17" i="2"/>
  <c r="F43" i="2"/>
  <c r="F58" i="2"/>
  <c r="F80" i="2"/>
  <c r="F25" i="2"/>
  <c r="F30" i="2"/>
  <c r="F21" i="2"/>
  <c r="F40" i="2"/>
  <c r="AR31" i="1"/>
  <c r="AR30" i="1"/>
  <c r="T24" i="104"/>
  <c r="T25" i="104"/>
  <c r="T26" i="104"/>
  <c r="T27" i="104"/>
  <c r="AP23" i="1"/>
  <c r="AP20" i="1"/>
  <c r="H8" i="2"/>
  <c r="AP40" i="1"/>
  <c r="AP27" i="1"/>
  <c r="AP72" i="1"/>
  <c r="AP31" i="1"/>
  <c r="AP35" i="1"/>
  <c r="AP45" i="1"/>
  <c r="AP50" i="1"/>
  <c r="AP70" i="1"/>
  <c r="W31" i="104"/>
  <c r="U31" i="104"/>
  <c r="V31" i="104"/>
  <c r="X31" i="104"/>
  <c r="G9" i="2"/>
  <c r="G17" i="2"/>
  <c r="G58" i="2"/>
  <c r="G43" i="2"/>
  <c r="G80" i="2"/>
  <c r="G25" i="2"/>
  <c r="G30" i="2"/>
  <c r="G21" i="2"/>
  <c r="G40" i="2"/>
  <c r="G48" i="2"/>
  <c r="J14" i="2"/>
  <c r="I58" i="2"/>
  <c r="I43" i="2"/>
  <c r="I80" i="2"/>
  <c r="I25" i="2"/>
  <c r="I17" i="2"/>
  <c r="I30" i="2"/>
  <c r="I21" i="2"/>
  <c r="I40" i="2"/>
  <c r="I48" i="2"/>
  <c r="AE39" i="104"/>
  <c r="AG39" i="104"/>
  <c r="AF39" i="104"/>
  <c r="AH39" i="104"/>
  <c r="V21" i="104"/>
  <c r="W21" i="104"/>
  <c r="X21" i="104"/>
  <c r="U21" i="104"/>
  <c r="AI26" i="1"/>
  <c r="AI29" i="1"/>
  <c r="U29" i="104"/>
  <c r="W29" i="104"/>
  <c r="V29" i="104"/>
  <c r="X29" i="104"/>
  <c r="AI39" i="1"/>
  <c r="AI33" i="1"/>
  <c r="U28" i="104"/>
  <c r="V28" i="104"/>
  <c r="W28" i="104"/>
  <c r="X28" i="104"/>
  <c r="U20" i="104"/>
  <c r="W20" i="104"/>
  <c r="X20" i="104"/>
  <c r="V20" i="104"/>
  <c r="AE35" i="104"/>
  <c r="AF35" i="104"/>
  <c r="AG35" i="104"/>
  <c r="AH35" i="104"/>
  <c r="F48" i="2"/>
  <c r="AF25" i="1"/>
  <c r="AF20" i="1"/>
  <c r="AF38" i="1"/>
  <c r="AF67" i="1"/>
  <c r="AS67" i="1" s="1"/>
  <c r="AS19" i="1"/>
  <c r="AF23" i="1"/>
  <c r="AS136" i="1"/>
  <c r="AS134" i="1"/>
  <c r="AS135" i="1" s="1"/>
  <c r="V23" i="104"/>
  <c r="X23" i="104"/>
  <c r="U23" i="104"/>
  <c r="W23" i="104"/>
  <c r="V22" i="104"/>
  <c r="W22" i="104"/>
  <c r="X22" i="104"/>
  <c r="U22" i="104"/>
  <c r="U30" i="104"/>
  <c r="V30" i="104"/>
  <c r="W30" i="104"/>
  <c r="X30" i="104"/>
  <c r="U40" i="104"/>
  <c r="V40" i="104"/>
  <c r="W40" i="104"/>
  <c r="X40" i="104"/>
  <c r="AE34" i="104"/>
  <c r="AF34" i="104"/>
  <c r="AG34" i="104"/>
  <c r="AH34" i="104"/>
  <c r="J9" i="2"/>
  <c r="J58" i="2"/>
  <c r="K58" i="2" s="1"/>
  <c r="U39" i="104"/>
  <c r="W39" i="104"/>
  <c r="X39" i="104"/>
  <c r="V39" i="104"/>
  <c r="F61" i="2"/>
  <c r="F64" i="2"/>
  <c r="F83" i="2"/>
  <c r="Y97" i="2" s="1"/>
  <c r="G61" i="2"/>
  <c r="AR35" i="1"/>
  <c r="AR34" i="1"/>
  <c r="J23" i="2"/>
  <c r="J19" i="2" s="1"/>
  <c r="AE40" i="104"/>
  <c r="AH40" i="104"/>
  <c r="AF40" i="104"/>
  <c r="AG40" i="104"/>
  <c r="AS178" i="1"/>
  <c r="AS184" i="1"/>
  <c r="AS179" i="1"/>
  <c r="AE33" i="104"/>
  <c r="AF33" i="104"/>
  <c r="AG33" i="104"/>
  <c r="AH33" i="104"/>
  <c r="AG49" i="1"/>
  <c r="AG61" i="1"/>
  <c r="AG68" i="1" s="1"/>
  <c r="AG50" i="1"/>
  <c r="U38" i="104"/>
  <c r="V38" i="104"/>
  <c r="W38" i="104"/>
  <c r="X38" i="104"/>
  <c r="AE32" i="104"/>
  <c r="AF32" i="104"/>
  <c r="AG32" i="104"/>
  <c r="AH32" i="104"/>
  <c r="AE38" i="104"/>
  <c r="AH38" i="104"/>
  <c r="AF38" i="104"/>
  <c r="AG38" i="104"/>
  <c r="U35" i="104"/>
  <c r="V35" i="104"/>
  <c r="W35" i="104"/>
  <c r="X35" i="104"/>
  <c r="J17" i="2"/>
  <c r="AH33" i="1"/>
  <c r="AH39" i="1"/>
  <c r="AE44" i="1"/>
  <c r="AE45" i="1"/>
  <c r="AE48" i="1"/>
  <c r="AR43" i="1"/>
  <c r="U34" i="104"/>
  <c r="V34" i="104"/>
  <c r="W34" i="104"/>
  <c r="X34" i="104"/>
  <c r="AF39" i="1" l="1"/>
  <c r="AS38" i="1"/>
  <c r="AF33" i="1"/>
  <c r="AI34" i="1"/>
  <c r="AI35" i="1"/>
  <c r="AI43" i="1"/>
  <c r="H9" i="2"/>
  <c r="H17" i="2"/>
  <c r="H43" i="2"/>
  <c r="H58" i="2"/>
  <c r="H80" i="2"/>
  <c r="H25" i="2"/>
  <c r="H30" i="2"/>
  <c r="H21" i="2"/>
  <c r="H40" i="2"/>
  <c r="H48" i="2"/>
  <c r="AF26" i="1"/>
  <c r="AS25" i="1"/>
  <c r="AE49" i="1"/>
  <c r="AE50" i="1"/>
  <c r="AE61" i="1"/>
  <c r="AR48" i="1"/>
  <c r="AR45" i="1"/>
  <c r="AR44" i="1"/>
  <c r="U27" i="104"/>
  <c r="V27" i="104"/>
  <c r="W27" i="104"/>
  <c r="X27" i="104"/>
  <c r="L58" i="2"/>
  <c r="K57" i="2"/>
  <c r="U26" i="104"/>
  <c r="V26" i="104"/>
  <c r="W26" i="104"/>
  <c r="X26" i="104"/>
  <c r="AI31" i="1"/>
  <c r="AI30" i="1"/>
  <c r="U25" i="104"/>
  <c r="V25" i="104"/>
  <c r="W25" i="104"/>
  <c r="X25" i="104"/>
  <c r="V24" i="104"/>
  <c r="X24" i="104"/>
  <c r="U24" i="104"/>
  <c r="W24" i="104"/>
  <c r="AH34" i="1"/>
  <c r="AH35" i="1"/>
  <c r="AH43" i="1"/>
  <c r="J28" i="2"/>
  <c r="J24" i="2"/>
  <c r="J25" i="2"/>
  <c r="I9" i="2"/>
  <c r="J21" i="2"/>
  <c r="J20" i="2"/>
  <c r="AH29" i="1"/>
  <c r="AG70" i="1"/>
  <c r="AG69" i="1"/>
  <c r="AS20" i="1"/>
  <c r="AS23" i="1"/>
  <c r="K8" i="2"/>
  <c r="AS72" i="1"/>
  <c r="K42" i="2"/>
  <c r="K43" i="2" s="1"/>
  <c r="L43" i="2" s="1"/>
  <c r="AF34" i="1" l="1"/>
  <c r="AF35" i="1"/>
  <c r="AS33" i="1"/>
  <c r="AF43" i="1"/>
  <c r="AF29" i="1"/>
  <c r="AH44" i="1"/>
  <c r="AH45" i="1"/>
  <c r="AH48" i="1"/>
  <c r="M43" i="2"/>
  <c r="M58" i="2"/>
  <c r="AS27" i="1"/>
  <c r="AS26" i="1"/>
  <c r="K16" i="2"/>
  <c r="K9" i="2"/>
  <c r="L8" i="2"/>
  <c r="M8" i="2" s="1"/>
  <c r="N8" i="2" s="1"/>
  <c r="O8" i="2" s="1"/>
  <c r="P8" i="2" s="1"/>
  <c r="Q8" i="2" s="1"/>
  <c r="R8" i="2" s="1"/>
  <c r="S8" i="2" s="1"/>
  <c r="T8" i="2" s="1"/>
  <c r="U8" i="2" s="1"/>
  <c r="J29" i="2"/>
  <c r="J30" i="2"/>
  <c r="J38" i="2"/>
  <c r="AS39" i="1"/>
  <c r="AS40" i="1"/>
  <c r="AR50" i="1"/>
  <c r="AR49" i="1"/>
  <c r="AH30" i="1"/>
  <c r="AH31" i="1"/>
  <c r="AE68" i="1"/>
  <c r="AR61" i="1"/>
  <c r="AI48" i="1"/>
  <c r="AI44" i="1"/>
  <c r="AI45" i="1"/>
  <c r="K17" i="2" l="1"/>
  <c r="L17" i="2" s="1"/>
  <c r="AI49" i="1"/>
  <c r="AI61" i="1"/>
  <c r="AI68" i="1" s="1"/>
  <c r="AI50" i="1"/>
  <c r="M57" i="2"/>
  <c r="M27" i="2" s="1"/>
  <c r="N58" i="2"/>
  <c r="M42" i="2"/>
  <c r="N43" i="2"/>
  <c r="AE70" i="1"/>
  <c r="AE69" i="1"/>
  <c r="AR68" i="1"/>
  <c r="AH49" i="1"/>
  <c r="AH61" i="1"/>
  <c r="AH68" i="1" s="1"/>
  <c r="AH50" i="1"/>
  <c r="J39" i="2"/>
  <c r="J40" i="2"/>
  <c r="J45" i="2"/>
  <c r="AS29" i="1"/>
  <c r="AF30" i="1"/>
  <c r="AF31" i="1"/>
  <c r="L42" i="2"/>
  <c r="AF44" i="1"/>
  <c r="AF45" i="1"/>
  <c r="AF48" i="1"/>
  <c r="AS43" i="1"/>
  <c r="L57" i="2"/>
  <c r="L27" i="2" s="1"/>
  <c r="AS35" i="1"/>
  <c r="AS34" i="1"/>
  <c r="K23" i="2"/>
  <c r="AH70" i="1" l="1"/>
  <c r="AH69" i="1"/>
  <c r="AS45" i="1"/>
  <c r="AS44" i="1"/>
  <c r="AR69" i="1"/>
  <c r="AR70" i="1"/>
  <c r="AF49" i="1"/>
  <c r="AS48" i="1"/>
  <c r="AF50" i="1"/>
  <c r="AF61" i="1"/>
  <c r="O43" i="2"/>
  <c r="N42" i="2"/>
  <c r="N57" i="2"/>
  <c r="N27" i="2" s="1"/>
  <c r="O58" i="2"/>
  <c r="AS30" i="1"/>
  <c r="AS31" i="1"/>
  <c r="J48" i="2"/>
  <c r="J46" i="2"/>
  <c r="AI69" i="1"/>
  <c r="AI70" i="1"/>
  <c r="K24" i="2"/>
  <c r="K28" i="2"/>
  <c r="K25" i="2"/>
  <c r="M17" i="2"/>
  <c r="L16" i="2"/>
  <c r="K19" i="2"/>
  <c r="P58" i="2" l="1"/>
  <c r="O57" i="2"/>
  <c r="O27" i="2" s="1"/>
  <c r="K20" i="2"/>
  <c r="K21" i="2"/>
  <c r="O42" i="2"/>
  <c r="P43" i="2"/>
  <c r="M16" i="2"/>
  <c r="N17" i="2"/>
  <c r="AF68" i="1"/>
  <c r="AS61" i="1"/>
  <c r="K29" i="2"/>
  <c r="K30" i="2"/>
  <c r="L30" i="2" s="1"/>
  <c r="K71" i="2"/>
  <c r="K69" i="2" s="1"/>
  <c r="K38" i="2"/>
  <c r="AS50" i="1"/>
  <c r="AS49" i="1"/>
  <c r="K39" i="2" l="1"/>
  <c r="K40" i="2"/>
  <c r="K45" i="2"/>
  <c r="K53" i="2"/>
  <c r="M30" i="2"/>
  <c r="L28" i="2"/>
  <c r="AS68" i="1"/>
  <c r="AF69" i="1"/>
  <c r="AF70" i="1"/>
  <c r="N16" i="2"/>
  <c r="O17" i="2"/>
  <c r="P42" i="2"/>
  <c r="Q43" i="2"/>
  <c r="Q58" i="2"/>
  <c r="P57" i="2"/>
  <c r="P27" i="2" s="1"/>
  <c r="Q42" i="2" l="1"/>
  <c r="R43" i="2"/>
  <c r="O16" i="2"/>
  <c r="P17" i="2"/>
  <c r="AS70" i="1"/>
  <c r="AS69" i="1"/>
  <c r="L23" i="2"/>
  <c r="L29" i="2"/>
  <c r="L71" i="2"/>
  <c r="L69" i="2" s="1"/>
  <c r="N30" i="2"/>
  <c r="M28" i="2"/>
  <c r="K46" i="2"/>
  <c r="K48" i="2"/>
  <c r="K60" i="2"/>
  <c r="Q57" i="2"/>
  <c r="Q27" i="2" s="1"/>
  <c r="R58" i="2"/>
  <c r="K65" i="2" l="1"/>
  <c r="M23" i="2"/>
  <c r="M29" i="2"/>
  <c r="M71" i="2"/>
  <c r="M69" i="2" s="1"/>
  <c r="M50" i="2" s="1"/>
  <c r="M51" i="2" s="1"/>
  <c r="O30" i="2"/>
  <c r="N28" i="2"/>
  <c r="L50" i="2"/>
  <c r="L51" i="2" s="1"/>
  <c r="L25" i="2"/>
  <c r="L24" i="2"/>
  <c r="L19" i="2"/>
  <c r="P16" i="2"/>
  <c r="Q17" i="2"/>
  <c r="R42" i="2"/>
  <c r="S43" i="2"/>
  <c r="S58" i="2"/>
  <c r="R57" i="2"/>
  <c r="R27" i="2" s="1"/>
  <c r="R17" i="2" l="1"/>
  <c r="Q16" i="2"/>
  <c r="L21" i="2"/>
  <c r="L20" i="2"/>
  <c r="L37" i="2" s="1"/>
  <c r="N29" i="2"/>
  <c r="N23" i="2"/>
  <c r="N71" i="2"/>
  <c r="N69" i="2" s="1"/>
  <c r="O28" i="2"/>
  <c r="P30" i="2"/>
  <c r="N50" i="2"/>
  <c r="N51" i="2" s="1"/>
  <c r="S57" i="2"/>
  <c r="S27" i="2" s="1"/>
  <c r="T58" i="2"/>
  <c r="M25" i="2"/>
  <c r="M24" i="2"/>
  <c r="M19" i="2"/>
  <c r="S42" i="2"/>
  <c r="T43" i="2"/>
  <c r="U58" i="2" l="1"/>
  <c r="U57" i="2" s="1"/>
  <c r="U27" i="2" s="1"/>
  <c r="T57" i="2"/>
  <c r="T27" i="2" s="1"/>
  <c r="Q30" i="2"/>
  <c r="P28" i="2"/>
  <c r="O29" i="2"/>
  <c r="O23" i="2"/>
  <c r="O71" i="2"/>
  <c r="O69" i="2" s="1"/>
  <c r="O50" i="2"/>
  <c r="O51" i="2" s="1"/>
  <c r="N24" i="2"/>
  <c r="N25" i="2"/>
  <c r="N19" i="2"/>
  <c r="M37" i="2"/>
  <c r="L38" i="2"/>
  <c r="T42" i="2"/>
  <c r="U43" i="2"/>
  <c r="U42" i="2" s="1"/>
  <c r="S17" i="2"/>
  <c r="R16" i="2"/>
  <c r="M20" i="2"/>
  <c r="M21" i="2"/>
  <c r="M38" i="2" l="1"/>
  <c r="L45" i="2"/>
  <c r="L39" i="2"/>
  <c r="L40" i="2"/>
  <c r="L53" i="2"/>
  <c r="N20" i="2"/>
  <c r="N37" i="2" s="1"/>
  <c r="N21" i="2"/>
  <c r="O24" i="2"/>
  <c r="O25" i="2"/>
  <c r="O19" i="2"/>
  <c r="P23" i="2"/>
  <c r="P29" i="2"/>
  <c r="P71" i="2"/>
  <c r="P69" i="2" s="1"/>
  <c r="Q28" i="2"/>
  <c r="R30" i="2"/>
  <c r="T17" i="2"/>
  <c r="S16" i="2"/>
  <c r="S30" i="2" l="1"/>
  <c r="R28" i="2"/>
  <c r="O21" i="2"/>
  <c r="O20" i="2"/>
  <c r="Q29" i="2"/>
  <c r="Q23" i="2"/>
  <c r="Q71" i="2"/>
  <c r="Q69" i="2" s="1"/>
  <c r="M45" i="2"/>
  <c r="M53" i="2"/>
  <c r="M40" i="2"/>
  <c r="M39" i="2"/>
  <c r="O37" i="2"/>
  <c r="N38" i="2"/>
  <c r="L60" i="2"/>
  <c r="L46" i="2"/>
  <c r="L48" i="2"/>
  <c r="P24" i="2"/>
  <c r="P25" i="2"/>
  <c r="P19" i="2"/>
  <c r="P50" i="2"/>
  <c r="P51" i="2" s="1"/>
  <c r="U17" i="2"/>
  <c r="U16" i="2" s="1"/>
  <c r="T16" i="2"/>
  <c r="L61" i="2" l="1"/>
  <c r="L65" i="2"/>
  <c r="L74" i="2" s="1"/>
  <c r="L91" i="2" s="1"/>
  <c r="N40" i="2"/>
  <c r="N45" i="2"/>
  <c r="N53" i="2"/>
  <c r="N39" i="2"/>
  <c r="O38" i="2"/>
  <c r="M46" i="2"/>
  <c r="M48" i="2"/>
  <c r="M60" i="2"/>
  <c r="R50" i="2"/>
  <c r="R51" i="2" s="1"/>
  <c r="Q24" i="2"/>
  <c r="Q25" i="2"/>
  <c r="Q19" i="2"/>
  <c r="P21" i="2"/>
  <c r="P20" i="2"/>
  <c r="P37" i="2" s="1"/>
  <c r="Q50" i="2"/>
  <c r="Q51" i="2" s="1"/>
  <c r="R29" i="2"/>
  <c r="R23" i="2"/>
  <c r="R71" i="2"/>
  <c r="R69" i="2" s="1"/>
  <c r="S28" i="2"/>
  <c r="T30" i="2"/>
  <c r="P38" i="2" l="1"/>
  <c r="Q20" i="2"/>
  <c r="Q37" i="2" s="1"/>
  <c r="Q21" i="2"/>
  <c r="M61" i="2"/>
  <c r="M65" i="2"/>
  <c r="M74" i="2" s="1"/>
  <c r="M91" i="2" s="1"/>
  <c r="N46" i="2"/>
  <c r="N48" i="2"/>
  <c r="N60" i="2"/>
  <c r="T28" i="2"/>
  <c r="U30" i="2"/>
  <c r="U28" i="2" s="1"/>
  <c r="S23" i="2"/>
  <c r="S29" i="2"/>
  <c r="S71" i="2"/>
  <c r="S69" i="2" s="1"/>
  <c r="S50" i="2"/>
  <c r="S51" i="2" s="1"/>
  <c r="O53" i="2"/>
  <c r="O45" i="2"/>
  <c r="O39" i="2"/>
  <c r="O40" i="2"/>
  <c r="R24" i="2"/>
  <c r="R25" i="2"/>
  <c r="R19" i="2"/>
  <c r="Q38" i="2" l="1"/>
  <c r="U23" i="2"/>
  <c r="U29" i="2"/>
  <c r="U71" i="2"/>
  <c r="U69" i="2" s="1"/>
  <c r="T29" i="2"/>
  <c r="T23" i="2"/>
  <c r="T71" i="2"/>
  <c r="T69" i="2" s="1"/>
  <c r="U50" i="2" s="1"/>
  <c r="U51" i="2" s="1"/>
  <c r="N61" i="2"/>
  <c r="N65" i="2"/>
  <c r="N74" i="2" s="1"/>
  <c r="N91" i="2" s="1"/>
  <c r="S24" i="2"/>
  <c r="S25" i="2"/>
  <c r="S19" i="2"/>
  <c r="T50" i="2"/>
  <c r="T51" i="2" s="1"/>
  <c r="R20" i="2"/>
  <c r="R37" i="2" s="1"/>
  <c r="R21" i="2"/>
  <c r="O46" i="2"/>
  <c r="O48" i="2"/>
  <c r="O60" i="2"/>
  <c r="P39" i="2"/>
  <c r="P53" i="2"/>
  <c r="P45" i="2"/>
  <c r="P40" i="2"/>
  <c r="R38" i="2" l="1"/>
  <c r="O61" i="2"/>
  <c r="O65" i="2"/>
  <c r="O74" i="2" s="1"/>
  <c r="O91" i="2" s="1"/>
  <c r="U25" i="2"/>
  <c r="U24" i="2"/>
  <c r="U19" i="2"/>
  <c r="Q45" i="2"/>
  <c r="Q53" i="2"/>
  <c r="Q39" i="2"/>
  <c r="Q40" i="2"/>
  <c r="S20" i="2"/>
  <c r="S37" i="2" s="1"/>
  <c r="S21" i="2"/>
  <c r="P60" i="2"/>
  <c r="P46" i="2"/>
  <c r="P48" i="2"/>
  <c r="T24" i="2"/>
  <c r="T25" i="2"/>
  <c r="T19" i="2"/>
  <c r="S38" i="2" l="1"/>
  <c r="Q60" i="2"/>
  <c r="Q46" i="2"/>
  <c r="Q48" i="2"/>
  <c r="U20" i="2"/>
  <c r="U21" i="2"/>
  <c r="T20" i="2"/>
  <c r="T37" i="2" s="1"/>
  <c r="T21" i="2"/>
  <c r="R40" i="2"/>
  <c r="R45" i="2"/>
  <c r="R39" i="2"/>
  <c r="R53" i="2"/>
  <c r="P65" i="2"/>
  <c r="P74" i="2" s="1"/>
  <c r="P91" i="2" s="1"/>
  <c r="P61" i="2"/>
  <c r="U37" i="2" l="1"/>
  <c r="U38" i="2" s="1"/>
  <c r="T38" i="2"/>
  <c r="R60" i="2"/>
  <c r="R46" i="2"/>
  <c r="R48" i="2"/>
  <c r="S40" i="2"/>
  <c r="S45" i="2"/>
  <c r="S39" i="2"/>
  <c r="S53" i="2"/>
  <c r="Q65" i="2"/>
  <c r="Q74" i="2" s="1"/>
  <c r="Q91" i="2" s="1"/>
  <c r="Q61" i="2"/>
  <c r="S46" i="2" l="1"/>
  <c r="S60" i="2"/>
  <c r="S48" i="2"/>
  <c r="R65" i="2"/>
  <c r="R74" i="2" s="1"/>
  <c r="R91" i="2" s="1"/>
  <c r="R61" i="2"/>
  <c r="T39" i="2"/>
  <c r="T40" i="2"/>
  <c r="T45" i="2"/>
  <c r="T53" i="2"/>
  <c r="U39" i="2"/>
  <c r="U40" i="2"/>
  <c r="U45" i="2"/>
  <c r="U53" i="2"/>
  <c r="U48" i="2" l="1"/>
  <c r="U60" i="2"/>
  <c r="U46" i="2"/>
  <c r="T60" i="2"/>
  <c r="T48" i="2"/>
  <c r="T46" i="2"/>
  <c r="S61" i="2"/>
  <c r="S65" i="2"/>
  <c r="S74" i="2" s="1"/>
  <c r="S91" i="2" s="1"/>
  <c r="T61" i="2" l="1"/>
  <c r="T65" i="2"/>
  <c r="T74" i="2" s="1"/>
  <c r="U61" i="2"/>
  <c r="U65" i="2"/>
  <c r="U74" i="2" s="1"/>
  <c r="T89" i="2"/>
  <c r="T91" i="2" s="1"/>
  <c r="AE52" i="1"/>
  <c r="AF52" i="1"/>
  <c r="AG52" i="1"/>
  <c r="AH52" i="1"/>
  <c r="AI52" i="1"/>
  <c r="AR52" i="1"/>
  <c r="AS52" i="1"/>
  <c r="AE53" i="1"/>
  <c r="AF53" i="1"/>
  <c r="AG53" i="1"/>
  <c r="AH53" i="1"/>
  <c r="AI53" i="1"/>
  <c r="AR53" i="1"/>
  <c r="AS53" i="1"/>
  <c r="AE54" i="1"/>
  <c r="AF54" i="1"/>
  <c r="AG54" i="1"/>
  <c r="AH54" i="1"/>
  <c r="AI54" i="1"/>
  <c r="AR54" i="1"/>
  <c r="AS54" i="1"/>
  <c r="AE55" i="1"/>
  <c r="AF55" i="1"/>
  <c r="AG55" i="1"/>
  <c r="AH55" i="1"/>
  <c r="AI55" i="1"/>
  <c r="AR55" i="1"/>
  <c r="AS55" i="1"/>
  <c r="AE57" i="1"/>
  <c r="AF57" i="1"/>
  <c r="AG57" i="1"/>
  <c r="AH57" i="1"/>
  <c r="AI57" i="1"/>
  <c r="AR57" i="1"/>
  <c r="AS57" i="1"/>
  <c r="AE58" i="1"/>
  <c r="AF58" i="1"/>
  <c r="AG58" i="1"/>
  <c r="AH58" i="1"/>
  <c r="AI58" i="1"/>
  <c r="AR58" i="1"/>
  <c r="AS58" i="1"/>
  <c r="AE74" i="1"/>
  <c r="AF74" i="1"/>
  <c r="AG74" i="1"/>
  <c r="AH74" i="1"/>
  <c r="AI74" i="1"/>
  <c r="AR74" i="1"/>
  <c r="AS74" i="1"/>
  <c r="AE75" i="1"/>
  <c r="AF75" i="1"/>
  <c r="AG75" i="1"/>
  <c r="AH75" i="1"/>
  <c r="AI75" i="1"/>
  <c r="AR75" i="1"/>
  <c r="AS75" i="1"/>
  <c r="AE76" i="1"/>
  <c r="AF76" i="1"/>
  <c r="AG76" i="1"/>
  <c r="AH76" i="1"/>
  <c r="AI76" i="1"/>
  <c r="AR76" i="1"/>
  <c r="AS76" i="1"/>
  <c r="AE77" i="1"/>
  <c r="AF77" i="1"/>
  <c r="AG77" i="1"/>
  <c r="AH77" i="1"/>
  <c r="AI77" i="1"/>
  <c r="AR77" i="1"/>
  <c r="AS77" i="1"/>
  <c r="AE84" i="1"/>
  <c r="AF84" i="1"/>
  <c r="AG84" i="1"/>
  <c r="AH84" i="1"/>
  <c r="AI84" i="1"/>
  <c r="AR84" i="1"/>
  <c r="AS84" i="1"/>
  <c r="AE90" i="1"/>
  <c r="AF90" i="1"/>
  <c r="AG90" i="1"/>
  <c r="AH90" i="1"/>
  <c r="AI90" i="1"/>
  <c r="AR90" i="1"/>
  <c r="AS90" i="1"/>
  <c r="AE106" i="1"/>
  <c r="AF106" i="1"/>
  <c r="AG106" i="1"/>
  <c r="AH106" i="1"/>
  <c r="AI106" i="1"/>
  <c r="AR106" i="1"/>
  <c r="AS106" i="1"/>
  <c r="AE107" i="1"/>
  <c r="AF107" i="1"/>
  <c r="AG107" i="1"/>
  <c r="AH107" i="1"/>
  <c r="AI107" i="1"/>
  <c r="AR107" i="1"/>
  <c r="AS107" i="1"/>
  <c r="AE108" i="1"/>
  <c r="AF108" i="1"/>
  <c r="AG108" i="1"/>
  <c r="AH108" i="1"/>
  <c r="AI108" i="1"/>
  <c r="AR108" i="1"/>
  <c r="AS108" i="1"/>
  <c r="AE109" i="1"/>
  <c r="AF109" i="1"/>
  <c r="AG109" i="1"/>
  <c r="AH109" i="1"/>
  <c r="AI109" i="1"/>
  <c r="AR109" i="1"/>
  <c r="AS109" i="1"/>
  <c r="AE643" i="1"/>
  <c r="AF643" i="1"/>
  <c r="AG643" i="1"/>
  <c r="AH643" i="1"/>
  <c r="AI643" i="1"/>
  <c r="AE645" i="1"/>
  <c r="AF645" i="1"/>
  <c r="AG645" i="1"/>
  <c r="AH645" i="1"/>
  <c r="AI645" i="1"/>
  <c r="J50" i="2"/>
  <c r="J51" i="2"/>
  <c r="K51" i="2"/>
  <c r="J53" i="2"/>
  <c r="J60" i="2"/>
  <c r="J61" i="2"/>
  <c r="K61" i="2"/>
  <c r="J64" i="2"/>
  <c r="J65" i="2"/>
  <c r="J70" i="2"/>
  <c r="J71" i="2"/>
  <c r="J72" i="2"/>
  <c r="K74" i="2"/>
  <c r="K76" i="2"/>
  <c r="L76" i="2"/>
  <c r="M76" i="2"/>
  <c r="N76" i="2"/>
  <c r="O76" i="2"/>
  <c r="P76" i="2"/>
  <c r="Q76" i="2"/>
  <c r="R76" i="2"/>
  <c r="S76" i="2"/>
  <c r="T76" i="2"/>
  <c r="U76" i="2"/>
  <c r="K77" i="2"/>
  <c r="L77" i="2"/>
  <c r="M77" i="2"/>
  <c r="N77" i="2"/>
  <c r="O77" i="2"/>
  <c r="P77" i="2"/>
  <c r="Q77" i="2"/>
  <c r="R77" i="2"/>
  <c r="S77" i="2"/>
  <c r="T77" i="2"/>
  <c r="U77" i="2"/>
  <c r="J80" i="2"/>
  <c r="K80" i="2"/>
  <c r="L80" i="2"/>
  <c r="M80" i="2"/>
  <c r="N80" i="2"/>
  <c r="O80" i="2"/>
  <c r="P80" i="2"/>
  <c r="Q80" i="2"/>
  <c r="R80" i="2"/>
  <c r="S80" i="2"/>
  <c r="T80" i="2"/>
  <c r="U80" i="2"/>
  <c r="J81" i="2"/>
  <c r="K81" i="2"/>
  <c r="L81" i="2"/>
  <c r="M81" i="2"/>
  <c r="N81" i="2"/>
  <c r="O81" i="2"/>
  <c r="P81" i="2"/>
  <c r="Q81" i="2"/>
  <c r="R81" i="2"/>
  <c r="S81" i="2"/>
  <c r="T81" i="2"/>
  <c r="U81" i="2"/>
  <c r="J82" i="2"/>
  <c r="K82" i="2"/>
  <c r="L82" i="2"/>
  <c r="M82" i="2"/>
  <c r="N82" i="2"/>
  <c r="O82" i="2"/>
  <c r="P82" i="2"/>
  <c r="Q82" i="2"/>
  <c r="R82" i="2"/>
  <c r="S82" i="2"/>
  <c r="T82" i="2"/>
  <c r="U82" i="2"/>
  <c r="J83" i="2"/>
  <c r="K83" i="2"/>
  <c r="L83" i="2"/>
  <c r="M83" i="2"/>
  <c r="N83" i="2"/>
  <c r="O83" i="2"/>
  <c r="P83" i="2"/>
  <c r="Q83" i="2"/>
  <c r="R83" i="2"/>
  <c r="S83" i="2"/>
  <c r="T83" i="2"/>
  <c r="U83" i="2"/>
  <c r="J84" i="2"/>
  <c r="K84" i="2"/>
  <c r="L84" i="2"/>
  <c r="M84" i="2"/>
  <c r="N84" i="2"/>
  <c r="O84" i="2"/>
  <c r="P84" i="2"/>
  <c r="Q84" i="2"/>
  <c r="R84" i="2"/>
  <c r="S84" i="2"/>
  <c r="T84" i="2"/>
  <c r="U84" i="2"/>
  <c r="K91" i="2"/>
  <c r="U91" i="2"/>
  <c r="U92" i="2"/>
  <c r="F93" i="2"/>
  <c r="AC97" i="2"/>
  <c r="AD97" i="2"/>
  <c r="AE97" i="2"/>
  <c r="AC98" i="2"/>
  <c r="AD98" i="2"/>
  <c r="AE98" i="2"/>
</calcChain>
</file>

<file path=xl/sharedStrings.xml><?xml version="1.0" encoding="utf-8"?>
<sst xmlns="http://schemas.openxmlformats.org/spreadsheetml/2006/main" count="1076" uniqueCount="548">
  <si>
    <t>FOUR</t>
  </si>
  <si>
    <t>Historical Financials</t>
  </si>
  <si>
    <t>($ in millions, unless otherwise noted)</t>
  </si>
  <si>
    <t>1Q21</t>
  </si>
  <si>
    <t>2Q21</t>
  </si>
  <si>
    <t>3Q21</t>
  </si>
  <si>
    <t>4Q21</t>
  </si>
  <si>
    <t>1Q22</t>
  </si>
  <si>
    <t>2Q22</t>
  </si>
  <si>
    <t>Quarterly,</t>
  </si>
  <si>
    <t>FY18</t>
  </si>
  <si>
    <t>FY21</t>
  </si>
  <si>
    <t>FYE December 31,</t>
  </si>
  <si>
    <t>Income Statement</t>
  </si>
  <si>
    <t>General and administrative expenses</t>
  </si>
  <si>
    <t>Depreciation and amortization expense</t>
  </si>
  <si>
    <t>Professional fees</t>
  </si>
  <si>
    <t>Advertising and marketing expenses</t>
  </si>
  <si>
    <t>Restructuring expenses</t>
  </si>
  <si>
    <t>Transaction-related expenses</t>
  </si>
  <si>
    <t>Total operating expenses</t>
  </si>
  <si>
    <t>Income (loss) from operations</t>
  </si>
  <si>
    <t>Loss on extinguishment of debt</t>
  </si>
  <si>
    <t>Interest income</t>
  </si>
  <si>
    <t>Other income, net</t>
  </si>
  <si>
    <t>Interest expense</t>
  </si>
  <si>
    <t>Income (loss) before income taxes</t>
  </si>
  <si>
    <t>Income tax benefit (provision)</t>
  </si>
  <si>
    <t>Net income (loss)</t>
  </si>
  <si>
    <t>Net income (loss) attributable to noncontrolling interests</t>
  </si>
  <si>
    <t>Net income (loss) attributable to Shift4 Payments, Inc.</t>
  </si>
  <si>
    <t>Class A weighted average common stock oustanding - basic</t>
  </si>
  <si>
    <t>Class C weighted average common stock oustanding - basic</t>
  </si>
  <si>
    <t>Class A weighted average common stock oustanding - diluted</t>
  </si>
  <si>
    <t>Class C weighted average common stock oustanding - diluted</t>
  </si>
  <si>
    <t>Class A net income (loss) per share - basic</t>
  </si>
  <si>
    <t>Class A net income (loss) per share - diluted</t>
  </si>
  <si>
    <t>Class C net income (loss) per share - basic</t>
  </si>
  <si>
    <t>Class C net income (loss) per share - diluted</t>
  </si>
  <si>
    <t>Other operating (income) expense, net</t>
  </si>
  <si>
    <t>1Q18</t>
  </si>
  <si>
    <t>2Q18</t>
  </si>
  <si>
    <t>3Q18</t>
  </si>
  <si>
    <t>4Q18</t>
  </si>
  <si>
    <t>ASC 605</t>
  </si>
  <si>
    <t>Payments-based revenue</t>
  </si>
  <si>
    <t>Subscription and other revenues</t>
  </si>
  <si>
    <t>Total gross revenue</t>
  </si>
  <si>
    <t>Network fees</t>
  </si>
  <si>
    <t>Other cost of sales</t>
  </si>
  <si>
    <t>FY18r</t>
  </si>
  <si>
    <t>1Q20r</t>
  </si>
  <si>
    <t>2Q20r</t>
  </si>
  <si>
    <t>3Q20r</t>
  </si>
  <si>
    <t>4Q20r</t>
  </si>
  <si>
    <t>FY20r</t>
  </si>
  <si>
    <t>FY19r</t>
  </si>
  <si>
    <t>1Q19r</t>
  </si>
  <si>
    <t>2Q19r</t>
  </si>
  <si>
    <t>3Q19r</t>
  </si>
  <si>
    <t>4Q19r</t>
  </si>
  <si>
    <t>Net income (loss) allocated to Class A common stock - basic</t>
  </si>
  <si>
    <t>Reallocation of net income (loss) attributable to common stockholders from assumed conversion of LLC interests and assumed vesting of RSUs</t>
  </si>
  <si>
    <t>Net income (loss) allocated to Class A common stock - diluted</t>
  </si>
  <si>
    <t>Net income (loss) allocated to Class C common stock - basic</t>
  </si>
  <si>
    <t>Reallocation of net income attributable to common stockholders from assumed conversion of LLC interests and assumed vesting of RSUs</t>
  </si>
  <si>
    <t>Net income (loss) allocated to Class C common stock - diluted</t>
  </si>
  <si>
    <t>Adjustment to net loss attributable to common stockholders</t>
  </si>
  <si>
    <t>Net loss attributable to common stockholders</t>
  </si>
  <si>
    <t>Adjusted EBITDA</t>
  </si>
  <si>
    <t>Income tax provision (benefit)</t>
  </si>
  <si>
    <t>EBITDA</t>
  </si>
  <si>
    <t>TSYS outage payments and associated costs</t>
  </si>
  <si>
    <t>Acquisition, restructuring and integration costs</t>
  </si>
  <si>
    <t>Equity-based compensation expense</t>
  </si>
  <si>
    <t>Other nonrecurring items</t>
  </si>
  <si>
    <t>Gross Revenue less Network Fees</t>
  </si>
  <si>
    <t>TSYS outage payments</t>
  </si>
  <si>
    <t>Adjusted Net Income</t>
  </si>
  <si>
    <t>Special interest payment on 2025 Convertible Notes</t>
  </si>
  <si>
    <t>Acquisition, restructuring and integration costs, net of tax</t>
  </si>
  <si>
    <t>Equity-based compensation expense, net of tax</t>
  </si>
  <si>
    <t>Impact of lease modification</t>
  </si>
  <si>
    <t>Cash Flow Statement</t>
  </si>
  <si>
    <t>Operating Activities</t>
  </si>
  <si>
    <t>Net income</t>
  </si>
  <si>
    <t>Adjustment to reconcile net loss to net cash provided by operating activities:</t>
  </si>
  <si>
    <t>Depreciation and amortization</t>
  </si>
  <si>
    <t>Amortization of capitalized financing costs and debt discount</t>
  </si>
  <si>
    <t>Deferred income taxes</t>
  </si>
  <si>
    <t>Provision for bad debts</t>
  </si>
  <si>
    <t>Revaluation of contingent liabilities</t>
  </si>
  <si>
    <t>Impairments of intangible assets</t>
  </si>
  <si>
    <t>Other noncash items</t>
  </si>
  <si>
    <t>Impact of lease modifications</t>
  </si>
  <si>
    <t>Change in operating assets and liabilities:</t>
  </si>
  <si>
    <t>Accounts receivable</t>
  </si>
  <si>
    <t>Contract assets</t>
  </si>
  <si>
    <t>Prepaid expenses and other current assets</t>
  </si>
  <si>
    <t>Inventory</t>
  </si>
  <si>
    <t>Accounts payable</t>
  </si>
  <si>
    <t>Accrued expenses and other current liabilities</t>
  </si>
  <si>
    <t>Right-of-use assets and lease liabilities, net</t>
  </si>
  <si>
    <t>Deferred revenue</t>
  </si>
  <si>
    <t>Net cash provided by operating activities</t>
  </si>
  <si>
    <t>Investing activities</t>
  </si>
  <si>
    <t>Acquisitions, net of cash acquired</t>
  </si>
  <si>
    <t>Acquisition of equipment to be leased</t>
  </si>
  <si>
    <t>Investments in securities</t>
  </si>
  <si>
    <t>Customer acquisition costs</t>
  </si>
  <si>
    <t>Capitalized software development costs</t>
  </si>
  <si>
    <t>Residual commission buyouts</t>
  </si>
  <si>
    <t>Acquisition of property, plant and equipment</t>
  </si>
  <si>
    <t>Net cash used in investing activities</t>
  </si>
  <si>
    <t>Financing activities</t>
  </si>
  <si>
    <t>Proceeds from long-term debt</t>
  </si>
  <si>
    <t>Payments for withholding tax related to vesting of restricted stock units</t>
  </si>
  <si>
    <t>Repurchases of Class A common stock to treasury stock</t>
  </si>
  <si>
    <t>Deferred financing costs</t>
  </si>
  <si>
    <t>Repayment of debt</t>
  </si>
  <si>
    <t>IPO proceeds, net of underwriting discounts and commissions</t>
  </si>
  <si>
    <t>Proceeds from private placement</t>
  </si>
  <si>
    <t>September 2020 follow-on offering proceeds, net of underwriting discounts and commissions</t>
  </si>
  <si>
    <t>Proceeds from revolving lines of credit</t>
  </si>
  <si>
    <t>Repayment of revolving line of credit</t>
  </si>
  <si>
    <t>Offering costs</t>
  </si>
  <si>
    <t>Payments on contingent liabilities</t>
  </si>
  <si>
    <t>Preferred return on preferred stock</t>
  </si>
  <si>
    <t>Capital distributions</t>
  </si>
  <si>
    <t>Net cash provided by financing activities</t>
  </si>
  <si>
    <t>Foreign exchange rate effect on cash and cash equivalents</t>
  </si>
  <si>
    <t>Net change in cash and cash equivalents</t>
  </si>
  <si>
    <t>YTD</t>
  </si>
  <si>
    <t>Cash Flow Statement (cont.)</t>
  </si>
  <si>
    <t>Principal repayments of capital lease</t>
  </si>
  <si>
    <t>End-to-End Payment Volume</t>
  </si>
  <si>
    <t>Y/Y % Change</t>
  </si>
  <si>
    <t>Sequential % Change</t>
  </si>
  <si>
    <t>End-to-End Segment</t>
  </si>
  <si>
    <t>Network Fees</t>
  </si>
  <si>
    <t>% of End-to-End Payment Volume</t>
  </si>
  <si>
    <t>Gateway and Other Segment</t>
  </si>
  <si>
    <t>Gateway Revenue</t>
  </si>
  <si>
    <t>Total</t>
  </si>
  <si>
    <t>Subscription and Other Revenue</t>
  </si>
  <si>
    <t>Gross Profit</t>
  </si>
  <si>
    <t>Margin</t>
  </si>
  <si>
    <r>
      <t>Revenue Detail</t>
    </r>
    <r>
      <rPr>
        <b/>
        <vertAlign val="superscript"/>
        <sz val="8"/>
        <color theme="1"/>
        <rFont val="Arial"/>
        <family val="2"/>
      </rPr>
      <t>1</t>
    </r>
  </si>
  <si>
    <t>Notes</t>
  </si>
  <si>
    <t>(1) All figures adjusted for TSYS outage payments made in 3Q21 ($22.4m) and 4Q21 ($0.9m).</t>
  </si>
  <si>
    <t>n/m</t>
  </si>
  <si>
    <t>Non-GAAP Opex</t>
  </si>
  <si>
    <t>% of Revenue</t>
  </si>
  <si>
    <t>Non-GAAP EBIT</t>
  </si>
  <si>
    <t>D&amp;A</t>
  </si>
  <si>
    <t>SBC</t>
  </si>
  <si>
    <t>CRC EBIT</t>
  </si>
  <si>
    <t>CRC EBITDA</t>
  </si>
  <si>
    <t>Interest, net</t>
  </si>
  <si>
    <t>CRC EBT</t>
  </si>
  <si>
    <t>Taxes @ 21%</t>
  </si>
  <si>
    <t>CRC NI</t>
  </si>
  <si>
    <t>FCF</t>
  </si>
  <si>
    <t>Acquisition of Equipment to be Leased</t>
  </si>
  <si>
    <t>Customer Acquisition Costs</t>
  </si>
  <si>
    <t>Capitalized Software Development Costs</t>
  </si>
  <si>
    <t>Acquisition of Property, Plant and Equipment</t>
  </si>
  <si>
    <t>Capex</t>
  </si>
  <si>
    <t>CRC EBITDA - Capex</t>
  </si>
  <si>
    <r>
      <rPr>
        <i/>
        <u/>
        <sz val="8"/>
        <color theme="1"/>
        <rFont val="Arial"/>
        <family val="2"/>
      </rPr>
      <t>Memo:</t>
    </r>
    <r>
      <rPr>
        <i/>
        <sz val="8"/>
        <color theme="1"/>
        <rFont val="Arial"/>
        <family val="2"/>
      </rPr>
      <t xml:space="preserve"> Capex / Gross Revenue less Network Fees</t>
    </r>
  </si>
  <si>
    <t>Other</t>
  </si>
  <si>
    <t>Realized FCF</t>
  </si>
  <si>
    <t>Interest</t>
  </si>
  <si>
    <t>Taxes</t>
  </si>
  <si>
    <t>Recurring FCF</t>
  </si>
  <si>
    <t>Change in NWC</t>
  </si>
  <si>
    <t>TSYS Costs</t>
  </si>
  <si>
    <t>Acquisition, Restructuring and Integration Costs</t>
  </si>
  <si>
    <t>Leverage</t>
  </si>
  <si>
    <t>Net Debt</t>
  </si>
  <si>
    <t>Total Debt</t>
  </si>
  <si>
    <t>Cash</t>
  </si>
  <si>
    <t>/ LTM Adjusted EBITDA</t>
  </si>
  <si>
    <t>Memo:</t>
  </si>
  <si>
    <r>
      <t>Financial Summary</t>
    </r>
    <r>
      <rPr>
        <b/>
        <vertAlign val="superscript"/>
        <sz val="8"/>
        <color theme="1"/>
        <rFont val="Arial"/>
        <family val="2"/>
      </rPr>
      <t>1</t>
    </r>
  </si>
  <si>
    <t>(1) All figures adjusted for TSYS outage payments made and associated costs incurred in 3Q21 ($25.1m) and 4Q21 ($1.2m).</t>
  </si>
  <si>
    <t>Rate %</t>
  </si>
  <si>
    <t>Share Repurchase</t>
  </si>
  <si>
    <t>Residual Commission Buyouts</t>
  </si>
  <si>
    <t>Share Issuance</t>
  </si>
  <si>
    <t>Acquisitions, Net of Cash</t>
  </si>
  <si>
    <t>Payments of Contingent Liabilities</t>
  </si>
  <si>
    <r>
      <rPr>
        <i/>
        <u/>
        <sz val="8"/>
        <color theme="1"/>
        <rFont val="Arial"/>
        <family val="2"/>
      </rPr>
      <t>Memo:</t>
    </r>
    <r>
      <rPr>
        <i/>
        <sz val="8"/>
        <color theme="1"/>
        <rFont val="Arial"/>
        <family val="2"/>
      </rPr>
      <t xml:space="preserve"> Contingent Consideration</t>
    </r>
  </si>
  <si>
    <t>Y/Y % Change, Organic</t>
  </si>
  <si>
    <t>($ in mm)</t>
  </si>
  <si>
    <t>FY19</t>
  </si>
  <si>
    <t>FY20</t>
  </si>
  <si>
    <t>FY24e</t>
  </si>
  <si>
    <t>FY25e</t>
  </si>
  <si>
    <t>FY26e</t>
  </si>
  <si>
    <t>FY27e</t>
  </si>
  <si>
    <t>FY28e</t>
  </si>
  <si>
    <t>FY29e</t>
  </si>
  <si>
    <t>FY30e</t>
  </si>
  <si>
    <t>FY31e</t>
  </si>
  <si>
    <t>FY32e</t>
  </si>
  <si>
    <t>FY33e</t>
  </si>
  <si>
    <t>EBITDA - Capex</t>
  </si>
  <si>
    <t>FCFE</t>
  </si>
  <si>
    <t>Cumulative FCFE</t>
  </si>
  <si>
    <t>% of Market Cap</t>
  </si>
  <si>
    <t>Basis Multiples</t>
  </si>
  <si>
    <t>TEV / Revenue</t>
  </si>
  <si>
    <t>TEV / CRC EBITDA</t>
  </si>
  <si>
    <t>TEV / CRC EBITDA - Capex</t>
  </si>
  <si>
    <t>P / E</t>
  </si>
  <si>
    <t>P / Recurring FCF</t>
  </si>
  <si>
    <t>Ten-Year IRR</t>
  </si>
  <si>
    <t>Forward Multiple</t>
  </si>
  <si>
    <t>Terminal Value</t>
  </si>
  <si>
    <t>Cash Flows</t>
  </si>
  <si>
    <t>MOIC ==&gt;</t>
  </si>
  <si>
    <t>IRR</t>
  </si>
  <si>
    <t>Capitalization</t>
  </si>
  <si>
    <t>Value</t>
  </si>
  <si>
    <t>Equity</t>
  </si>
  <si>
    <t>TEV</t>
  </si>
  <si>
    <t>Shares</t>
  </si>
  <si>
    <t>Change in TRA liability</t>
  </si>
  <si>
    <t>Gross revenue</t>
  </si>
  <si>
    <t>Depreciation of equipment under lease</t>
  </si>
  <si>
    <t>Net cash provided by operating activities - following reclassification</t>
  </si>
  <si>
    <t>3Q22</t>
  </si>
  <si>
    <t>/ Shares</t>
  </si>
  <si>
    <t>CRC EPS</t>
  </si>
  <si>
    <t>Unrealized gain on investments in securities</t>
  </si>
  <si>
    <t>Settlement Activity</t>
  </si>
  <si>
    <t>Merchant and Partner Payments and Costs Related to Outages</t>
  </si>
  <si>
    <t>Bonus Timing and Non-Recurring Expenses</t>
  </si>
  <si>
    <t>Adjusted Free Cash Flow</t>
  </si>
  <si>
    <t>4Q22</t>
  </si>
  <si>
    <t>FY22</t>
  </si>
  <si>
    <t>Tax impact of adjustments</t>
  </si>
  <si>
    <t>Distributions to noncontrolling interests</t>
  </si>
  <si>
    <t>1Q23</t>
  </si>
  <si>
    <t>FY34e</t>
  </si>
  <si>
    <t>$/Share</t>
  </si>
  <si>
    <t>Simple Model [Case 1]</t>
  </si>
  <si>
    <t>ASC 606</t>
  </si>
  <si>
    <t>Purchase of intangible assets</t>
  </si>
  <si>
    <t>Purchase of Intangible Assets</t>
  </si>
  <si>
    <t>LLC Interests that convert into potential Class A common shares</t>
  </si>
  <si>
    <t>RSUs and performance RSUs</t>
  </si>
  <si>
    <t>Total anti-dilutive securities excluded from calculation of diluted earnings per share</t>
  </si>
  <si>
    <t>2025 Convertible Notes</t>
  </si>
  <si>
    <t>LLC Interests</t>
  </si>
  <si>
    <t>RSUs</t>
  </si>
  <si>
    <t>2024 Convertible Notes</t>
  </si>
  <si>
    <t>2Q23</t>
  </si>
  <si>
    <t>4Q24e</t>
  </si>
  <si>
    <r>
      <rPr>
        <i/>
        <u/>
        <sz val="8"/>
        <color theme="1"/>
        <rFont val="Arial"/>
        <family val="2"/>
      </rPr>
      <t>Memo:</t>
    </r>
    <r>
      <rPr>
        <i/>
        <sz val="8"/>
        <color theme="1"/>
        <rFont val="Arial"/>
        <family val="2"/>
      </rPr>
      <t xml:space="preserve"> Finaro Contribution</t>
    </r>
  </si>
  <si>
    <t>3-Year CAGR, Organic</t>
  </si>
  <si>
    <t>2-Year CAGR, Organic</t>
  </si>
  <si>
    <t>Impairment of intangible assets</t>
  </si>
  <si>
    <t>Foreign exchange and other nonrecurring items</t>
  </si>
  <si>
    <t>Settlement activity, net</t>
  </si>
  <si>
    <t>Payments on contingent liabilities in excess of initial fair value</t>
  </si>
  <si>
    <t>Proceeds from sale of investments in securities</t>
  </si>
  <si>
    <t>Net change in bank deposits</t>
  </si>
  <si>
    <t>Payments on Contingent Liabilities in Excess of Initial Fair Value</t>
  </si>
  <si>
    <t>3Q23</t>
  </si>
  <si>
    <t>4Q23</t>
  </si>
  <si>
    <t>1Q24</t>
  </si>
  <si>
    <t>Contingent shares</t>
  </si>
  <si>
    <t>M&amp;A</t>
  </si>
  <si>
    <t>Finaro</t>
  </si>
  <si>
    <t>Date</t>
  </si>
  <si>
    <t>Rev</t>
  </si>
  <si>
    <t xml:space="preserve">TEV / </t>
  </si>
  <si>
    <t>Appetize</t>
  </si>
  <si>
    <t>Focus</t>
  </si>
  <si>
    <t>Online Payments Group</t>
  </si>
  <si>
    <t>Restaurant Technology Partners</t>
  </si>
  <si>
    <t>The Giving Block</t>
  </si>
  <si>
    <t>Postec</t>
  </si>
  <si>
    <t>VenueNext</t>
  </si>
  <si>
    <t>3dcart</t>
  </si>
  <si>
    <t>Hospitality Technology Vendor</t>
  </si>
  <si>
    <t>Merchant Link</t>
  </si>
  <si>
    <t>n/a</t>
  </si>
  <si>
    <t>TTM0</t>
  </si>
  <si>
    <t>TTM0 Rev</t>
  </si>
  <si>
    <t>Gross Revenue Impact</t>
  </si>
  <si>
    <t>Total Gross Revenue Impact</t>
  </si>
  <si>
    <t>Vectron</t>
  </si>
  <si>
    <t>Revel</t>
  </si>
  <si>
    <t>2Q25e</t>
  </si>
  <si>
    <t>3Q25e</t>
  </si>
  <si>
    <t>4Q25e</t>
  </si>
  <si>
    <t>1Q25e</t>
  </si>
  <si>
    <t>Gross Revenue Less Network Fees Impact</t>
  </si>
  <si>
    <t>2Q24</t>
  </si>
  <si>
    <t>FY23</t>
  </si>
  <si>
    <r>
      <rPr>
        <i/>
        <u/>
        <sz val="8"/>
        <color theme="1"/>
        <rFont val="Arial"/>
        <family val="2"/>
      </rPr>
      <t>Memo:</t>
    </r>
    <r>
      <rPr>
        <i/>
        <sz val="8"/>
        <color theme="1"/>
        <rFont val="Arial"/>
        <family val="2"/>
      </rPr>
      <t xml:space="preserve"> Reported Organic Growth</t>
    </r>
  </si>
  <si>
    <t>FY35e</t>
  </si>
  <si>
    <t>Principal O/S</t>
  </si>
  <si>
    <t>Balance Sheet</t>
  </si>
  <si>
    <t>Assets</t>
  </si>
  <si>
    <t>Cash and cash equivalents</t>
  </si>
  <si>
    <t>Settlement assets</t>
  </si>
  <si>
    <t>Restricted cash</t>
  </si>
  <si>
    <t>Accounts receivable, net of allowance for doubtful accounts</t>
  </si>
  <si>
    <t>Total current assets</t>
  </si>
  <si>
    <t>Goodwill</t>
  </si>
  <si>
    <t>Other intangible assets, net</t>
  </si>
  <si>
    <t>Capitalized acquisition costs, net</t>
  </si>
  <si>
    <t>Equipment under lease, net</t>
  </si>
  <si>
    <t>Property, plant and equipment, net</t>
  </si>
  <si>
    <t>Residual commission buyouts, net</t>
  </si>
  <si>
    <t>Right-of-use assets</t>
  </si>
  <si>
    <t>Investments in securities </t>
  </si>
  <si>
    <t xml:space="preserve">Deferred tax asset </t>
  </si>
  <si>
    <t>Collateral held by the card networks</t>
  </si>
  <si>
    <t xml:space="preserve">Contract assets, net of allowance for doubtful accounts </t>
  </si>
  <si>
    <t>Other non-current assets</t>
  </si>
  <si>
    <t>Total non-current assets</t>
  </si>
  <si>
    <t>Total assets</t>
  </si>
  <si>
    <t>Current portion of long-term debt</t>
  </si>
  <si>
    <t>Bank deposits</t>
  </si>
  <si>
    <t>Settlement liabilities</t>
  </si>
  <si>
    <t>Current lease liabilities</t>
  </si>
  <si>
    <t>Total current liabilities</t>
  </si>
  <si>
    <t>Long-term debt</t>
  </si>
  <si>
    <t>Non-current lease liabilities</t>
  </si>
  <si>
    <t>Deferred tax liability</t>
  </si>
  <si>
    <t>Other non-current liabilities</t>
  </si>
  <si>
    <t>Total non-current liabilities</t>
  </si>
  <si>
    <t>Total liabilities</t>
  </si>
  <si>
    <t>Redeemable preferred units par value shares authorized issued and outstanding</t>
  </si>
  <si>
    <t>Class B common units par value shares authorized issued and outstanding</t>
  </si>
  <si>
    <t>Additional paid-in capital</t>
  </si>
  <si>
    <t>Accumulated other comprehensive loss</t>
  </si>
  <si>
    <t>Treasury stock</t>
  </si>
  <si>
    <t>Retained deficit</t>
  </si>
  <si>
    <t>Non-controlling interests</t>
  </si>
  <si>
    <t>Total liabilities and equity (deficit)</t>
  </si>
  <si>
    <t>Liabilities</t>
  </si>
  <si>
    <t>Total stockholders' equity (deficit)</t>
  </si>
  <si>
    <t>Total stockholders' equity (deficit) attributable to Shift4 Payments Inc</t>
  </si>
  <si>
    <t>Stockholders' equity (deficit)</t>
  </si>
  <si>
    <t>Cash and cash equivalents (including restricted cash)</t>
  </si>
  <si>
    <t>Members' equity</t>
  </si>
  <si>
    <t>4.625% Senior Notes due November 1, 2026</t>
  </si>
  <si>
    <t>0.900% Convertible Senior Notes due August 1, 2027</t>
  </si>
  <si>
    <t>0.49% Convertible Senior Notes due December 15, 2025</t>
  </si>
  <si>
    <t>First Lien Term Loan Facility</t>
  </si>
  <si>
    <t>Second Lien Term Loan Facility</t>
  </si>
  <si>
    <t>Revolving Credit Facility</t>
  </si>
  <si>
    <t>Unamortized Capitalized Loan Fees</t>
  </si>
  <si>
    <t>Total Debt, Carrying Value</t>
  </si>
  <si>
    <t>Interest Rate</t>
  </si>
  <si>
    <t>Interest Expense</t>
  </si>
  <si>
    <t>Capitalized Loan Fee Amortization</t>
  </si>
  <si>
    <t>Cash and Cash Equivalents</t>
  </si>
  <si>
    <t>Givex</t>
  </si>
  <si>
    <t>6.750% Senior Notes due November 1, 2026</t>
  </si>
  <si>
    <t>0.500% Convertible Senior Notes due August 1, 2027</t>
  </si>
  <si>
    <t>0.000% Convertible Senior Notes due December 15, 2025</t>
  </si>
  <si>
    <t>Shares Outstanding</t>
  </si>
  <si>
    <t>Class A Common Shares</t>
  </si>
  <si>
    <t>Share Count Component Detail</t>
  </si>
  <si>
    <t>End of Period Share Price</t>
  </si>
  <si>
    <t>Effective Shares (Treasury Stock Method)</t>
  </si>
  <si>
    <t>2025 Convertible Senior Notes</t>
  </si>
  <si>
    <t>Principal</t>
  </si>
  <si>
    <t>Conversion Rate</t>
  </si>
  <si>
    <t>Conversion Price</t>
  </si>
  <si>
    <t>Effective Shares (Full Conversion)</t>
  </si>
  <si>
    <t>2026 Convertible Senior Notes</t>
  </si>
  <si>
    <t>Current</t>
  </si>
  <si>
    <t>Class B Common Shares</t>
  </si>
  <si>
    <t>Class C Common Shares</t>
  </si>
  <si>
    <t>Common Shares</t>
  </si>
  <si>
    <t>RSUs and PRSUs</t>
  </si>
  <si>
    <t>Committed but Unissued Shares - Finaro</t>
  </si>
  <si>
    <t>Contribution from Founder</t>
  </si>
  <si>
    <t>Fully Diluted Shares O/S Excl. Converts</t>
  </si>
  <si>
    <t>Converts</t>
  </si>
  <si>
    <t>Fully Diluted Shares</t>
  </si>
  <si>
    <t>Less: Impact of Treasury Stock Method</t>
  </si>
  <si>
    <t>Adjusted Fully Diluted Shares</t>
  </si>
  <si>
    <t>Debt / Interest Expense</t>
  </si>
  <si>
    <t>Cash / Interest Income</t>
  </si>
  <si>
    <t>Cash and Cash Equivalents (incl. Restricted Cash)</t>
  </si>
  <si>
    <t>Interest Income</t>
  </si>
  <si>
    <t>Interest Rate %</t>
  </si>
  <si>
    <r>
      <rPr>
        <i/>
        <u/>
        <sz val="8"/>
        <color theme="1"/>
        <rFont val="Arial"/>
        <family val="2"/>
      </rPr>
      <t>Memo:</t>
    </r>
    <r>
      <rPr>
        <i/>
        <sz val="8"/>
        <color theme="1"/>
        <rFont val="Arial"/>
        <family val="2"/>
      </rPr>
      <t xml:space="preserve"> Consensus P / E</t>
    </r>
  </si>
  <si>
    <t>2019 Total Payment Volume</t>
  </si>
  <si>
    <t>2019 Gateway-Only Payment Volume</t>
  </si>
  <si>
    <t>2019 End-to-End Payment Volume</t>
  </si>
  <si>
    <t>Additionally, in 2019 we served over 66,000 merchants representing over $185.0 billion in payment volume that relied on Shift4's gateway or technology solutions but did not utilize our end-to-end payments offering.</t>
  </si>
  <si>
    <t>2Q24 Run-Rate Total Payment Volume</t>
  </si>
  <si>
    <t>2019 to 2Q24 Change in Total Payment Volume</t>
  </si>
  <si>
    <t>I've said it's call it approximately like $100 billion [of gateway-only volume] remaining.</t>
  </si>
  <si>
    <t>2Q24 Annualized End-to-End Payment Volume</t>
  </si>
  <si>
    <t>2Q24 Annualized Gateway-Only Payment Volume</t>
  </si>
  <si>
    <t>2Q24 Annualized Total Payment Volume</t>
  </si>
  <si>
    <t>3dcart has $2 billion of volume on their platform already. We can bring that over in a single shot at card-not-present integration versus the complexity we deal with on day-to-day gateway migrations.</t>
  </si>
  <si>
    <t>We expect VenueNext to add $2.5 - $3 billion in end-to-end payment volume by 2023.</t>
  </si>
  <si>
    <t>Commentary</t>
  </si>
  <si>
    <t>We anticipate $15 billion of end-to-end payment volume.</t>
  </si>
  <si>
    <t>Adjusted Net Debt</t>
  </si>
  <si>
    <t>2Q24 3dcart Annualized Payment Volume</t>
  </si>
  <si>
    <t>2Q24 VenueNext Annualized Payment Volume</t>
  </si>
  <si>
    <t>2Q24 Finaro Annualized Payment Volume</t>
  </si>
  <si>
    <t>The card payment volume associated with this installed base of restaurants running Focus POS is roughly $15 billion. We anticipate this acquisition was completed at reasonable valuations for a stand-alone business, but actually represent highly attractive customer acquisition costs.</t>
  </si>
  <si>
    <t>2019 Annualized Total Payment Volume</t>
  </si>
  <si>
    <t>Identifiable Acquisition Payment Volume</t>
  </si>
  <si>
    <t>Total Identifiable Acquisition Payment Volume</t>
  </si>
  <si>
    <t>Organic Change in Payment Volume Since 2019</t>
  </si>
  <si>
    <t>% Change Since 2019</t>
  </si>
  <si>
    <t>% Annualized Change Since 2019</t>
  </si>
  <si>
    <t>$mm</t>
  </si>
  <si>
    <t>Unaccounted for Acquisitions Since 2019:</t>
  </si>
  <si>
    <t>Vectron has ~65,000 POS locations across Europe, representing ~€25 billion in volume opportunity.</t>
  </si>
  <si>
    <t>And I think we've called out things like Appetize and Focus POS, all of those transactions had volume that isn't quite as daily measurable as the gateway volume, but it's an incredible opportunity.</t>
  </si>
  <si>
    <t>Total Payment Volume Organic Growth Analysis</t>
  </si>
  <si>
    <t>Total Debt (excl. Converts in FY24+)</t>
  </si>
  <si>
    <t>Net Debt (excl. Converts in FY24+)</t>
  </si>
  <si>
    <t>Total M&amp;A Spend</t>
  </si>
  <si>
    <t>Total Acquisition Purchase Consideration</t>
  </si>
  <si>
    <r>
      <rPr>
        <i/>
        <u/>
        <sz val="8"/>
        <color theme="1"/>
        <rFont val="Arial"/>
        <family val="2"/>
      </rPr>
      <t>Memo:</t>
    </r>
    <r>
      <rPr>
        <i/>
        <sz val="8"/>
        <color theme="1"/>
        <rFont val="Arial"/>
        <family val="2"/>
      </rPr>
      <t xml:space="preserve"> Total M&amp;A Spend</t>
    </r>
  </si>
  <si>
    <t>End-to-End Merchants</t>
  </si>
  <si>
    <t>Gateway-Only Merchants</t>
  </si>
  <si>
    <t>Number of Merchants</t>
  </si>
  <si>
    <t>Payment Volume</t>
  </si>
  <si>
    <t>Volume per Merchant</t>
  </si>
  <si>
    <t>2019</t>
  </si>
  <si>
    <r>
      <rPr>
        <i/>
        <u/>
        <sz val="8"/>
        <color theme="1"/>
        <rFont val="Arial"/>
        <family val="2"/>
      </rPr>
      <t>Memo:</t>
    </r>
    <r>
      <rPr>
        <i/>
        <sz val="8"/>
        <color theme="1"/>
        <rFont val="Arial"/>
        <family val="2"/>
      </rPr>
      <t xml:space="preserve"> Residual commissions, Y/Y Change</t>
    </r>
  </si>
  <si>
    <t>Focus POS</t>
  </si>
  <si>
    <t>Current TRA liability</t>
  </si>
  <si>
    <t>Non-current TRA liability</t>
  </si>
  <si>
    <t>Other financing activities</t>
  </si>
  <si>
    <t>3Q24</t>
  </si>
  <si>
    <t>2-Year Organic CAGR (Est.)</t>
  </si>
  <si>
    <t>Y/Y % Change, Organic (Est.)</t>
  </si>
  <si>
    <t>Implied Take Rate %</t>
  </si>
  <si>
    <t>Start Date</t>
  </si>
  <si>
    <t>End Date</t>
  </si>
  <si>
    <t>Days in Period</t>
  </si>
  <si>
    <t>E2E GRLNF</t>
  </si>
  <si>
    <t>Total GRLNF</t>
  </si>
  <si>
    <t>E2E Gross Revenue</t>
  </si>
  <si>
    <t>E2E Volume</t>
  </si>
  <si>
    <t>Gateway and Other Gross Revenue</t>
  </si>
  <si>
    <t>Total Gross Revenue</t>
  </si>
  <si>
    <t>Total GRLNF Impact</t>
  </si>
  <si>
    <t>E2E GRLNF Impact</t>
  </si>
  <si>
    <t>Gateway Gross Revenue Impact</t>
  </si>
  <si>
    <t>Subscription and Other Gross Revenue Impact</t>
  </si>
  <si>
    <t>E2E Gross Revenue Impact</t>
  </si>
  <si>
    <t>Consenus GRLNF</t>
  </si>
  <si>
    <t>FY24</t>
  </si>
  <si>
    <t>FY25</t>
  </si>
  <si>
    <t>FY26</t>
  </si>
  <si>
    <t>Gross revenue less network fees</t>
  </si>
  <si>
    <t>EBITDA - Operating</t>
  </si>
  <si>
    <t>Consenus Adjusted EBITDA</t>
  </si>
  <si>
    <t>FY27</t>
  </si>
  <si>
    <t>Guidance
Period</t>
  </si>
  <si>
    <t>Low</t>
  </si>
  <si>
    <t>Mid</t>
  </si>
  <si>
    <t>High</t>
  </si>
  <si>
    <t>Actual</t>
  </si>
  <si>
    <t>Guidance</t>
  </si>
  <si>
    <t>Actual vs. Guidance</t>
  </si>
  <si>
    <t>3Q20</t>
  </si>
  <si>
    <t>4Q20</t>
  </si>
  <si>
    <t>Cons</t>
  </si>
  <si>
    <t>Actual vs. Cons</t>
  </si>
  <si>
    <t>E2E Volume ($B)</t>
  </si>
  <si>
    <t>GRLNF ($M)</t>
  </si>
  <si>
    <t>Adj. EBITDA ($M)</t>
  </si>
  <si>
    <t>Volume - End to end payment</t>
  </si>
  <si>
    <t>Guidance Analysis</t>
  </si>
  <si>
    <t>4Q24</t>
  </si>
  <si>
    <t>Years in Period</t>
  </si>
  <si>
    <t>E2E Net Take Rate %</t>
  </si>
  <si>
    <t>Y/Y % Change Contribution</t>
  </si>
  <si>
    <t>Y/Y $ Change Contribution</t>
  </si>
  <si>
    <t>Q/Q $ Change Contribution</t>
  </si>
  <si>
    <t>9/30/24 Backlog Converted in Period</t>
  </si>
  <si>
    <t>9/30/24 Backlog</t>
  </si>
  <si>
    <t>9/30/24 Backlog Converted in Period, Average</t>
  </si>
  <si>
    <t>9/30/24 Backlog Conversion</t>
  </si>
  <si>
    <t>9/30/24 Gateway Conversion</t>
  </si>
  <si>
    <t>9/30/24 Gateway Volume</t>
  </si>
  <si>
    <t>9/30/24 Gateway Volume Converted in Period</t>
  </si>
  <si>
    <t>9/30/24 Gateway Volume Converted in Period, Average</t>
  </si>
  <si>
    <t>Implied Incremental Organic Growth / Seasonality</t>
  </si>
  <si>
    <t>9/30/24 Backlog Conversion Contribution</t>
  </si>
  <si>
    <t>9/30/24 Gateway Volume Conversion Contribution</t>
  </si>
  <si>
    <t>9/30/24 Gateway Volume Conversion:</t>
  </si>
  <si>
    <t>9/30/24 Backlog Conversion:</t>
  </si>
  <si>
    <t>Q/Q % Change Contribution</t>
  </si>
  <si>
    <t>Y/Y $ Change</t>
  </si>
  <si>
    <t>Q/Q % Change</t>
  </si>
  <si>
    <t>Q/Q $ Change</t>
  </si>
  <si>
    <t>Finaro Acquisition</t>
  </si>
  <si>
    <t>Implied Incremental Organic Growth</t>
  </si>
  <si>
    <t>Non-GAAP Reconciliations</t>
  </si>
  <si>
    <t>Depreciation and Amortization</t>
  </si>
  <si>
    <t>Expense Detail</t>
  </si>
  <si>
    <t>Other Cost of Sales</t>
  </si>
  <si>
    <t>Residual Commissions</t>
  </si>
  <si>
    <t>Amortization of Capitalized Customer Acquisition Costs</t>
  </si>
  <si>
    <t>Amortization of Other Intangible Assets</t>
  </si>
  <si>
    <t>Equipment Under Lease</t>
  </si>
  <si>
    <t>Property, Plant and Equipment</t>
  </si>
  <si>
    <t>Total Depreciation</t>
  </si>
  <si>
    <t>Acquired Other Intangible Assets</t>
  </si>
  <si>
    <t>Amortization of Acquired Intangible Assets</t>
  </si>
  <si>
    <t>Non-Acquired Other Intangible Assets</t>
  </si>
  <si>
    <t>Capitalized Customer Acquisition Costs</t>
  </si>
  <si>
    <t>Amortization of Non-Acquired Intangible Assets</t>
  </si>
  <si>
    <t>Total Amortization</t>
  </si>
  <si>
    <t>Total Depreciation and Amortization</t>
  </si>
  <si>
    <t>BoP</t>
  </si>
  <si>
    <t>Annualization</t>
  </si>
  <si>
    <t>Net New</t>
  </si>
  <si>
    <t>SSS Growth</t>
  </si>
  <si>
    <t>EoP</t>
  </si>
  <si>
    <t>E2E Volume Bridge</t>
  </si>
  <si>
    <t>E2E Volume, BoP</t>
  </si>
  <si>
    <t>Annualization of Prior Year Customer Adds</t>
  </si>
  <si>
    <t>Net New Customers + Gateway Conversion</t>
  </si>
  <si>
    <t>E2E Volume, EoP</t>
  </si>
  <si>
    <t>Total Growth</t>
  </si>
  <si>
    <t>SSS Growth + Cross-Sell</t>
  </si>
  <si>
    <t>2022 Volume Bridge (3/1/22)</t>
  </si>
  <si>
    <t>2024 Volume Bridge (11/8/23)</t>
  </si>
  <si>
    <t>E2E Volume Growth</t>
  </si>
  <si>
    <r>
      <t>Medium-Term Guidance</t>
    </r>
    <r>
      <rPr>
        <b/>
        <vertAlign val="superscript"/>
        <sz val="8"/>
        <color theme="1"/>
        <rFont val="Arial"/>
        <family val="2"/>
      </rPr>
      <t>1</t>
    </r>
  </si>
  <si>
    <r>
      <t>Annual Guidance</t>
    </r>
    <r>
      <rPr>
        <b/>
        <u/>
        <vertAlign val="superscript"/>
        <sz val="8"/>
        <color theme="1"/>
        <rFont val="Arial"/>
        <family val="2"/>
      </rPr>
      <t>1</t>
    </r>
  </si>
  <si>
    <r>
      <t>Quarterly Guidance</t>
    </r>
    <r>
      <rPr>
        <b/>
        <u/>
        <vertAlign val="superscript"/>
        <sz val="8"/>
        <color theme="1"/>
        <rFont val="Arial"/>
        <family val="2"/>
      </rPr>
      <t>1</t>
    </r>
  </si>
  <si>
    <t>(1) Finaro contribution factored in beginning Aug '23 ($2-3bn and $15bn E2E Volume impact in FY23 and FY24, respectively).</t>
  </si>
  <si>
    <t>Y/Y % Change, Organic, cFX</t>
  </si>
  <si>
    <t>BAABTAhSRVBPUlRFRAFI/////wFQBAAAACNDSVEuRk9VUi5JUV9MQVNUU0FMRVBSSUNFLjYvMzAvMjAyNAEAAADyZFQBAgAAAAU3My4zNQBITpoY/pbdCE75zBj+lt0IHkNJUS5GT1VSLklRX1BFX0VYQ0xfRldELkZZMjAyNAEAAADyZFQBAwAAAAAASE6aGP6W3Qhj0Uol/pbdCB5DSVEuRk9VUi5JUV9QRV9FWENMX0ZXRC5GWTIwMjUBAAAA8mRUAQIAAAAQMTcuNTA3ODE2MTYzMDY2NQENAAAABQAAAAE5AQAAAAk2Njg1NDg1NzMCAAAACjEwMDQ3MTgxNTYDAAAABjEwMDMwOQQAAAABMgYAAAABMAcAAAADMTYwCAAAAAEwCQAAAAExCgAAAAEwCwAAAAsxNDMyMTM2MDk3NQwAAAABMQ0AAAAJNS8yMC8yMDI1SE6aGP6W3Qhj0Uol/pbdCB5DSVEuRk9VUi5JUV9QRV9FWENMX0ZXRC5GWTIwMjYBAAAA8mRUAQIAAAAPMTQuMjM1NjEyOTE5MTQ3AQ0AAAAFAAAAATkBAAAACTY2ODU0ODU3MwIAAAAKMTAwNDcyNzc5NgMAAAAGMTAwMzA5BAAAAAEyBgAAAAEwBwAAAAMxNjAIAAAAATAJAAAAATEKAAAAATALAAAACzE0MzIxMzYwOTY5DAAAAAExDQAAAAk1LzIwLzIwMjVITpoY/pbdCGPRSiX+lt0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</si>
</sst>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7" formatCode="&quot;$&quot;#,##0.00_);\(&quot;$&quot;#,##0.00\)"/>
    <numFmt numFmtId="41" formatCode="_(* #,##0_);_(* \(#,##0\);_(* &quot;-&quot;_);_(@_)"/>
    <numFmt numFmtId="43" formatCode="_(* #,##0.00_);_(* \(#,##0.00\);_(* &quot;-&quot;??_);_(@_)"/>
    <numFmt numFmtId="164" formatCode="m/d/yy;@"/>
    <numFmt numFmtId="165" formatCode="_(* #,##0%_);_(* \(#,##0%\);_(* &quot;-&quot;_);_(@_)"/>
    <numFmt numFmtId="166" formatCode="_(* #,##0.0%_);_(* \(#,##0.0%\);_(* &quot;-&quot;_);_(@_)"/>
    <numFmt numFmtId="167" formatCode="_(* #,##0.00%_);_(* \(#,##0.00%\);_(* &quot;-&quot;_);_(@_)"/>
    <numFmt numFmtId="168" formatCode="_(* #,##0.0_);_(* \(#,##0.0\);_(* &quot;-&quot;_);_(@_)"/>
    <numFmt numFmtId="169" formatCode="_(* #,##0.0\x_);_(* \(#,##0.0\x\);_(* &quot;-&quot;?_);_(@_)"/>
    <numFmt numFmtId="170" formatCode="#,##0.0%_);\(#,##0.0%\)"/>
    <numFmt numFmtId="171" formatCode="0.0%"/>
    <numFmt numFmtId="172" formatCode="#,##0.0\x_);\(#,##0.0\x\)"/>
    <numFmt numFmtId="173" formatCode="#,##0%_);\(#,##0%\)"/>
    <numFmt numFmtId="174" formatCode="_(* #,##0.0\x_);_(* \(#,##0.0\x\);_(* &quot;-&quot;_);_(@_)"/>
    <numFmt numFmtId="175" formatCode="_(* #,##0_);_(* \(#,##0\);_(* &quot;-&quot;??_);_(@_)"/>
    <numFmt numFmtId="176" formatCode="_(* #,##0.0000_);_(* \(#,##0.0000\);_(* &quot;-&quot;_);_(@_)"/>
    <numFmt numFmtId="177" formatCode="_(* #,##0.000_);_(* \(#,##0.000\);_(* &quot;-&quot;_);_(@_)"/>
    <numFmt numFmtId="178" formatCode="_(* #,##0%_);_(* \(#,##0%\);_(* &quot;-&quot;??_);_(@_)"/>
    <numFmt numFmtId="179" formatCode="_(* #,##0.000_);_(* \(#,##0.000\);_(* &quot;-&quot;??_);_(@_)"/>
    <numFmt numFmtId="180" formatCode="_(* #,##0.00_);_(* \(#,##0.00\);_(* &quot;-&quot;_);_(@_)"/>
  </numFmts>
  <fonts count="40" x14ac:knownFonts="1">
    <font>
      <sz val="8"/>
      <color theme="1"/>
      <name val="Arial"/>
      <family val="2"/>
    </font>
    <font>
      <b/>
      <sz val="8"/>
      <color theme="1"/>
      <name val="Arial"/>
      <family val="2"/>
    </font>
    <font>
      <i/>
      <sz val="8"/>
      <color theme="1"/>
      <name val="Arial"/>
      <family val="2"/>
    </font>
    <font>
      <b/>
      <u val="singleAccounting"/>
      <sz val="8"/>
      <color theme="1"/>
      <name val="Arial"/>
      <family val="2"/>
    </font>
    <font>
      <sz val="8"/>
      <name val="Arial"/>
      <family val="2"/>
    </font>
    <font>
      <sz val="8"/>
      <color rgb="FF0000FF"/>
      <name val="Arial"/>
      <family val="2"/>
    </font>
    <font>
      <u val="singleAccounting"/>
      <sz val="8"/>
      <color rgb="FF0000FF"/>
      <name val="Arial"/>
      <family val="2"/>
    </font>
    <font>
      <u val="singleAccounting"/>
      <sz val="8"/>
      <color theme="1"/>
      <name val="Arial"/>
      <family val="2"/>
    </font>
    <font>
      <u val="singleAccounting"/>
      <sz val="8"/>
      <name val="Arial"/>
      <family val="2"/>
    </font>
    <font>
      <u val="singleAccounting"/>
      <sz val="8"/>
      <color rgb="FFFF0000"/>
      <name val="Arial"/>
      <family val="2"/>
    </font>
    <font>
      <b/>
      <u/>
      <sz val="8"/>
      <color theme="1"/>
      <name val="Arial"/>
      <family val="2"/>
    </font>
    <font>
      <i/>
      <sz val="8"/>
      <name val="Arial"/>
      <family val="2"/>
    </font>
    <font>
      <b/>
      <i/>
      <sz val="8"/>
      <color theme="1"/>
      <name val="Arial"/>
      <family val="2"/>
    </font>
    <font>
      <i/>
      <u/>
      <sz val="8"/>
      <color theme="1"/>
      <name val="Arial"/>
      <family val="2"/>
    </font>
    <font>
      <sz val="8"/>
      <color theme="1"/>
      <name val="Arial"/>
      <family val="2"/>
    </font>
    <font>
      <sz val="8"/>
      <color rgb="FFFF0000"/>
      <name val="Arial"/>
      <family val="2"/>
    </font>
    <font>
      <sz val="8"/>
      <color theme="0"/>
      <name val="Arial"/>
      <family val="2"/>
    </font>
    <font>
      <b/>
      <sz val="8"/>
      <color rgb="FF0000FF"/>
      <name val="Arial"/>
      <family val="2"/>
    </font>
    <font>
      <b/>
      <sz val="8"/>
      <name val="Arial"/>
      <family val="2"/>
    </font>
    <font>
      <i/>
      <sz val="8"/>
      <color rgb="FF0000FF"/>
      <name val="Arial"/>
      <family val="2"/>
    </font>
    <font>
      <i/>
      <sz val="8"/>
      <color rgb="FFFF0000"/>
      <name val="Arial"/>
      <family val="2"/>
    </font>
    <font>
      <i/>
      <u val="singleAccounting"/>
      <sz val="8"/>
      <name val="Arial"/>
      <family val="2"/>
    </font>
    <font>
      <b/>
      <vertAlign val="superscript"/>
      <sz val="8"/>
      <color theme="1"/>
      <name val="Arial"/>
      <family val="2"/>
    </font>
    <font>
      <i/>
      <u val="singleAccounting"/>
      <sz val="8"/>
      <color rgb="FFFF0000"/>
      <name val="Arial"/>
      <family val="2"/>
    </font>
    <font>
      <i/>
      <u val="singleAccounting"/>
      <sz val="8"/>
      <color rgb="FF0000FF"/>
      <name val="Arial"/>
      <family val="2"/>
    </font>
    <font>
      <sz val="11"/>
      <color theme="1"/>
      <name val="Calibri"/>
      <family val="2"/>
      <scheme val="minor"/>
    </font>
    <font>
      <sz val="10"/>
      <color theme="1"/>
      <name val="Arial"/>
      <family val="2"/>
    </font>
    <font>
      <sz val="8"/>
      <color rgb="FF00B050"/>
      <name val="Arial"/>
      <family val="2"/>
    </font>
    <font>
      <b/>
      <sz val="8"/>
      <color rgb="FF00B050"/>
      <name val="Arial"/>
      <family val="2"/>
    </font>
    <font>
      <u val="singleAccounting"/>
      <sz val="8"/>
      <color rgb="FF00B050"/>
      <name val="Arial"/>
      <family val="2"/>
    </font>
    <font>
      <i/>
      <sz val="8"/>
      <color rgb="FF00B050"/>
      <name val="Arial"/>
      <family val="2"/>
    </font>
    <font>
      <u/>
      <sz val="8"/>
      <color theme="1"/>
      <name val="Arial"/>
      <family val="2"/>
    </font>
    <font>
      <i/>
      <u val="singleAccounting"/>
      <sz val="8"/>
      <color theme="1"/>
      <name val="Arial"/>
      <family val="2"/>
    </font>
    <font>
      <u/>
      <sz val="8"/>
      <color rgb="FF0000FF"/>
      <name val="Arial"/>
      <family val="2"/>
    </font>
    <font>
      <u/>
      <sz val="8"/>
      <name val="Arial"/>
      <family val="2"/>
    </font>
    <font>
      <u/>
      <sz val="8"/>
      <color rgb="FFFF0000"/>
      <name val="Arial"/>
      <family val="2"/>
    </font>
    <font>
      <sz val="8"/>
      <color rgb="FF7030A0"/>
      <name val="Arial"/>
      <family val="2"/>
    </font>
    <font>
      <i/>
      <sz val="8"/>
      <color rgb="FF7030A0"/>
      <name val="Arial"/>
      <family val="2"/>
    </font>
    <font>
      <i/>
      <sz val="8"/>
      <color theme="0"/>
      <name val="Arial"/>
      <family val="2"/>
    </font>
    <font>
      <b/>
      <u/>
      <vertAlign val="superscript"/>
      <sz val="8"/>
      <color theme="1"/>
      <name val="Arial"/>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8">
    <xf numFmtId="0" fontId="0" fillId="0" borderId="0"/>
    <xf numFmtId="9" fontId="14" fillId="0" borderId="0" applyFont="0" applyFill="0" applyBorder="0" applyAlignment="0" applyProtection="0"/>
    <xf numFmtId="0" fontId="25" fillId="0" borderId="0"/>
    <xf numFmtId="9" fontId="26" fillId="0" borderId="0" applyFont="0" applyFill="0" applyBorder="0" applyAlignment="0" applyProtection="0"/>
    <xf numFmtId="0" fontId="14" fillId="0" borderId="0"/>
    <xf numFmtId="9" fontId="25" fillId="0" borderId="0" applyFont="0" applyFill="0" applyBorder="0" applyAlignment="0" applyProtection="0"/>
    <xf numFmtId="9" fontId="25" fillId="0" borderId="0" applyFont="0" applyFill="0" applyBorder="0" applyAlignment="0" applyProtection="0"/>
    <xf numFmtId="9" fontId="14" fillId="0" borderId="0" applyFont="0" applyFill="0" applyBorder="0" applyAlignment="0" applyProtection="0"/>
  </cellStyleXfs>
  <cellXfs count="280">
    <xf numFmtId="0" fontId="0" fillId="0" borderId="0" xfId="0"/>
    <xf numFmtId="0" fontId="1" fillId="0" borderId="0" xfId="0" applyFont="1"/>
    <xf numFmtId="0" fontId="1" fillId="0" borderId="1" xfId="0" applyFont="1" applyBorder="1"/>
    <xf numFmtId="0" fontId="2" fillId="0" borderId="0" xfId="0" applyFont="1"/>
    <xf numFmtId="0" fontId="3" fillId="0" borderId="0" xfId="0" applyFont="1" applyAlignment="1">
      <alignment horizontal="center"/>
    </xf>
    <xf numFmtId="0" fontId="0" fillId="0" borderId="1" xfId="0" applyBorder="1"/>
    <xf numFmtId="0" fontId="1" fillId="0" borderId="1" xfId="0" applyFont="1" applyBorder="1" applyAlignment="1">
      <alignment horizontal="centerContinuous"/>
    </xf>
    <xf numFmtId="0" fontId="0" fillId="0" borderId="1" xfId="0" applyBorder="1" applyAlignment="1">
      <alignment horizontal="centerContinuous"/>
    </xf>
    <xf numFmtId="164" fontId="2" fillId="0" borderId="0" xfId="0" applyNumberFormat="1" applyFont="1"/>
    <xf numFmtId="0" fontId="0" fillId="0" borderId="3" xfId="0" applyBorder="1"/>
    <xf numFmtId="0" fontId="1" fillId="0" borderId="2" xfId="0" applyFont="1" applyBorder="1"/>
    <xf numFmtId="0" fontId="0" fillId="0" borderId="0" xfId="0" applyAlignment="1">
      <alignment horizontal="left" indent="1"/>
    </xf>
    <xf numFmtId="0" fontId="0" fillId="0" borderId="0" xfId="0" applyAlignment="1">
      <alignment horizontal="left" indent="2"/>
    </xf>
    <xf numFmtId="41" fontId="0" fillId="0" borderId="0" xfId="0" applyNumberFormat="1"/>
    <xf numFmtId="41" fontId="5" fillId="0" borderId="0" xfId="0" applyNumberFormat="1" applyFont="1"/>
    <xf numFmtId="41" fontId="6" fillId="0" borderId="0" xfId="0" applyNumberFormat="1" applyFont="1"/>
    <xf numFmtId="41" fontId="7" fillId="0" borderId="0" xfId="0" applyNumberFormat="1" applyFont="1"/>
    <xf numFmtId="41" fontId="4" fillId="0" borderId="0" xfId="0" applyNumberFormat="1" applyFont="1"/>
    <xf numFmtId="41" fontId="8" fillId="0" borderId="0" xfId="0" applyNumberFormat="1" applyFont="1"/>
    <xf numFmtId="0" fontId="2" fillId="0" borderId="0" xfId="0" applyFont="1" applyAlignment="1">
      <alignment horizontal="center"/>
    </xf>
    <xf numFmtId="43" fontId="0" fillId="0" borderId="0" xfId="0" applyNumberFormat="1"/>
    <xf numFmtId="0" fontId="7" fillId="0" borderId="0" xfId="0" applyFont="1"/>
    <xf numFmtId="41" fontId="9" fillId="0" borderId="0" xfId="0" applyNumberFormat="1" applyFont="1"/>
    <xf numFmtId="0" fontId="10" fillId="0" borderId="0" xfId="0" applyFont="1"/>
    <xf numFmtId="0" fontId="2" fillId="0" borderId="0" xfId="0" applyFont="1" applyAlignment="1">
      <alignment horizontal="left" indent="1"/>
    </xf>
    <xf numFmtId="165" fontId="11" fillId="0" borderId="0" xfId="0" applyNumberFormat="1" applyFont="1"/>
    <xf numFmtId="0" fontId="12" fillId="0" borderId="0" xfId="0" applyFont="1" applyAlignment="1">
      <alignment horizontal="center"/>
    </xf>
    <xf numFmtId="0" fontId="13" fillId="0" borderId="0" xfId="0" applyFont="1" applyAlignment="1">
      <alignment horizontal="left" indent="1"/>
    </xf>
    <xf numFmtId="0" fontId="2" fillId="0" borderId="0" xfId="0" applyFont="1" applyAlignment="1">
      <alignment horizontal="left" indent="2"/>
    </xf>
    <xf numFmtId="41" fontId="0" fillId="0" borderId="0" xfId="0" applyNumberFormat="1" applyAlignment="1">
      <alignment horizontal="center"/>
    </xf>
    <xf numFmtId="41" fontId="7" fillId="0" borderId="0" xfId="0" applyNumberFormat="1" applyFont="1" applyAlignment="1">
      <alignment horizontal="center"/>
    </xf>
    <xf numFmtId="0" fontId="1" fillId="0" borderId="0" xfId="0" applyFont="1" applyAlignment="1">
      <alignment horizontal="left" indent="1"/>
    </xf>
    <xf numFmtId="41" fontId="1" fillId="0" borderId="0" xfId="0" applyNumberFormat="1" applyFont="1" applyAlignment="1">
      <alignment horizontal="center"/>
    </xf>
    <xf numFmtId="41" fontId="17" fillId="0" borderId="0" xfId="0" applyNumberFormat="1" applyFont="1"/>
    <xf numFmtId="41" fontId="18" fillId="0" borderId="0" xfId="0" applyNumberFormat="1" applyFont="1"/>
    <xf numFmtId="166" fontId="11" fillId="0" borderId="0" xfId="0" applyNumberFormat="1" applyFont="1"/>
    <xf numFmtId="167" fontId="11" fillId="0" borderId="0" xfId="0" applyNumberFormat="1" applyFont="1"/>
    <xf numFmtId="41" fontId="2" fillId="0" borderId="0" xfId="0" applyNumberFormat="1" applyFont="1" applyAlignment="1">
      <alignment horizontal="center"/>
    </xf>
    <xf numFmtId="167" fontId="19" fillId="0" borderId="0" xfId="0" applyNumberFormat="1" applyFont="1"/>
    <xf numFmtId="167" fontId="20" fillId="0" borderId="0" xfId="0" applyNumberFormat="1" applyFont="1"/>
    <xf numFmtId="0" fontId="1" fillId="0" borderId="0" xfId="0" applyFont="1" applyAlignment="1">
      <alignment horizontal="left" indent="2"/>
    </xf>
    <xf numFmtId="0" fontId="2" fillId="0" borderId="0" xfId="0" applyFont="1" applyAlignment="1">
      <alignment horizontal="left" indent="3"/>
    </xf>
    <xf numFmtId="165" fontId="21" fillId="0" borderId="0" xfId="0" applyNumberFormat="1" applyFont="1"/>
    <xf numFmtId="165" fontId="11" fillId="0" borderId="0" xfId="0" applyNumberFormat="1" applyFont="1" applyAlignment="1">
      <alignment horizontal="right"/>
    </xf>
    <xf numFmtId="165" fontId="21" fillId="0" borderId="0" xfId="0" applyNumberFormat="1" applyFont="1" applyAlignment="1">
      <alignment horizontal="right"/>
    </xf>
    <xf numFmtId="41" fontId="19" fillId="0" borderId="0" xfId="0" applyNumberFormat="1" applyFont="1"/>
    <xf numFmtId="41" fontId="4" fillId="0" borderId="0" xfId="0" applyNumberFormat="1" applyFont="1" applyAlignment="1">
      <alignment horizontal="center"/>
    </xf>
    <xf numFmtId="0" fontId="0" fillId="0" borderId="0" xfId="0" quotePrefix="1"/>
    <xf numFmtId="0" fontId="12" fillId="0" borderId="1" xfId="0" applyFont="1" applyBorder="1" applyAlignment="1">
      <alignment horizontal="center"/>
    </xf>
    <xf numFmtId="41" fontId="15" fillId="0" borderId="0" xfId="0" applyNumberFormat="1" applyFont="1"/>
    <xf numFmtId="0" fontId="2" fillId="0" borderId="0" xfId="0" applyFont="1" applyAlignment="1">
      <alignment horizontal="right"/>
    </xf>
    <xf numFmtId="0" fontId="2" fillId="0" borderId="0" xfId="0" quotePrefix="1" applyFont="1" applyAlignment="1">
      <alignment horizontal="left" indent="2"/>
    </xf>
    <xf numFmtId="41" fontId="11" fillId="0" borderId="0" xfId="0" applyNumberFormat="1" applyFont="1"/>
    <xf numFmtId="169" fontId="2" fillId="0" borderId="0" xfId="0" applyNumberFormat="1" applyFont="1" applyAlignment="1">
      <alignment horizontal="center"/>
    </xf>
    <xf numFmtId="165" fontId="19" fillId="0" borderId="0" xfId="0" applyNumberFormat="1" applyFont="1"/>
    <xf numFmtId="165" fontId="20" fillId="0" borderId="0" xfId="0" applyNumberFormat="1" applyFont="1"/>
    <xf numFmtId="41" fontId="1" fillId="0" borderId="0" xfId="0" applyNumberFormat="1" applyFont="1"/>
    <xf numFmtId="43" fontId="1" fillId="0" borderId="0" xfId="0" applyNumberFormat="1" applyFont="1"/>
    <xf numFmtId="165" fontId="23" fillId="0" borderId="0" xfId="0" applyNumberFormat="1" applyFont="1"/>
    <xf numFmtId="166" fontId="20" fillId="0" borderId="0" xfId="0" applyNumberFormat="1" applyFont="1"/>
    <xf numFmtId="41" fontId="9" fillId="0" borderId="0" xfId="0" applyNumberFormat="1" applyFont="1" applyAlignment="1">
      <alignment horizontal="center"/>
    </xf>
    <xf numFmtId="41" fontId="15" fillId="0" borderId="0" xfId="0" applyNumberFormat="1" applyFont="1" applyAlignment="1">
      <alignment horizontal="center"/>
    </xf>
    <xf numFmtId="41" fontId="20" fillId="0" borderId="0" xfId="0" applyNumberFormat="1" applyFont="1" applyAlignment="1">
      <alignment horizontal="center"/>
    </xf>
    <xf numFmtId="0" fontId="2" fillId="0" borderId="0" xfId="0" quotePrefix="1" applyFont="1" applyAlignment="1">
      <alignment horizontal="left" indent="1"/>
    </xf>
    <xf numFmtId="41" fontId="11" fillId="0" borderId="0" xfId="0" applyNumberFormat="1" applyFont="1" applyAlignment="1">
      <alignment horizontal="center"/>
    </xf>
    <xf numFmtId="0" fontId="14" fillId="0" borderId="0" xfId="2" applyFont="1"/>
    <xf numFmtId="0" fontId="0" fillId="0" borderId="0" xfId="2" applyFont="1" applyAlignment="1">
      <alignment horizontal="center"/>
    </xf>
    <xf numFmtId="0" fontId="1" fillId="0" borderId="0" xfId="2" applyFont="1"/>
    <xf numFmtId="14" fontId="2" fillId="0" borderId="0" xfId="2" applyNumberFormat="1" applyFont="1"/>
    <xf numFmtId="14" fontId="2" fillId="0" borderId="0" xfId="2" applyNumberFormat="1" applyFont="1" applyAlignment="1">
      <alignment horizontal="right"/>
    </xf>
    <xf numFmtId="164" fontId="2" fillId="0" borderId="0" xfId="2" applyNumberFormat="1" applyFont="1" applyAlignment="1">
      <alignment horizontal="right"/>
    </xf>
    <xf numFmtId="0" fontId="1" fillId="0" borderId="1" xfId="2" applyFont="1" applyBorder="1"/>
    <xf numFmtId="0" fontId="14" fillId="0" borderId="1" xfId="2" applyFont="1" applyBorder="1"/>
    <xf numFmtId="0" fontId="1" fillId="0" borderId="1" xfId="2" applyFont="1" applyBorder="1" applyAlignment="1">
      <alignment horizontal="centerContinuous"/>
    </xf>
    <xf numFmtId="0" fontId="14" fillId="0" borderId="1" xfId="2" applyFont="1" applyBorder="1" applyAlignment="1">
      <alignment horizontal="centerContinuous"/>
    </xf>
    <xf numFmtId="0" fontId="3" fillId="0" borderId="0" xfId="2" applyFont="1" applyAlignment="1">
      <alignment horizontal="center"/>
    </xf>
    <xf numFmtId="14" fontId="16" fillId="0" borderId="0" xfId="3" applyNumberFormat="1" applyFont="1" applyAlignment="1">
      <alignment horizontal="center"/>
    </xf>
    <xf numFmtId="0" fontId="0" fillId="0" borderId="0" xfId="2" applyFont="1"/>
    <xf numFmtId="41" fontId="27" fillId="0" borderId="0" xfId="3" applyNumberFormat="1" applyFont="1" applyAlignment="1">
      <alignment horizontal="center"/>
    </xf>
    <xf numFmtId="41" fontId="4" fillId="0" borderId="0" xfId="3" applyNumberFormat="1" applyFont="1" applyAlignment="1">
      <alignment horizontal="center"/>
    </xf>
    <xf numFmtId="0" fontId="2" fillId="0" borderId="0" xfId="2" applyFont="1" applyAlignment="1">
      <alignment horizontal="left" indent="1"/>
    </xf>
    <xf numFmtId="165" fontId="11" fillId="0" borderId="0" xfId="2" applyNumberFormat="1" applyFont="1"/>
    <xf numFmtId="41" fontId="11" fillId="0" borderId="0" xfId="2" applyNumberFormat="1" applyFont="1"/>
    <xf numFmtId="168" fontId="11" fillId="0" borderId="0" xfId="2" applyNumberFormat="1" applyFont="1"/>
    <xf numFmtId="41" fontId="28" fillId="0" borderId="0" xfId="3" applyNumberFormat="1" applyFont="1" applyAlignment="1">
      <alignment horizontal="center"/>
    </xf>
    <xf numFmtId="41" fontId="18" fillId="0" borderId="0" xfId="2" applyNumberFormat="1" applyFont="1"/>
    <xf numFmtId="165" fontId="20" fillId="0" borderId="0" xfId="2" applyNumberFormat="1" applyFont="1"/>
    <xf numFmtId="41" fontId="1" fillId="0" borderId="0" xfId="2" applyNumberFormat="1" applyFont="1"/>
    <xf numFmtId="43" fontId="1" fillId="0" borderId="0" xfId="2" applyNumberFormat="1" applyFont="1"/>
    <xf numFmtId="41" fontId="14" fillId="0" borderId="0" xfId="2" applyNumberFormat="1" applyFont="1"/>
    <xf numFmtId="43" fontId="14" fillId="0" borderId="0" xfId="2" applyNumberFormat="1" applyFont="1"/>
    <xf numFmtId="166" fontId="11" fillId="0" borderId="0" xfId="2" applyNumberFormat="1" applyFont="1"/>
    <xf numFmtId="166" fontId="20" fillId="0" borderId="0" xfId="2" applyNumberFormat="1" applyFont="1"/>
    <xf numFmtId="41" fontId="2" fillId="0" borderId="0" xfId="2" applyNumberFormat="1" applyFont="1"/>
    <xf numFmtId="170" fontId="2" fillId="0" borderId="0" xfId="2" applyNumberFormat="1" applyFont="1"/>
    <xf numFmtId="0" fontId="2" fillId="0" borderId="0" xfId="2" applyFont="1"/>
    <xf numFmtId="41" fontId="29" fillId="0" borderId="0" xfId="3" applyNumberFormat="1" applyFont="1" applyAlignment="1">
      <alignment horizontal="center"/>
    </xf>
    <xf numFmtId="41" fontId="4" fillId="0" borderId="0" xfId="2" applyNumberFormat="1" applyFont="1"/>
    <xf numFmtId="0" fontId="2" fillId="0" borderId="0" xfId="4" applyFont="1" applyAlignment="1">
      <alignment horizontal="left" indent="2"/>
    </xf>
    <xf numFmtId="165" fontId="11" fillId="0" borderId="0" xfId="2" applyNumberFormat="1" applyFont="1" applyAlignment="1">
      <alignment horizontal="right"/>
    </xf>
    <xf numFmtId="165" fontId="2" fillId="0" borderId="0" xfId="2" applyNumberFormat="1" applyFont="1"/>
    <xf numFmtId="43" fontId="2" fillId="0" borderId="0" xfId="2" applyNumberFormat="1" applyFont="1"/>
    <xf numFmtId="0" fontId="2" fillId="0" borderId="0" xfId="4" applyFont="1" applyAlignment="1">
      <alignment horizontal="left" indent="1"/>
    </xf>
    <xf numFmtId="0" fontId="14" fillId="0" borderId="0" xfId="2" applyFont="1" applyAlignment="1">
      <alignment horizontal="left" indent="3"/>
    </xf>
    <xf numFmtId="9" fontId="14" fillId="0" borderId="0" xfId="5" applyFont="1"/>
    <xf numFmtId="171" fontId="14" fillId="0" borderId="0" xfId="6" applyNumberFormat="1" applyFont="1"/>
    <xf numFmtId="41" fontId="9" fillId="0" borderId="0" xfId="2" applyNumberFormat="1" applyFont="1"/>
    <xf numFmtId="0" fontId="14" fillId="0" borderId="0" xfId="2" applyFont="1" applyAlignment="1">
      <alignment horizontal="left" indent="1"/>
    </xf>
    <xf numFmtId="0" fontId="2" fillId="0" borderId="0" xfId="2" applyFont="1" applyAlignment="1">
      <alignment horizontal="left" indent="2"/>
    </xf>
    <xf numFmtId="166" fontId="2" fillId="0" borderId="0" xfId="2" applyNumberFormat="1" applyFont="1"/>
    <xf numFmtId="171" fontId="14" fillId="0" borderId="0" xfId="7" applyNumberFormat="1"/>
    <xf numFmtId="0" fontId="10" fillId="0" borderId="0" xfId="2" applyFont="1"/>
    <xf numFmtId="10" fontId="14" fillId="0" borderId="0" xfId="7" applyNumberFormat="1"/>
    <xf numFmtId="166" fontId="2" fillId="0" borderId="0" xfId="2" applyNumberFormat="1" applyFont="1" applyAlignment="1">
      <alignment horizontal="right"/>
    </xf>
    <xf numFmtId="0" fontId="13" fillId="0" borderId="0" xfId="2" applyFont="1" applyAlignment="1">
      <alignment horizontal="left" indent="1"/>
    </xf>
    <xf numFmtId="41" fontId="27" fillId="0" borderId="0" xfId="2" applyNumberFormat="1" applyFont="1"/>
    <xf numFmtId="41" fontId="15" fillId="0" borderId="0" xfId="2" applyNumberFormat="1" applyFont="1"/>
    <xf numFmtId="41" fontId="7" fillId="0" borderId="0" xfId="2" applyNumberFormat="1" applyFont="1"/>
    <xf numFmtId="41" fontId="29" fillId="0" borderId="0" xfId="2" applyNumberFormat="1" applyFont="1"/>
    <xf numFmtId="41" fontId="8" fillId="0" borderId="0" xfId="2" applyNumberFormat="1" applyFont="1"/>
    <xf numFmtId="41" fontId="16" fillId="0" borderId="0" xfId="2" applyNumberFormat="1" applyFont="1"/>
    <xf numFmtId="0" fontId="2" fillId="0" borderId="0" xfId="2" quotePrefix="1" applyFont="1" applyAlignment="1">
      <alignment horizontal="left" indent="2"/>
    </xf>
    <xf numFmtId="172" fontId="2" fillId="0" borderId="0" xfId="2" applyNumberFormat="1" applyFont="1"/>
    <xf numFmtId="172" fontId="20" fillId="0" borderId="0" xfId="2" applyNumberFormat="1" applyFont="1"/>
    <xf numFmtId="173" fontId="2" fillId="0" borderId="0" xfId="2" applyNumberFormat="1" applyFont="1"/>
    <xf numFmtId="173" fontId="12" fillId="0" borderId="4" xfId="2" applyNumberFormat="1" applyFont="1" applyBorder="1"/>
    <xf numFmtId="0" fontId="14" fillId="0" borderId="0" xfId="2" applyFont="1" applyAlignment="1">
      <alignment horizontal="left"/>
    </xf>
    <xf numFmtId="172" fontId="14" fillId="0" borderId="0" xfId="2" applyNumberFormat="1" applyFont="1"/>
    <xf numFmtId="0" fontId="0" fillId="0" borderId="0" xfId="2" applyFont="1" applyAlignment="1">
      <alignment horizontal="left"/>
    </xf>
    <xf numFmtId="7" fontId="14" fillId="0" borderId="0" xfId="2" applyNumberFormat="1" applyFont="1"/>
    <xf numFmtId="172" fontId="9" fillId="0" borderId="0" xfId="2" applyNumberFormat="1" applyFont="1"/>
    <xf numFmtId="41" fontId="3" fillId="0" borderId="0" xfId="2" applyNumberFormat="1" applyFont="1" applyAlignment="1">
      <alignment horizontal="center"/>
    </xf>
    <xf numFmtId="41" fontId="14" fillId="0" borderId="0" xfId="2" applyNumberFormat="1" applyFont="1" applyAlignment="1">
      <alignment horizontal="right"/>
    </xf>
    <xf numFmtId="0" fontId="1" fillId="2" borderId="2" xfId="2" applyFont="1" applyFill="1" applyBorder="1"/>
    <xf numFmtId="41" fontId="1" fillId="2" borderId="5" xfId="2" applyNumberFormat="1" applyFont="1" applyFill="1" applyBorder="1"/>
    <xf numFmtId="173" fontId="1" fillId="2" borderId="3" xfId="2" applyNumberFormat="1" applyFont="1" applyFill="1" applyBorder="1"/>
    <xf numFmtId="10" fontId="14" fillId="0" borderId="0" xfId="1" applyNumberFormat="1" applyFont="1"/>
    <xf numFmtId="0" fontId="1" fillId="0" borderId="2" xfId="2" applyFont="1" applyBorder="1" applyAlignment="1">
      <alignment horizontal="centerContinuous"/>
    </xf>
    <xf numFmtId="0" fontId="1" fillId="0" borderId="5" xfId="2" applyFont="1" applyBorder="1" applyAlignment="1">
      <alignment horizontal="centerContinuous"/>
    </xf>
    <xf numFmtId="0" fontId="1" fillId="0" borderId="3" xfId="2" applyFont="1" applyBorder="1" applyAlignment="1">
      <alignment horizontal="centerContinuous"/>
    </xf>
    <xf numFmtId="43" fontId="5" fillId="0" borderId="0" xfId="2" applyNumberFormat="1" applyFont="1"/>
    <xf numFmtId="43" fontId="7" fillId="0" borderId="0" xfId="2" applyNumberFormat="1" applyFont="1"/>
    <xf numFmtId="0" fontId="14" fillId="0" borderId="0" xfId="4"/>
    <xf numFmtId="0" fontId="1" fillId="0" borderId="0" xfId="2" applyFont="1" applyAlignment="1">
      <alignment horizontal="left" indent="1"/>
    </xf>
    <xf numFmtId="0" fontId="2" fillId="0" borderId="0" xfId="2" applyFont="1" applyAlignment="1">
      <alignment horizontal="center"/>
    </xf>
    <xf numFmtId="41" fontId="5" fillId="0" borderId="0" xfId="0" applyNumberFormat="1" applyFont="1" applyAlignment="1">
      <alignment horizontal="right"/>
    </xf>
    <xf numFmtId="41" fontId="6" fillId="0" borderId="0" xfId="0" applyNumberFormat="1" applyFont="1" applyAlignment="1">
      <alignment horizontal="right"/>
    </xf>
    <xf numFmtId="41" fontId="30" fillId="0" borderId="0" xfId="2" applyNumberFormat="1" applyFont="1"/>
    <xf numFmtId="9" fontId="1" fillId="0" borderId="0" xfId="1" applyFont="1"/>
    <xf numFmtId="41" fontId="20" fillId="0" borderId="0" xfId="2" applyNumberFormat="1" applyFont="1"/>
    <xf numFmtId="43" fontId="5" fillId="0" borderId="0" xfId="0" applyNumberFormat="1" applyFont="1"/>
    <xf numFmtId="13" fontId="14" fillId="0" borderId="0" xfId="2" applyNumberFormat="1" applyFont="1"/>
    <xf numFmtId="168" fontId="0" fillId="0" borderId="0" xfId="0" applyNumberFormat="1"/>
    <xf numFmtId="41" fontId="4" fillId="0" borderId="0" xfId="0" applyNumberFormat="1" applyFont="1" applyAlignment="1">
      <alignment horizontal="right"/>
    </xf>
    <xf numFmtId="41" fontId="8" fillId="0" borderId="0" xfId="0" applyNumberFormat="1" applyFont="1" applyAlignment="1">
      <alignment horizontal="right"/>
    </xf>
    <xf numFmtId="41" fontId="24" fillId="0" borderId="0" xfId="0" applyNumberFormat="1" applyFont="1"/>
    <xf numFmtId="41" fontId="11" fillId="0" borderId="0" xfId="0" applyNumberFormat="1" applyFont="1" applyAlignment="1">
      <alignment horizontal="right"/>
    </xf>
    <xf numFmtId="41" fontId="20" fillId="0" borderId="0" xfId="0" applyNumberFormat="1" applyFont="1" applyAlignment="1">
      <alignment horizontal="right"/>
    </xf>
    <xf numFmtId="41" fontId="23" fillId="0" borderId="0" xfId="0" applyNumberFormat="1" applyFont="1"/>
    <xf numFmtId="41" fontId="20" fillId="0" borderId="0" xfId="0" applyNumberFormat="1" applyFont="1"/>
    <xf numFmtId="10" fontId="0" fillId="0" borderId="0" xfId="1" applyNumberFormat="1" applyFont="1"/>
    <xf numFmtId="0" fontId="1" fillId="0" borderId="2" xfId="0" quotePrefix="1" applyFont="1" applyBorder="1"/>
    <xf numFmtId="0" fontId="1" fillId="0" borderId="0" xfId="0" applyFont="1" applyAlignment="1">
      <alignment horizontal="center"/>
    </xf>
    <xf numFmtId="164" fontId="5" fillId="0" borderId="0" xfId="0" applyNumberFormat="1" applyFont="1" applyAlignment="1">
      <alignment horizontal="center"/>
    </xf>
    <xf numFmtId="174" fontId="0" fillId="0" borderId="0" xfId="0" applyNumberFormat="1" applyAlignment="1">
      <alignment horizontal="center"/>
    </xf>
    <xf numFmtId="164" fontId="15" fillId="0" borderId="0" xfId="0" applyNumberFormat="1" applyFont="1" applyAlignment="1">
      <alignment horizontal="center"/>
    </xf>
    <xf numFmtId="0" fontId="31" fillId="0" borderId="0" xfId="0" quotePrefix="1" applyFont="1"/>
    <xf numFmtId="0" fontId="31" fillId="0" borderId="0" xfId="0" applyFont="1"/>
    <xf numFmtId="0" fontId="10" fillId="0" borderId="0" xfId="0" applyFont="1" applyAlignment="1">
      <alignment horizontal="center"/>
    </xf>
    <xf numFmtId="0" fontId="13" fillId="0" borderId="0" xfId="0" applyFont="1" applyAlignment="1">
      <alignment horizontal="center"/>
    </xf>
    <xf numFmtId="0" fontId="10" fillId="0" borderId="0" xfId="0" quotePrefix="1" applyFont="1"/>
    <xf numFmtId="0" fontId="1" fillId="0" borderId="0" xfId="0" quotePrefix="1" applyFont="1" applyAlignment="1">
      <alignment horizontal="left" indent="1"/>
    </xf>
    <xf numFmtId="174" fontId="15" fillId="0" borderId="0" xfId="0" applyNumberFormat="1" applyFont="1" applyAlignment="1">
      <alignment horizontal="center"/>
    </xf>
    <xf numFmtId="0" fontId="13" fillId="0" borderId="0" xfId="0" quotePrefix="1" applyFont="1" applyAlignment="1">
      <alignment horizontal="left" indent="1"/>
    </xf>
    <xf numFmtId="168" fontId="15" fillId="0" borderId="0" xfId="0" applyNumberFormat="1" applyFont="1"/>
    <xf numFmtId="174" fontId="0" fillId="0" borderId="0" xfId="0" applyNumberFormat="1" applyAlignment="1">
      <alignment horizontal="right"/>
    </xf>
    <xf numFmtId="168" fontId="5" fillId="0" borderId="0" xfId="0" applyNumberFormat="1" applyFont="1"/>
    <xf numFmtId="168" fontId="2" fillId="0" borderId="0" xfId="0" applyNumberFormat="1" applyFont="1" applyAlignment="1">
      <alignment horizontal="center"/>
    </xf>
    <xf numFmtId="168" fontId="18" fillId="0" borderId="0" xfId="0" applyNumberFormat="1" applyFont="1"/>
    <xf numFmtId="168" fontId="17" fillId="0" borderId="0" xfId="0" applyNumberFormat="1" applyFont="1"/>
    <xf numFmtId="168" fontId="19" fillId="0" borderId="0" xfId="0" applyNumberFormat="1" applyFont="1"/>
    <xf numFmtId="168" fontId="32" fillId="0" borderId="0" xfId="0" applyNumberFormat="1" applyFont="1" applyAlignment="1">
      <alignment horizontal="center"/>
    </xf>
    <xf numFmtId="168" fontId="20" fillId="0" borderId="0" xfId="0" applyNumberFormat="1" applyFont="1"/>
    <xf numFmtId="41" fontId="21" fillId="0" borderId="0" xfId="0" applyNumberFormat="1" applyFont="1"/>
    <xf numFmtId="167" fontId="5" fillId="0" borderId="0" xfId="0" applyNumberFormat="1" applyFont="1"/>
    <xf numFmtId="167" fontId="33" fillId="0" borderId="0" xfId="0" applyNumberFormat="1" applyFont="1"/>
    <xf numFmtId="167" fontId="18" fillId="0" borderId="0" xfId="0" applyNumberFormat="1" applyFont="1"/>
    <xf numFmtId="167" fontId="34" fillId="0" borderId="0" xfId="0" applyNumberFormat="1" applyFont="1"/>
    <xf numFmtId="0" fontId="18" fillId="0" borderId="0" xfId="0" applyFont="1"/>
    <xf numFmtId="167" fontId="15" fillId="0" borderId="0" xfId="0" applyNumberFormat="1" applyFont="1"/>
    <xf numFmtId="167" fontId="35" fillId="0" borderId="0" xfId="0" applyNumberFormat="1" applyFont="1"/>
    <xf numFmtId="164" fontId="3" fillId="0" borderId="0" xfId="0" applyNumberFormat="1" applyFont="1" applyAlignment="1">
      <alignment horizontal="center"/>
    </xf>
    <xf numFmtId="0" fontId="0" fillId="0" borderId="0" xfId="0" applyAlignment="1">
      <alignment horizontal="left"/>
    </xf>
    <xf numFmtId="43" fontId="27" fillId="0" borderId="0" xfId="0" applyNumberFormat="1" applyFont="1"/>
    <xf numFmtId="175" fontId="0" fillId="0" borderId="0" xfId="0" applyNumberFormat="1"/>
    <xf numFmtId="0" fontId="31" fillId="0" borderId="0" xfId="0" applyFont="1" applyAlignment="1">
      <alignment horizontal="left"/>
    </xf>
    <xf numFmtId="176" fontId="5" fillId="0" borderId="0" xfId="0" applyNumberFormat="1" applyFont="1"/>
    <xf numFmtId="176" fontId="0" fillId="0" borderId="0" xfId="0" applyNumberFormat="1"/>
    <xf numFmtId="177" fontId="5" fillId="0" borderId="0" xfId="0" applyNumberFormat="1" applyFont="1"/>
    <xf numFmtId="177" fontId="0" fillId="0" borderId="0" xfId="0" applyNumberFormat="1"/>
    <xf numFmtId="43" fontId="36" fillId="0" borderId="0" xfId="0" applyNumberFormat="1" applyFont="1"/>
    <xf numFmtId="41" fontId="8" fillId="0" borderId="0" xfId="0" applyNumberFormat="1" applyFont="1" applyAlignment="1">
      <alignment horizontal="center"/>
    </xf>
    <xf numFmtId="0" fontId="2" fillId="0" borderId="0" xfId="2" applyFont="1" applyAlignment="1">
      <alignment horizontal="left"/>
    </xf>
    <xf numFmtId="169" fontId="2" fillId="0" borderId="0" xfId="2" applyNumberFormat="1" applyFont="1"/>
    <xf numFmtId="169" fontId="19" fillId="0" borderId="0" xfId="2" applyNumberFormat="1" applyFont="1" applyAlignment="1">
      <alignment horizontal="right"/>
    </xf>
    <xf numFmtId="41" fontId="27" fillId="0" borderId="0" xfId="0" applyNumberFormat="1" applyFont="1"/>
    <xf numFmtId="0" fontId="0" fillId="0" borderId="0" xfId="2" applyFont="1" applyAlignment="1">
      <alignment horizontal="left" indent="1"/>
    </xf>
    <xf numFmtId="178" fontId="2" fillId="0" borderId="0" xfId="0" applyNumberFormat="1" applyFont="1"/>
    <xf numFmtId="41" fontId="19" fillId="0" borderId="0" xfId="0" applyNumberFormat="1" applyFont="1" applyAlignment="1">
      <alignment horizontal="right"/>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41" fontId="19" fillId="0" borderId="0" xfId="0" applyNumberFormat="1" applyFont="1" applyAlignment="1">
      <alignment horizontal="right" vertical="center"/>
    </xf>
    <xf numFmtId="0" fontId="2" fillId="0" borderId="0" xfId="0" applyFont="1" applyAlignment="1">
      <alignment vertical="center" wrapText="1"/>
    </xf>
    <xf numFmtId="0" fontId="2" fillId="0" borderId="0" xfId="0" applyFont="1" applyAlignment="1">
      <alignment horizontal="left" vertical="center" indent="1"/>
    </xf>
    <xf numFmtId="41" fontId="5" fillId="0" borderId="0" xfId="0" applyNumberFormat="1" applyFont="1" applyAlignment="1">
      <alignment vertical="center"/>
    </xf>
    <xf numFmtId="171" fontId="0" fillId="0" borderId="0" xfId="1" applyNumberFormat="1" applyFont="1"/>
    <xf numFmtId="41" fontId="32" fillId="0" borderId="0" xfId="0" applyNumberFormat="1" applyFont="1" applyAlignment="1">
      <alignment horizontal="center"/>
    </xf>
    <xf numFmtId="41" fontId="2" fillId="0" borderId="0" xfId="0" applyNumberFormat="1" applyFont="1" applyAlignment="1">
      <alignment horizontal="right"/>
    </xf>
    <xf numFmtId="41" fontId="30" fillId="0" borderId="0" xfId="2" applyNumberFormat="1" applyFont="1" applyAlignment="1">
      <alignment horizontal="right"/>
    </xf>
    <xf numFmtId="179" fontId="0" fillId="0" borderId="0" xfId="0" applyNumberFormat="1"/>
    <xf numFmtId="0" fontId="3" fillId="0" borderId="0" xfId="0" quotePrefix="1" applyFont="1" applyAlignment="1">
      <alignment horizontal="center"/>
    </xf>
    <xf numFmtId="41" fontId="9" fillId="0" borderId="0" xfId="0" applyNumberFormat="1" applyFont="1" applyAlignment="1">
      <alignment horizontal="right"/>
    </xf>
    <xf numFmtId="164" fontId="4" fillId="0" borderId="0" xfId="0" applyNumberFormat="1" applyFont="1" applyAlignment="1">
      <alignment horizontal="center"/>
    </xf>
    <xf numFmtId="41" fontId="37" fillId="0" borderId="0" xfId="3" applyNumberFormat="1" applyFont="1" applyAlignment="1">
      <alignment horizontal="center"/>
    </xf>
    <xf numFmtId="0" fontId="3" fillId="0" borderId="0" xfId="0" applyFont="1"/>
    <xf numFmtId="0" fontId="3" fillId="0" borderId="0" xfId="0" applyFont="1" applyAlignment="1">
      <alignment horizontal="center" wrapText="1"/>
    </xf>
    <xf numFmtId="0" fontId="0" fillId="0" borderId="0" xfId="0" applyAlignment="1">
      <alignment horizontal="center"/>
    </xf>
    <xf numFmtId="0" fontId="0" fillId="0" borderId="5" xfId="0" applyBorder="1"/>
    <xf numFmtId="0" fontId="1" fillId="0" borderId="5" xfId="0" applyFont="1" applyBorder="1" applyAlignment="1">
      <alignment horizontal="center"/>
    </xf>
    <xf numFmtId="164" fontId="0" fillId="0" borderId="0" xfId="0" applyNumberFormat="1"/>
    <xf numFmtId="164" fontId="0" fillId="0" borderId="0" xfId="0" applyNumberFormat="1" applyAlignment="1">
      <alignment horizontal="left"/>
    </xf>
    <xf numFmtId="0" fontId="1" fillId="0" borderId="0" xfId="0" applyFont="1" applyAlignment="1">
      <alignment horizontal="center" wrapText="1"/>
    </xf>
    <xf numFmtId="0" fontId="1" fillId="0" borderId="2" xfId="0" applyFont="1" applyBorder="1" applyAlignment="1">
      <alignment horizontal="centerContinuous"/>
    </xf>
    <xf numFmtId="0" fontId="0" fillId="0" borderId="5" xfId="0" applyBorder="1" applyAlignment="1">
      <alignment horizontal="centerContinuous"/>
    </xf>
    <xf numFmtId="0" fontId="1" fillId="0" borderId="5" xfId="0" applyFont="1" applyBorder="1" applyAlignment="1">
      <alignment horizontal="centerContinuous"/>
    </xf>
    <xf numFmtId="0" fontId="0" fillId="0" borderId="3" xfId="0" applyBorder="1" applyAlignment="1">
      <alignment horizontal="centerContinuous"/>
    </xf>
    <xf numFmtId="165" fontId="0" fillId="0" borderId="0" xfId="0" applyNumberFormat="1"/>
    <xf numFmtId="168" fontId="27" fillId="0" borderId="0" xfId="0" applyNumberFormat="1" applyFont="1"/>
    <xf numFmtId="168" fontId="4" fillId="0" borderId="0" xfId="0" applyNumberFormat="1" applyFont="1"/>
    <xf numFmtId="168" fontId="5" fillId="0" borderId="0" xfId="0" applyNumberFormat="1" applyFont="1" applyAlignment="1">
      <alignment horizontal="right"/>
    </xf>
    <xf numFmtId="168" fontId="4" fillId="0" borderId="0" xfId="0" applyNumberFormat="1" applyFont="1" applyAlignment="1">
      <alignment horizontal="right"/>
    </xf>
    <xf numFmtId="168" fontId="36" fillId="0" borderId="0" xfId="0" applyNumberFormat="1" applyFont="1"/>
    <xf numFmtId="165" fontId="0" fillId="0" borderId="0" xfId="0" applyNumberFormat="1" applyAlignment="1">
      <alignment horizontal="right"/>
    </xf>
    <xf numFmtId="0" fontId="0" fillId="0" borderId="0" xfId="0" applyAlignment="1">
      <alignment horizontal="right"/>
    </xf>
    <xf numFmtId="164" fontId="0" fillId="0" borderId="1" xfId="0" applyNumberFormat="1" applyBorder="1" applyAlignment="1">
      <alignment horizontal="left"/>
    </xf>
    <xf numFmtId="0" fontId="0" fillId="0" borderId="1" xfId="0" applyBorder="1" applyAlignment="1">
      <alignment horizontal="center"/>
    </xf>
    <xf numFmtId="168" fontId="5" fillId="0" borderId="1" xfId="0" applyNumberFormat="1" applyFont="1" applyBorder="1"/>
    <xf numFmtId="168" fontId="4" fillId="0" borderId="1" xfId="0" applyNumberFormat="1" applyFont="1" applyBorder="1"/>
    <xf numFmtId="168" fontId="36" fillId="0" borderId="1" xfId="0" applyNumberFormat="1" applyFont="1" applyBorder="1"/>
    <xf numFmtId="168" fontId="27" fillId="0" borderId="1" xfId="0" applyNumberFormat="1" applyFont="1" applyBorder="1"/>
    <xf numFmtId="165" fontId="0" fillId="0" borderId="1" xfId="0" applyNumberFormat="1" applyBorder="1"/>
    <xf numFmtId="168" fontId="4" fillId="0" borderId="1" xfId="0" applyNumberFormat="1" applyFont="1" applyBorder="1" applyAlignment="1">
      <alignment horizontal="right"/>
    </xf>
    <xf numFmtId="165" fontId="0" fillId="0" borderId="1" xfId="0" applyNumberFormat="1" applyBorder="1" applyAlignment="1">
      <alignment horizontal="right"/>
    </xf>
    <xf numFmtId="168" fontId="5" fillId="0" borderId="1" xfId="0" applyNumberFormat="1" applyFont="1" applyBorder="1" applyAlignment="1">
      <alignment horizontal="right"/>
    </xf>
    <xf numFmtId="9" fontId="2" fillId="0" borderId="0" xfId="2" applyNumberFormat="1" applyFont="1"/>
    <xf numFmtId="41" fontId="28" fillId="0" borderId="0" xfId="0" applyNumberFormat="1" applyFont="1"/>
    <xf numFmtId="167" fontId="7" fillId="0" borderId="0" xfId="0" applyNumberFormat="1" applyFont="1"/>
    <xf numFmtId="41" fontId="1" fillId="0" borderId="0" xfId="1" applyNumberFormat="1" applyFont="1"/>
    <xf numFmtId="41" fontId="30" fillId="0" borderId="0" xfId="0" applyNumberFormat="1" applyFont="1"/>
    <xf numFmtId="180" fontId="24" fillId="0" borderId="0" xfId="0" applyNumberFormat="1" applyFont="1"/>
    <xf numFmtId="41" fontId="38" fillId="0" borderId="0" xfId="0" applyNumberFormat="1" applyFont="1"/>
    <xf numFmtId="165" fontId="2" fillId="0" borderId="0" xfId="0" applyNumberFormat="1" applyFont="1"/>
    <xf numFmtId="0" fontId="13" fillId="0" borderId="0" xfId="0" applyFont="1" applyAlignment="1">
      <alignment horizontal="left" indent="2"/>
    </xf>
    <xf numFmtId="165" fontId="32" fillId="0" borderId="0" xfId="0" applyNumberFormat="1" applyFont="1"/>
    <xf numFmtId="41" fontId="2" fillId="0" borderId="0" xfId="0" applyNumberFormat="1" applyFont="1"/>
    <xf numFmtId="41" fontId="32" fillId="0" borderId="0" xfId="0" applyNumberFormat="1" applyFont="1"/>
    <xf numFmtId="167" fontId="0" fillId="0" borderId="0" xfId="0" applyNumberFormat="1"/>
    <xf numFmtId="0" fontId="1" fillId="0" borderId="0" xfId="0" applyFont="1" applyAlignment="1">
      <alignment horizontal="left"/>
    </xf>
    <xf numFmtId="167" fontId="3" fillId="0" borderId="0" xfId="0" applyNumberFormat="1" applyFont="1"/>
    <xf numFmtId="167" fontId="1" fillId="0" borderId="0" xfId="0" applyNumberFormat="1" applyFont="1"/>
    <xf numFmtId="165" fontId="30" fillId="0" borderId="0" xfId="0" applyNumberFormat="1" applyFont="1"/>
    <xf numFmtId="171" fontId="0" fillId="0" borderId="0" xfId="0" applyNumberFormat="1"/>
    <xf numFmtId="41" fontId="18" fillId="0" borderId="0" xfId="0" applyNumberFormat="1" applyFont="1" applyAlignment="1">
      <alignment horizontal="right"/>
    </xf>
    <xf numFmtId="41" fontId="17" fillId="0" borderId="0" xfId="0" applyNumberFormat="1" applyFont="1" applyAlignment="1">
      <alignment horizontal="right"/>
    </xf>
    <xf numFmtId="43" fontId="17" fillId="0" borderId="0" xfId="0" applyNumberFormat="1" applyFont="1"/>
    <xf numFmtId="0" fontId="1" fillId="0" borderId="3" xfId="0" applyFont="1" applyBorder="1"/>
    <xf numFmtId="41" fontId="15" fillId="0" borderId="0" xfId="0" applyNumberFormat="1" applyFont="1" applyAlignment="1">
      <alignment horizontal="right"/>
    </xf>
    <xf numFmtId="41" fontId="29" fillId="0" borderId="0" xfId="0" applyNumberFormat="1" applyFont="1"/>
    <xf numFmtId="165" fontId="30" fillId="0" borderId="0" xfId="2" applyNumberFormat="1" applyFont="1"/>
  </cellXfs>
  <cellStyles count="8">
    <cellStyle name="Normal" xfId="0" builtinId="0"/>
    <cellStyle name="Normal 2 2" xfId="2" xr:uid="{BA4C2B21-4BA4-46EF-8A3E-381090D17281}"/>
    <cellStyle name="Normal 3" xfId="4" xr:uid="{51197955-548A-4691-A87C-71BA95803151}"/>
    <cellStyle name="Percent" xfId="1" builtinId="5"/>
    <cellStyle name="Percent 2" xfId="3" xr:uid="{9C603D8E-B7F2-47CE-BBEA-22E00079E67E}"/>
    <cellStyle name="Percent 2 2 2" xfId="6" xr:uid="{F2DCF1EB-EB1F-470B-84B5-94521C4FB1A3}"/>
    <cellStyle name="Percent 3" xfId="5" xr:uid="{559B86BA-B79A-4E63-8D66-21D3E65AF6F5}"/>
    <cellStyle name="Percent 3 2" xfId="7" xr:uid="{90178626-A2DA-4B63-9D39-58828ACD136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0</xdr:colOff>
      <xdr:row>5</xdr:row>
      <xdr:rowOff>0</xdr:rowOff>
    </xdr:from>
    <xdr:to>
      <xdr:col>9</xdr:col>
      <xdr:colOff>0</xdr:colOff>
      <xdr:row>90</xdr:row>
      <xdr:rowOff>133350</xdr:rowOff>
    </xdr:to>
    <xdr:cxnSp macro="">
      <xdr:nvCxnSpPr>
        <xdr:cNvPr id="2" name="Straight Connector 1">
          <a:extLst>
            <a:ext uri="{FF2B5EF4-FFF2-40B4-BE49-F238E27FC236}">
              <a16:creationId xmlns:a16="http://schemas.microsoft.com/office/drawing/2014/main" id="{EB890511-D334-42E8-93C9-4A8E4EE3408A}"/>
            </a:ext>
          </a:extLst>
        </xdr:cNvPr>
        <xdr:cNvCxnSpPr/>
      </xdr:nvCxnSpPr>
      <xdr:spPr>
        <a:xfrm>
          <a:off x="5334000" y="714375"/>
          <a:ext cx="0" cy="10334625"/>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5</xdr:row>
      <xdr:rowOff>0</xdr:rowOff>
    </xdr:from>
    <xdr:to>
      <xdr:col>10</xdr:col>
      <xdr:colOff>0</xdr:colOff>
      <xdr:row>90</xdr:row>
      <xdr:rowOff>125730</xdr:rowOff>
    </xdr:to>
    <xdr:cxnSp macro="">
      <xdr:nvCxnSpPr>
        <xdr:cNvPr id="3" name="Straight Connector 2">
          <a:extLst>
            <a:ext uri="{FF2B5EF4-FFF2-40B4-BE49-F238E27FC236}">
              <a16:creationId xmlns:a16="http://schemas.microsoft.com/office/drawing/2014/main" id="{32EEBA3C-B1BF-48A5-BA45-34B2A461AC78}"/>
            </a:ext>
          </a:extLst>
        </xdr:cNvPr>
        <xdr:cNvCxnSpPr/>
      </xdr:nvCxnSpPr>
      <xdr:spPr>
        <a:xfrm>
          <a:off x="5473148" y="662609"/>
          <a:ext cx="0" cy="1007148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5</xdr:row>
      <xdr:rowOff>0</xdr:rowOff>
    </xdr:from>
    <xdr:to>
      <xdr:col>11</xdr:col>
      <xdr:colOff>0</xdr:colOff>
      <xdr:row>649</xdr:row>
      <xdr:rowOff>114300</xdr:rowOff>
    </xdr:to>
    <xdr:cxnSp macro="">
      <xdr:nvCxnSpPr>
        <xdr:cNvPr id="3" name="Straight Connector 2">
          <a:extLst>
            <a:ext uri="{FF2B5EF4-FFF2-40B4-BE49-F238E27FC236}">
              <a16:creationId xmlns:a16="http://schemas.microsoft.com/office/drawing/2014/main" id="{B8182BD3-4AC1-71E1-5439-621D0665AF68}"/>
            </a:ext>
          </a:extLst>
        </xdr:cNvPr>
        <xdr:cNvCxnSpPr/>
      </xdr:nvCxnSpPr>
      <xdr:spPr>
        <a:xfrm>
          <a:off x="3933825" y="714375"/>
          <a:ext cx="0" cy="502634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5</xdr:row>
      <xdr:rowOff>0</xdr:rowOff>
    </xdr:from>
    <xdr:to>
      <xdr:col>15</xdr:col>
      <xdr:colOff>0</xdr:colOff>
      <xdr:row>649</xdr:row>
      <xdr:rowOff>114300</xdr:rowOff>
    </xdr:to>
    <xdr:cxnSp macro="">
      <xdr:nvCxnSpPr>
        <xdr:cNvPr id="5" name="Straight Connector 4">
          <a:extLst>
            <a:ext uri="{FF2B5EF4-FFF2-40B4-BE49-F238E27FC236}">
              <a16:creationId xmlns:a16="http://schemas.microsoft.com/office/drawing/2014/main" id="{A42265CB-933C-4222-8B57-CB1C4AA69585}"/>
            </a:ext>
          </a:extLst>
        </xdr:cNvPr>
        <xdr:cNvCxnSpPr/>
      </xdr:nvCxnSpPr>
      <xdr:spPr>
        <a:xfrm>
          <a:off x="6067425" y="714375"/>
          <a:ext cx="0" cy="502634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5</xdr:row>
      <xdr:rowOff>0</xdr:rowOff>
    </xdr:from>
    <xdr:to>
      <xdr:col>19</xdr:col>
      <xdr:colOff>0</xdr:colOff>
      <xdr:row>649</xdr:row>
      <xdr:rowOff>114300</xdr:rowOff>
    </xdr:to>
    <xdr:cxnSp macro="">
      <xdr:nvCxnSpPr>
        <xdr:cNvPr id="6" name="Straight Connector 5">
          <a:extLst>
            <a:ext uri="{FF2B5EF4-FFF2-40B4-BE49-F238E27FC236}">
              <a16:creationId xmlns:a16="http://schemas.microsoft.com/office/drawing/2014/main" id="{11D17297-D2AD-499B-860C-1CB30D48669D}"/>
            </a:ext>
          </a:extLst>
        </xdr:cNvPr>
        <xdr:cNvCxnSpPr/>
      </xdr:nvCxnSpPr>
      <xdr:spPr>
        <a:xfrm>
          <a:off x="8201025" y="714375"/>
          <a:ext cx="0" cy="502634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0</xdr:colOff>
      <xdr:row>5</xdr:row>
      <xdr:rowOff>0</xdr:rowOff>
    </xdr:from>
    <xdr:to>
      <xdr:col>23</xdr:col>
      <xdr:colOff>0</xdr:colOff>
      <xdr:row>649</xdr:row>
      <xdr:rowOff>114300</xdr:rowOff>
    </xdr:to>
    <xdr:cxnSp macro="">
      <xdr:nvCxnSpPr>
        <xdr:cNvPr id="7" name="Straight Connector 6">
          <a:extLst>
            <a:ext uri="{FF2B5EF4-FFF2-40B4-BE49-F238E27FC236}">
              <a16:creationId xmlns:a16="http://schemas.microsoft.com/office/drawing/2014/main" id="{E372A89F-3198-460D-83BC-5157D4789008}"/>
            </a:ext>
          </a:extLst>
        </xdr:cNvPr>
        <xdr:cNvCxnSpPr/>
      </xdr:nvCxnSpPr>
      <xdr:spPr>
        <a:xfrm>
          <a:off x="10334625" y="714375"/>
          <a:ext cx="0" cy="502634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0</xdr:colOff>
      <xdr:row>5</xdr:row>
      <xdr:rowOff>0</xdr:rowOff>
    </xdr:from>
    <xdr:to>
      <xdr:col>38</xdr:col>
      <xdr:colOff>0</xdr:colOff>
      <xdr:row>649</xdr:row>
      <xdr:rowOff>114300</xdr:rowOff>
    </xdr:to>
    <xdr:cxnSp macro="">
      <xdr:nvCxnSpPr>
        <xdr:cNvPr id="8" name="Straight Connector 7">
          <a:extLst>
            <a:ext uri="{FF2B5EF4-FFF2-40B4-BE49-F238E27FC236}">
              <a16:creationId xmlns:a16="http://schemas.microsoft.com/office/drawing/2014/main" id="{B3A95662-0A27-4908-9AE2-31B8ECFA01D9}"/>
            </a:ext>
          </a:extLst>
        </xdr:cNvPr>
        <xdr:cNvCxnSpPr/>
      </xdr:nvCxnSpPr>
      <xdr:spPr>
        <a:xfrm>
          <a:off x="13163550" y="714375"/>
          <a:ext cx="0" cy="57892950"/>
        </a:xfrm>
        <a:prstGeom prst="line">
          <a:avLst/>
        </a:prstGeom>
        <a:ln>
          <a:solidFill>
            <a:sysClr val="windowText" lastClr="00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0</xdr:colOff>
      <xdr:row>5</xdr:row>
      <xdr:rowOff>0</xdr:rowOff>
    </xdr:from>
    <xdr:to>
      <xdr:col>27</xdr:col>
      <xdr:colOff>0</xdr:colOff>
      <xdr:row>649</xdr:row>
      <xdr:rowOff>114300</xdr:rowOff>
    </xdr:to>
    <xdr:cxnSp macro="">
      <xdr:nvCxnSpPr>
        <xdr:cNvPr id="2" name="Straight Connector 1">
          <a:extLst>
            <a:ext uri="{FF2B5EF4-FFF2-40B4-BE49-F238E27FC236}">
              <a16:creationId xmlns:a16="http://schemas.microsoft.com/office/drawing/2014/main" id="{B7E7873A-425F-4B70-9D1E-8BA0B9357EB9}"/>
            </a:ext>
          </a:extLst>
        </xdr:cNvPr>
        <xdr:cNvCxnSpPr/>
      </xdr:nvCxnSpPr>
      <xdr:spPr>
        <a:xfrm>
          <a:off x="12550588" y="728382"/>
          <a:ext cx="0" cy="6079415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0</xdr:colOff>
      <xdr:row>5</xdr:row>
      <xdr:rowOff>0</xdr:rowOff>
    </xdr:from>
    <xdr:to>
      <xdr:col>31</xdr:col>
      <xdr:colOff>0</xdr:colOff>
      <xdr:row>649</xdr:row>
      <xdr:rowOff>114300</xdr:rowOff>
    </xdr:to>
    <xdr:cxnSp macro="">
      <xdr:nvCxnSpPr>
        <xdr:cNvPr id="9" name="Straight Connector 8">
          <a:extLst>
            <a:ext uri="{FF2B5EF4-FFF2-40B4-BE49-F238E27FC236}">
              <a16:creationId xmlns:a16="http://schemas.microsoft.com/office/drawing/2014/main" id="{275AC708-4BCD-49F4-95AD-FCFAC7526D4B}"/>
            </a:ext>
          </a:extLst>
        </xdr:cNvPr>
        <xdr:cNvCxnSpPr/>
      </xdr:nvCxnSpPr>
      <xdr:spPr>
        <a:xfrm>
          <a:off x="15491012" y="627529"/>
          <a:ext cx="0" cy="6251761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0</xdr:colOff>
      <xdr:row>5</xdr:row>
      <xdr:rowOff>0</xdr:rowOff>
    </xdr:from>
    <xdr:to>
      <xdr:col>43</xdr:col>
      <xdr:colOff>0</xdr:colOff>
      <xdr:row>649</xdr:row>
      <xdr:rowOff>114300</xdr:rowOff>
    </xdr:to>
    <xdr:cxnSp macro="">
      <xdr:nvCxnSpPr>
        <xdr:cNvPr id="12" name="Straight Connector 11">
          <a:extLst>
            <a:ext uri="{FF2B5EF4-FFF2-40B4-BE49-F238E27FC236}">
              <a16:creationId xmlns:a16="http://schemas.microsoft.com/office/drawing/2014/main" id="{9C4D378A-D7FB-4AA0-BEE6-5D01050195E9}"/>
            </a:ext>
          </a:extLst>
        </xdr:cNvPr>
        <xdr:cNvCxnSpPr/>
      </xdr:nvCxnSpPr>
      <xdr:spPr>
        <a:xfrm>
          <a:off x="20867914" y="653143"/>
          <a:ext cx="0" cy="65972871"/>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0</xdr:colOff>
      <xdr:row>5</xdr:row>
      <xdr:rowOff>0</xdr:rowOff>
    </xdr:from>
    <xdr:to>
      <xdr:col>30</xdr:col>
      <xdr:colOff>0</xdr:colOff>
      <xdr:row>649</xdr:row>
      <xdr:rowOff>114300</xdr:rowOff>
    </xdr:to>
    <xdr:cxnSp macro="">
      <xdr:nvCxnSpPr>
        <xdr:cNvPr id="4" name="Straight Connector 3">
          <a:extLst>
            <a:ext uri="{FF2B5EF4-FFF2-40B4-BE49-F238E27FC236}">
              <a16:creationId xmlns:a16="http://schemas.microsoft.com/office/drawing/2014/main" id="{98521EAC-E72F-488B-BD5E-6CCD1C484D9F}"/>
            </a:ext>
          </a:extLst>
        </xdr:cNvPr>
        <xdr:cNvCxnSpPr/>
      </xdr:nvCxnSpPr>
      <xdr:spPr>
        <a:xfrm>
          <a:off x="13075920" y="647700"/>
          <a:ext cx="0" cy="73296780"/>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6</xdr:row>
      <xdr:rowOff>11206</xdr:rowOff>
    </xdr:from>
    <xdr:to>
      <xdr:col>9</xdr:col>
      <xdr:colOff>0</xdr:colOff>
      <xdr:row>49</xdr:row>
      <xdr:rowOff>67235</xdr:rowOff>
    </xdr:to>
    <xdr:cxnSp macro="">
      <xdr:nvCxnSpPr>
        <xdr:cNvPr id="3" name="Straight Connector 2">
          <a:extLst>
            <a:ext uri="{FF2B5EF4-FFF2-40B4-BE49-F238E27FC236}">
              <a16:creationId xmlns:a16="http://schemas.microsoft.com/office/drawing/2014/main" id="{9CD3CE44-2A7C-8F95-842F-057C087CFC99}"/>
            </a:ext>
          </a:extLst>
        </xdr:cNvPr>
        <xdr:cNvCxnSpPr/>
      </xdr:nvCxnSpPr>
      <xdr:spPr>
        <a:xfrm>
          <a:off x="4078941" y="885265"/>
          <a:ext cx="0" cy="5793441"/>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6</xdr:row>
      <xdr:rowOff>0</xdr:rowOff>
    </xdr:from>
    <xdr:to>
      <xdr:col>10</xdr:col>
      <xdr:colOff>0</xdr:colOff>
      <xdr:row>49</xdr:row>
      <xdr:rowOff>56029</xdr:rowOff>
    </xdr:to>
    <xdr:cxnSp macro="">
      <xdr:nvCxnSpPr>
        <xdr:cNvPr id="4" name="Straight Connector 3">
          <a:extLst>
            <a:ext uri="{FF2B5EF4-FFF2-40B4-BE49-F238E27FC236}">
              <a16:creationId xmlns:a16="http://schemas.microsoft.com/office/drawing/2014/main" id="{1B0C4C45-F1C6-406B-9585-71BC367AD7D9}"/>
            </a:ext>
          </a:extLst>
        </xdr:cNvPr>
        <xdr:cNvCxnSpPr/>
      </xdr:nvCxnSpPr>
      <xdr:spPr>
        <a:xfrm>
          <a:off x="4621696" y="844826"/>
          <a:ext cx="0" cy="560537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6</xdr:row>
      <xdr:rowOff>0</xdr:rowOff>
    </xdr:from>
    <xdr:to>
      <xdr:col>8</xdr:col>
      <xdr:colOff>0</xdr:colOff>
      <xdr:row>49</xdr:row>
      <xdr:rowOff>56029</xdr:rowOff>
    </xdr:to>
    <xdr:cxnSp macro="">
      <xdr:nvCxnSpPr>
        <xdr:cNvPr id="5" name="Straight Connector 4">
          <a:extLst>
            <a:ext uri="{FF2B5EF4-FFF2-40B4-BE49-F238E27FC236}">
              <a16:creationId xmlns:a16="http://schemas.microsoft.com/office/drawing/2014/main" id="{41B214DD-B5E1-487F-9510-4977182B9D04}"/>
            </a:ext>
          </a:extLst>
        </xdr:cNvPr>
        <xdr:cNvCxnSpPr/>
      </xdr:nvCxnSpPr>
      <xdr:spPr>
        <a:xfrm>
          <a:off x="3561522" y="844826"/>
          <a:ext cx="0" cy="5605377"/>
        </a:xfrm>
        <a:prstGeom prst="line">
          <a:avLst/>
        </a:prstGeom>
        <a:ln>
          <a:solidFill>
            <a:sysClr val="windowText" lastClr="00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6</xdr:row>
      <xdr:rowOff>0</xdr:rowOff>
    </xdr:from>
    <xdr:to>
      <xdr:col>13</xdr:col>
      <xdr:colOff>0</xdr:colOff>
      <xdr:row>49</xdr:row>
      <xdr:rowOff>56029</xdr:rowOff>
    </xdr:to>
    <xdr:cxnSp macro="">
      <xdr:nvCxnSpPr>
        <xdr:cNvPr id="6" name="Straight Connector 5">
          <a:extLst>
            <a:ext uri="{FF2B5EF4-FFF2-40B4-BE49-F238E27FC236}">
              <a16:creationId xmlns:a16="http://schemas.microsoft.com/office/drawing/2014/main" id="{6787B136-ACC5-438C-B85F-EE7B2C63659B}"/>
            </a:ext>
          </a:extLst>
        </xdr:cNvPr>
        <xdr:cNvCxnSpPr/>
      </xdr:nvCxnSpPr>
      <xdr:spPr>
        <a:xfrm>
          <a:off x="6211957" y="844826"/>
          <a:ext cx="0" cy="5605377"/>
        </a:xfrm>
        <a:prstGeom prst="line">
          <a:avLst/>
        </a:prstGeom>
        <a:ln>
          <a:solidFill>
            <a:sysClr val="windowText" lastClr="00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6</xdr:row>
      <xdr:rowOff>0</xdr:rowOff>
    </xdr:from>
    <xdr:to>
      <xdr:col>18</xdr:col>
      <xdr:colOff>0</xdr:colOff>
      <xdr:row>49</xdr:row>
      <xdr:rowOff>56029</xdr:rowOff>
    </xdr:to>
    <xdr:cxnSp macro="">
      <xdr:nvCxnSpPr>
        <xdr:cNvPr id="7" name="Straight Connector 6">
          <a:extLst>
            <a:ext uri="{FF2B5EF4-FFF2-40B4-BE49-F238E27FC236}">
              <a16:creationId xmlns:a16="http://schemas.microsoft.com/office/drawing/2014/main" id="{0AE0658F-416E-48F9-8F75-4817F8D34F2A}"/>
            </a:ext>
          </a:extLst>
        </xdr:cNvPr>
        <xdr:cNvCxnSpPr/>
      </xdr:nvCxnSpPr>
      <xdr:spPr>
        <a:xfrm>
          <a:off x="8515350" y="857250"/>
          <a:ext cx="0" cy="5685304"/>
        </a:xfrm>
        <a:prstGeom prst="line">
          <a:avLst/>
        </a:prstGeom>
        <a:ln>
          <a:solidFill>
            <a:sysClr val="windowText" lastClr="00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0</xdr:colOff>
      <xdr:row>6</xdr:row>
      <xdr:rowOff>0</xdr:rowOff>
    </xdr:from>
    <xdr:to>
      <xdr:col>23</xdr:col>
      <xdr:colOff>0</xdr:colOff>
      <xdr:row>49</xdr:row>
      <xdr:rowOff>56029</xdr:rowOff>
    </xdr:to>
    <xdr:cxnSp macro="">
      <xdr:nvCxnSpPr>
        <xdr:cNvPr id="8" name="Straight Connector 7">
          <a:extLst>
            <a:ext uri="{FF2B5EF4-FFF2-40B4-BE49-F238E27FC236}">
              <a16:creationId xmlns:a16="http://schemas.microsoft.com/office/drawing/2014/main" id="{7C939AD1-366D-4817-8DDC-D064392F88C2}"/>
            </a:ext>
          </a:extLst>
        </xdr:cNvPr>
        <xdr:cNvCxnSpPr/>
      </xdr:nvCxnSpPr>
      <xdr:spPr>
        <a:xfrm>
          <a:off x="11182350" y="857250"/>
          <a:ext cx="0" cy="5685304"/>
        </a:xfrm>
        <a:prstGeom prst="line">
          <a:avLst/>
        </a:prstGeom>
        <a:ln>
          <a:solidFill>
            <a:sysClr val="windowText" lastClr="00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0</xdr:colOff>
      <xdr:row>6</xdr:row>
      <xdr:rowOff>0</xdr:rowOff>
    </xdr:from>
    <xdr:to>
      <xdr:col>28</xdr:col>
      <xdr:colOff>0</xdr:colOff>
      <xdr:row>49</xdr:row>
      <xdr:rowOff>56029</xdr:rowOff>
    </xdr:to>
    <xdr:cxnSp macro="">
      <xdr:nvCxnSpPr>
        <xdr:cNvPr id="9" name="Straight Connector 8">
          <a:extLst>
            <a:ext uri="{FF2B5EF4-FFF2-40B4-BE49-F238E27FC236}">
              <a16:creationId xmlns:a16="http://schemas.microsoft.com/office/drawing/2014/main" id="{D6FB32CD-F87B-44B1-91D2-15A77525BB26}"/>
            </a:ext>
          </a:extLst>
        </xdr:cNvPr>
        <xdr:cNvCxnSpPr/>
      </xdr:nvCxnSpPr>
      <xdr:spPr>
        <a:xfrm>
          <a:off x="13477875" y="857250"/>
          <a:ext cx="0" cy="5685304"/>
        </a:xfrm>
        <a:prstGeom prst="line">
          <a:avLst/>
        </a:prstGeom>
        <a:ln>
          <a:solidFill>
            <a:sysClr val="windowText" lastClr="00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0</xdr:colOff>
      <xdr:row>6</xdr:row>
      <xdr:rowOff>0</xdr:rowOff>
    </xdr:from>
    <xdr:to>
      <xdr:col>33</xdr:col>
      <xdr:colOff>0</xdr:colOff>
      <xdr:row>49</xdr:row>
      <xdr:rowOff>56029</xdr:rowOff>
    </xdr:to>
    <xdr:cxnSp macro="">
      <xdr:nvCxnSpPr>
        <xdr:cNvPr id="10" name="Straight Connector 9">
          <a:extLst>
            <a:ext uri="{FF2B5EF4-FFF2-40B4-BE49-F238E27FC236}">
              <a16:creationId xmlns:a16="http://schemas.microsoft.com/office/drawing/2014/main" id="{94E2ACBA-3211-4770-AB47-2140A4E26CFE}"/>
            </a:ext>
          </a:extLst>
        </xdr:cNvPr>
        <xdr:cNvCxnSpPr/>
      </xdr:nvCxnSpPr>
      <xdr:spPr>
        <a:xfrm>
          <a:off x="16144875" y="857250"/>
          <a:ext cx="0" cy="5685304"/>
        </a:xfrm>
        <a:prstGeom prst="line">
          <a:avLst/>
        </a:prstGeom>
        <a:ln>
          <a:solidFill>
            <a:sysClr val="windowText" lastClr="00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6</xdr:row>
      <xdr:rowOff>0</xdr:rowOff>
    </xdr:from>
    <xdr:to>
      <xdr:col>19</xdr:col>
      <xdr:colOff>0</xdr:colOff>
      <xdr:row>49</xdr:row>
      <xdr:rowOff>56029</xdr:rowOff>
    </xdr:to>
    <xdr:cxnSp macro="">
      <xdr:nvCxnSpPr>
        <xdr:cNvPr id="11" name="Straight Connector 10">
          <a:extLst>
            <a:ext uri="{FF2B5EF4-FFF2-40B4-BE49-F238E27FC236}">
              <a16:creationId xmlns:a16="http://schemas.microsoft.com/office/drawing/2014/main" id="{93CF36AC-DA6D-4357-8A09-D3030FDD675E}"/>
            </a:ext>
          </a:extLst>
        </xdr:cNvPr>
        <xdr:cNvCxnSpPr/>
      </xdr:nvCxnSpPr>
      <xdr:spPr>
        <a:xfrm>
          <a:off x="9048750" y="857250"/>
          <a:ext cx="0" cy="568530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6</xdr:row>
      <xdr:rowOff>0</xdr:rowOff>
    </xdr:from>
    <xdr:to>
      <xdr:col>20</xdr:col>
      <xdr:colOff>0</xdr:colOff>
      <xdr:row>49</xdr:row>
      <xdr:rowOff>56029</xdr:rowOff>
    </xdr:to>
    <xdr:cxnSp macro="">
      <xdr:nvCxnSpPr>
        <xdr:cNvPr id="12" name="Straight Connector 11">
          <a:extLst>
            <a:ext uri="{FF2B5EF4-FFF2-40B4-BE49-F238E27FC236}">
              <a16:creationId xmlns:a16="http://schemas.microsoft.com/office/drawing/2014/main" id="{92BF5276-75DF-4822-A115-C93D7FB01EC6}"/>
            </a:ext>
          </a:extLst>
        </xdr:cNvPr>
        <xdr:cNvCxnSpPr/>
      </xdr:nvCxnSpPr>
      <xdr:spPr>
        <a:xfrm>
          <a:off x="9582150" y="857250"/>
          <a:ext cx="0" cy="568530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0</xdr:colOff>
      <xdr:row>6</xdr:row>
      <xdr:rowOff>0</xdr:rowOff>
    </xdr:from>
    <xdr:to>
      <xdr:col>29</xdr:col>
      <xdr:colOff>0</xdr:colOff>
      <xdr:row>49</xdr:row>
      <xdr:rowOff>56029</xdr:rowOff>
    </xdr:to>
    <xdr:cxnSp macro="">
      <xdr:nvCxnSpPr>
        <xdr:cNvPr id="13" name="Straight Connector 12">
          <a:extLst>
            <a:ext uri="{FF2B5EF4-FFF2-40B4-BE49-F238E27FC236}">
              <a16:creationId xmlns:a16="http://schemas.microsoft.com/office/drawing/2014/main" id="{72A55EA7-4453-4A43-A1C5-17A399C9F72D}"/>
            </a:ext>
          </a:extLst>
        </xdr:cNvPr>
        <xdr:cNvCxnSpPr/>
      </xdr:nvCxnSpPr>
      <xdr:spPr>
        <a:xfrm>
          <a:off x="14011275" y="857250"/>
          <a:ext cx="0" cy="568530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0</xdr:colOff>
      <xdr:row>6</xdr:row>
      <xdr:rowOff>0</xdr:rowOff>
    </xdr:from>
    <xdr:to>
      <xdr:col>30</xdr:col>
      <xdr:colOff>0</xdr:colOff>
      <xdr:row>49</xdr:row>
      <xdr:rowOff>56029</xdr:rowOff>
    </xdr:to>
    <xdr:cxnSp macro="">
      <xdr:nvCxnSpPr>
        <xdr:cNvPr id="14" name="Straight Connector 13">
          <a:extLst>
            <a:ext uri="{FF2B5EF4-FFF2-40B4-BE49-F238E27FC236}">
              <a16:creationId xmlns:a16="http://schemas.microsoft.com/office/drawing/2014/main" id="{3D103B78-3A66-46DF-A3FE-5C63C80958D0}"/>
            </a:ext>
          </a:extLst>
        </xdr:cNvPr>
        <xdr:cNvCxnSpPr/>
      </xdr:nvCxnSpPr>
      <xdr:spPr>
        <a:xfrm>
          <a:off x="14544675" y="857250"/>
          <a:ext cx="0" cy="568530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65484</xdr:colOff>
      <xdr:row>24</xdr:row>
      <xdr:rowOff>60924</xdr:rowOff>
    </xdr:from>
    <xdr:to>
      <xdr:col>7</xdr:col>
      <xdr:colOff>479535</xdr:colOff>
      <xdr:row>46</xdr:row>
      <xdr:rowOff>87871</xdr:rowOff>
    </xdr:to>
    <xdr:pic>
      <xdr:nvPicPr>
        <xdr:cNvPr id="2" name="Picture 1">
          <a:extLst>
            <a:ext uri="{FF2B5EF4-FFF2-40B4-BE49-F238E27FC236}">
              <a16:creationId xmlns:a16="http://schemas.microsoft.com/office/drawing/2014/main" id="{7ACF808D-7298-837C-D42E-03CF1C3564DD}"/>
            </a:ext>
          </a:extLst>
        </xdr:cNvPr>
        <xdr:cNvPicPr>
          <a:picLocks noChangeAspect="1"/>
        </xdr:cNvPicPr>
      </xdr:nvPicPr>
      <xdr:blipFill>
        <a:blip xmlns:r="http://schemas.openxmlformats.org/officeDocument/2006/relationships" r:embed="rId1"/>
        <a:stretch>
          <a:fillRect/>
        </a:stretch>
      </xdr:blipFill>
      <xdr:spPr>
        <a:xfrm>
          <a:off x="229708" y="3463648"/>
          <a:ext cx="4756137" cy="3206325"/>
        </a:xfrm>
        <a:prstGeom prst="rect">
          <a:avLst/>
        </a:prstGeom>
      </xdr:spPr>
    </xdr:pic>
    <xdr:clientData/>
  </xdr:twoCellAnchor>
  <xdr:twoCellAnchor editAs="oneCell">
    <xdr:from>
      <xdr:col>1</xdr:col>
      <xdr:colOff>35718</xdr:colOff>
      <xdr:row>49</xdr:row>
      <xdr:rowOff>74631</xdr:rowOff>
    </xdr:from>
    <xdr:to>
      <xdr:col>7</xdr:col>
      <xdr:colOff>466489</xdr:colOff>
      <xdr:row>64</xdr:row>
      <xdr:rowOff>137947</xdr:rowOff>
    </xdr:to>
    <xdr:pic>
      <xdr:nvPicPr>
        <xdr:cNvPr id="3" name="Picture 2">
          <a:extLst>
            <a:ext uri="{FF2B5EF4-FFF2-40B4-BE49-F238E27FC236}">
              <a16:creationId xmlns:a16="http://schemas.microsoft.com/office/drawing/2014/main" id="{429AE256-DE73-4077-91C7-9B235F970FF0}"/>
            </a:ext>
          </a:extLst>
        </xdr:cNvPr>
        <xdr:cNvPicPr>
          <a:picLocks noChangeAspect="1"/>
        </xdr:cNvPicPr>
      </xdr:nvPicPr>
      <xdr:blipFill>
        <a:blip xmlns:r="http://schemas.openxmlformats.org/officeDocument/2006/relationships" r:embed="rId2"/>
        <a:stretch>
          <a:fillRect/>
        </a:stretch>
      </xdr:blipFill>
      <xdr:spPr>
        <a:xfrm>
          <a:off x="199942" y="7090286"/>
          <a:ext cx="4772857" cy="22310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19</xdr:col>
      <xdr:colOff>0</xdr:colOff>
      <xdr:row>5</xdr:row>
      <xdr:rowOff>7620</xdr:rowOff>
    </xdr:from>
    <xdr:to>
      <xdr:col>19</xdr:col>
      <xdr:colOff>0</xdr:colOff>
      <xdr:row>61</xdr:row>
      <xdr:rowOff>106680</xdr:rowOff>
    </xdr:to>
    <xdr:cxnSp macro="">
      <xdr:nvCxnSpPr>
        <xdr:cNvPr id="3" name="Straight Connector 2">
          <a:extLst>
            <a:ext uri="{FF2B5EF4-FFF2-40B4-BE49-F238E27FC236}">
              <a16:creationId xmlns:a16="http://schemas.microsoft.com/office/drawing/2014/main" id="{8CE73345-D45B-BE7C-7723-7E303254DBD6}"/>
            </a:ext>
          </a:extLst>
        </xdr:cNvPr>
        <xdr:cNvCxnSpPr/>
      </xdr:nvCxnSpPr>
      <xdr:spPr>
        <a:xfrm>
          <a:off x="4152900" y="655320"/>
          <a:ext cx="0" cy="747522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5</xdr:row>
      <xdr:rowOff>0</xdr:rowOff>
    </xdr:from>
    <xdr:to>
      <xdr:col>18</xdr:col>
      <xdr:colOff>0</xdr:colOff>
      <xdr:row>61</xdr:row>
      <xdr:rowOff>99060</xdr:rowOff>
    </xdr:to>
    <xdr:cxnSp macro="">
      <xdr:nvCxnSpPr>
        <xdr:cNvPr id="4" name="Straight Connector 3">
          <a:extLst>
            <a:ext uri="{FF2B5EF4-FFF2-40B4-BE49-F238E27FC236}">
              <a16:creationId xmlns:a16="http://schemas.microsoft.com/office/drawing/2014/main" id="{D49A48B9-612B-4E92-82BE-CFAC243DDB76}"/>
            </a:ext>
          </a:extLst>
        </xdr:cNvPr>
        <xdr:cNvCxnSpPr/>
      </xdr:nvCxnSpPr>
      <xdr:spPr>
        <a:xfrm>
          <a:off x="3657600" y="647700"/>
          <a:ext cx="0" cy="7475220"/>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C52E4-0856-461A-BF2F-7D74BF414341}">
  <dimension ref="A1:B1"/>
  <sheetViews>
    <sheetView workbookViewId="0"/>
  </sheetViews>
  <sheetFormatPr defaultRowHeight="11.25" x14ac:dyDescent="0.2"/>
  <sheetData>
    <row r="1" spans="1:2" x14ac:dyDescent="0.2">
      <c r="A1">
        <v>2</v>
      </c>
      <c r="B1" t="s">
        <v>547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D98B3-6D30-4EFE-BE83-E34EAAAC8100}">
  <dimension ref="A1"/>
  <sheetViews>
    <sheetView workbookViewId="0"/>
  </sheetViews>
  <sheetFormatPr defaultRowHeight="11.2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175E7-DF46-40CA-9F7E-8FF6ECE52363}">
  <sheetPr>
    <pageSetUpPr fitToPage="1"/>
  </sheetPr>
  <dimension ref="A1:AE102"/>
  <sheetViews>
    <sheetView tabSelected="1" view="pageBreakPreview" zoomScale="85" zoomScaleNormal="100" zoomScaleSheetLayoutView="85" workbookViewId="0">
      <selection activeCell="F96" sqref="F96"/>
    </sheetView>
  </sheetViews>
  <sheetFormatPr defaultColWidth="10.6640625" defaultRowHeight="11.25" outlineLevelRow="1" x14ac:dyDescent="0.2"/>
  <cols>
    <col min="1" max="1" width="4.33203125" style="65" customWidth="1"/>
    <col min="2" max="2" width="30" style="65" customWidth="1"/>
    <col min="3" max="3" width="3" style="65" customWidth="1"/>
    <col min="4" max="21" width="9.33203125" style="65" customWidth="1"/>
    <col min="22" max="16384" width="10.6640625" style="65"/>
  </cols>
  <sheetData>
    <row r="1" spans="1:25" x14ac:dyDescent="0.2">
      <c r="H1" s="66"/>
      <c r="I1" s="66"/>
      <c r="J1" s="66" t="s">
        <v>462</v>
      </c>
      <c r="K1" s="66" t="s">
        <v>463</v>
      </c>
      <c r="L1" s="66" t="s">
        <v>464</v>
      </c>
      <c r="M1" s="66" t="s">
        <v>468</v>
      </c>
    </row>
    <row r="2" spans="1:25" ht="10.15" x14ac:dyDescent="0.2">
      <c r="B2" s="67" t="s">
        <v>0</v>
      </c>
      <c r="M2" s="68"/>
      <c r="N2" s="69"/>
      <c r="O2" s="69"/>
      <c r="P2" s="69"/>
      <c r="U2" s="70">
        <v>45657</v>
      </c>
    </row>
    <row r="3" spans="1:25" s="72" customFormat="1" ht="10.15" x14ac:dyDescent="0.2">
      <c r="B3" s="71" t="s">
        <v>247</v>
      </c>
    </row>
    <row r="4" spans="1:25" ht="10.15" x14ac:dyDescent="0.2">
      <c r="B4" s="3" t="s">
        <v>194</v>
      </c>
    </row>
    <row r="5" spans="1:25" ht="10.15" x14ac:dyDescent="0.2">
      <c r="D5" s="73" t="s">
        <v>12</v>
      </c>
      <c r="E5" s="73"/>
      <c r="F5" s="74"/>
      <c r="G5" s="74"/>
      <c r="H5" s="74"/>
      <c r="I5" s="74"/>
      <c r="J5" s="74"/>
      <c r="K5" s="74"/>
      <c r="L5" s="74"/>
      <c r="M5" s="74"/>
      <c r="N5" s="74"/>
      <c r="O5" s="74"/>
      <c r="P5" s="74"/>
      <c r="Q5" s="74"/>
      <c r="R5" s="74"/>
      <c r="S5" s="74"/>
      <c r="T5" s="74"/>
      <c r="U5" s="74"/>
    </row>
    <row r="6" spans="1:25" ht="12" x14ac:dyDescent="0.35">
      <c r="D6" s="75" t="s">
        <v>10</v>
      </c>
      <c r="E6" s="75" t="s">
        <v>195</v>
      </c>
      <c r="F6" s="75" t="s">
        <v>196</v>
      </c>
      <c r="G6" s="75" t="s">
        <v>11</v>
      </c>
      <c r="H6" s="75" t="s">
        <v>241</v>
      </c>
      <c r="I6" s="75" t="s">
        <v>302</v>
      </c>
      <c r="J6" s="75" t="s">
        <v>197</v>
      </c>
      <c r="K6" s="75" t="s">
        <v>198</v>
      </c>
      <c r="L6" s="75" t="s">
        <v>199</v>
      </c>
      <c r="M6" s="75" t="s">
        <v>200</v>
      </c>
      <c r="N6" s="75" t="s">
        <v>201</v>
      </c>
      <c r="O6" s="75" t="s">
        <v>202</v>
      </c>
      <c r="P6" s="75" t="s">
        <v>203</v>
      </c>
      <c r="Q6" s="75" t="s">
        <v>204</v>
      </c>
      <c r="R6" s="75" t="s">
        <v>205</v>
      </c>
      <c r="S6" s="75" t="s">
        <v>206</v>
      </c>
      <c r="T6" s="75" t="s">
        <v>245</v>
      </c>
      <c r="U6" s="75" t="s">
        <v>304</v>
      </c>
    </row>
    <row r="7" spans="1:25" x14ac:dyDescent="0.2">
      <c r="D7" s="144" t="s">
        <v>44</v>
      </c>
      <c r="E7" s="76"/>
      <c r="F7" s="76"/>
      <c r="G7" s="76"/>
      <c r="H7" s="76"/>
      <c r="I7" s="76"/>
      <c r="J7" s="76">
        <v>45657</v>
      </c>
      <c r="K7" s="76">
        <v>46022</v>
      </c>
      <c r="L7" s="76">
        <v>46387</v>
      </c>
      <c r="M7" s="76">
        <v>46752</v>
      </c>
      <c r="N7" s="76">
        <v>47118</v>
      </c>
      <c r="O7" s="76">
        <v>47483</v>
      </c>
      <c r="P7" s="76">
        <v>47848</v>
      </c>
      <c r="Q7" s="76">
        <v>48213</v>
      </c>
      <c r="R7" s="76">
        <v>48579</v>
      </c>
      <c r="S7" s="76">
        <v>48944</v>
      </c>
      <c r="T7" s="76">
        <v>49309</v>
      </c>
      <c r="U7" s="76"/>
    </row>
    <row r="8" spans="1:25" s="67" customFormat="1" x14ac:dyDescent="0.2">
      <c r="B8" s="67" t="s">
        <v>76</v>
      </c>
      <c r="C8" s="87"/>
      <c r="D8" s="84">
        <f>+'Historical Financials'!AL19</f>
        <v>252.7</v>
      </c>
      <c r="E8" s="84">
        <f>+'Historical Financials'!AM19</f>
        <v>305.5</v>
      </c>
      <c r="F8" s="84">
        <f>+'Historical Financials'!AN19</f>
        <v>323</v>
      </c>
      <c r="G8" s="84">
        <f>+'Historical Financials'!AO19</f>
        <v>529</v>
      </c>
      <c r="H8" s="84">
        <f>+'Historical Financials'!AP19</f>
        <v>727.49999999999989</v>
      </c>
      <c r="I8" s="84">
        <f>+'Historical Financials'!AQ19</f>
        <v>940.40000000000009</v>
      </c>
      <c r="J8" s="84">
        <f>+'Historical Financials'!AR19</f>
        <v>1349.9950111254793</v>
      </c>
      <c r="K8" s="84">
        <f>+'Historical Financials'!AS19</f>
        <v>1729.2275222439064</v>
      </c>
      <c r="L8" s="85">
        <f t="shared" ref="L8:U8" si="0">+K8*(1+L9)</f>
        <v>2040.4884762478093</v>
      </c>
      <c r="M8" s="85">
        <f t="shared" si="0"/>
        <v>2366.9666324474588</v>
      </c>
      <c r="N8" s="85">
        <f t="shared" si="0"/>
        <v>2698.3419609901034</v>
      </c>
      <c r="O8" s="85">
        <f t="shared" si="0"/>
        <v>3022.1429963089163</v>
      </c>
      <c r="P8" s="85">
        <f t="shared" si="0"/>
        <v>3324.357295939808</v>
      </c>
      <c r="Q8" s="85">
        <f t="shared" si="0"/>
        <v>3656.7930255337892</v>
      </c>
      <c r="R8" s="85">
        <f t="shared" si="0"/>
        <v>4022.4723280871685</v>
      </c>
      <c r="S8" s="85">
        <f t="shared" si="0"/>
        <v>4424.7195608958855</v>
      </c>
      <c r="T8" s="85">
        <f t="shared" si="0"/>
        <v>4867.1915169854747</v>
      </c>
      <c r="U8" s="85">
        <f t="shared" si="0"/>
        <v>5353.9106686840223</v>
      </c>
      <c r="V8" s="88"/>
      <c r="W8" s="258"/>
      <c r="X8" s="258"/>
      <c r="Y8" s="258"/>
    </row>
    <row r="9" spans="1:25" ht="10.15" x14ac:dyDescent="0.2">
      <c r="B9" s="80" t="s">
        <v>136</v>
      </c>
      <c r="C9" s="89"/>
      <c r="D9" s="89"/>
      <c r="E9" s="81">
        <f>+IFERROR(E8/D8-1,"n/a")</f>
        <v>0.20894341115947768</v>
      </c>
      <c r="F9" s="81">
        <f t="shared" ref="F9:G9" si="1">+IFERROR(F8/E8-1,"n/a")</f>
        <v>5.7283142389525477E-2</v>
      </c>
      <c r="G9" s="81">
        <f t="shared" si="1"/>
        <v>0.63777089783281737</v>
      </c>
      <c r="H9" s="81">
        <f>+H8/G8-1</f>
        <v>0.37523629489602994</v>
      </c>
      <c r="I9" s="81">
        <f>+I8/H8-1</f>
        <v>0.29264604810996597</v>
      </c>
      <c r="J9" s="81">
        <f>+J8/I8-1</f>
        <v>0.43555403139672388</v>
      </c>
      <c r="K9" s="81">
        <f>+K8/J8-1</f>
        <v>0.28091400930605226</v>
      </c>
      <c r="L9" s="81">
        <f t="shared" ref="L9:U9" si="2">+L10</f>
        <v>0.18</v>
      </c>
      <c r="M9" s="81">
        <f t="shared" si="2"/>
        <v>0.16</v>
      </c>
      <c r="N9" s="81">
        <f t="shared" si="2"/>
        <v>0.14000000000000001</v>
      </c>
      <c r="O9" s="81">
        <f t="shared" si="2"/>
        <v>0.12</v>
      </c>
      <c r="P9" s="81">
        <f t="shared" si="2"/>
        <v>0.1</v>
      </c>
      <c r="Q9" s="81">
        <f t="shared" si="2"/>
        <v>0.1</v>
      </c>
      <c r="R9" s="81">
        <f t="shared" si="2"/>
        <v>0.1</v>
      </c>
      <c r="S9" s="81">
        <f t="shared" si="2"/>
        <v>0.1</v>
      </c>
      <c r="T9" s="81">
        <f t="shared" si="2"/>
        <v>0.1</v>
      </c>
      <c r="U9" s="81">
        <f t="shared" si="2"/>
        <v>0.1</v>
      </c>
      <c r="V9" s="90"/>
      <c r="W9" s="89"/>
    </row>
    <row r="10" spans="1:25" x14ac:dyDescent="0.2">
      <c r="B10" s="80" t="s">
        <v>546</v>
      </c>
      <c r="C10" s="89"/>
      <c r="D10" s="89"/>
      <c r="E10" s="279">
        <f>+'Historical Financials'!AM21</f>
        <v>0.1899485555995252</v>
      </c>
      <c r="F10" s="279">
        <f>+'Historical Financials'!AN21</f>
        <v>1.9530823786143056E-2</v>
      </c>
      <c r="G10" s="279">
        <f>+'Historical Financials'!AO21</f>
        <v>0.54520123839009271</v>
      </c>
      <c r="H10" s="279">
        <f>+'Historical Financials'!AP21</f>
        <v>0.33572778827977295</v>
      </c>
      <c r="I10" s="279">
        <f>+'Historical Financials'!AQ21</f>
        <v>0.24366552119129478</v>
      </c>
      <c r="J10" s="279">
        <f>+'Historical Financials'!AR21</f>
        <v>0.25637600570391739</v>
      </c>
      <c r="K10" s="279">
        <f>+'Historical Financials'!AS21</f>
        <v>0.19855939980781159</v>
      </c>
      <c r="L10" s="86">
        <v>0.18</v>
      </c>
      <c r="M10" s="86">
        <v>0.16</v>
      </c>
      <c r="N10" s="86">
        <v>0.14000000000000001</v>
      </c>
      <c r="O10" s="86">
        <v>0.12</v>
      </c>
      <c r="P10" s="86">
        <v>0.1</v>
      </c>
      <c r="Q10" s="86">
        <v>0.1</v>
      </c>
      <c r="R10" s="86">
        <v>0.1</v>
      </c>
      <c r="S10" s="86">
        <v>0.1</v>
      </c>
      <c r="T10" s="86">
        <v>0.1</v>
      </c>
      <c r="U10" s="86">
        <v>0.1</v>
      </c>
      <c r="V10" s="90"/>
      <c r="W10" s="89"/>
    </row>
    <row r="11" spans="1:25" x14ac:dyDescent="0.2">
      <c r="B11" s="80"/>
      <c r="C11" s="89"/>
      <c r="D11" s="89"/>
      <c r="E11" s="81"/>
      <c r="F11" s="81"/>
      <c r="G11" s="81"/>
      <c r="H11" s="81"/>
      <c r="I11" s="81"/>
      <c r="J11" s="81"/>
      <c r="K11" s="81"/>
      <c r="L11" s="86"/>
      <c r="M11" s="86"/>
      <c r="N11" s="86"/>
      <c r="O11" s="86"/>
      <c r="P11" s="86"/>
      <c r="Q11" s="86"/>
      <c r="R11" s="86"/>
      <c r="S11" s="86"/>
      <c r="T11" s="86"/>
      <c r="U11" s="86"/>
      <c r="V11" s="90"/>
      <c r="W11" s="89"/>
    </row>
    <row r="12" spans="1:25" x14ac:dyDescent="0.2">
      <c r="B12" s="114" t="s">
        <v>183</v>
      </c>
      <c r="C12" s="89"/>
      <c r="D12" s="89"/>
      <c r="E12" s="81"/>
      <c r="F12" s="81"/>
      <c r="G12" s="81"/>
      <c r="H12" s="81"/>
      <c r="I12" s="81"/>
      <c r="J12" s="81"/>
      <c r="K12" s="81"/>
      <c r="L12" s="86"/>
      <c r="M12" s="86"/>
      <c r="N12" s="86"/>
      <c r="O12" s="86"/>
      <c r="P12" s="86"/>
      <c r="Q12" s="86"/>
      <c r="R12" s="86"/>
      <c r="S12" s="86"/>
      <c r="T12" s="86"/>
      <c r="U12" s="86"/>
      <c r="V12" s="90"/>
      <c r="W12" s="89"/>
    </row>
    <row r="13" spans="1:25" x14ac:dyDescent="0.2">
      <c r="A13" s="67" t="s">
        <v>465</v>
      </c>
      <c r="B13" s="80" t="s">
        <v>461</v>
      </c>
      <c r="C13" s="89"/>
      <c r="D13" s="89"/>
      <c r="E13" s="81"/>
      <c r="F13" s="81"/>
      <c r="G13" s="81"/>
      <c r="H13" s="81"/>
      <c r="I13" s="81"/>
      <c r="J13" s="224">
        <f>_xll.VAData("FOUR_US",J$1,$A13,"consensus.vaactuals")</f>
        <v>1354.4</v>
      </c>
      <c r="K13" s="224">
        <f>_xll.VAData("FOUR_US",K$1,$A13,"consensus.vaactuals")</f>
        <v>1697.8094639478832</v>
      </c>
      <c r="L13" s="224">
        <f>_xll.VAData("FOUR_US",L$1,$A13,"consensus.vaactuals")</f>
        <v>2014.2164429557156</v>
      </c>
      <c r="M13" s="224"/>
      <c r="N13" s="86"/>
      <c r="O13" s="86"/>
      <c r="P13" s="86"/>
      <c r="Q13" s="86"/>
      <c r="R13" s="86"/>
      <c r="S13" s="86"/>
      <c r="T13" s="86"/>
      <c r="U13" s="86"/>
      <c r="V13" s="90"/>
      <c r="W13" s="89"/>
    </row>
    <row r="14" spans="1:25" x14ac:dyDescent="0.2">
      <c r="B14" s="108" t="s">
        <v>136</v>
      </c>
      <c r="C14" s="89"/>
      <c r="D14" s="89"/>
      <c r="E14" s="81"/>
      <c r="F14" s="81"/>
      <c r="G14" s="81"/>
      <c r="H14" s="81"/>
      <c r="I14" s="81"/>
      <c r="J14" s="81">
        <f>+J13/I8-1</f>
        <v>0.44023819651212248</v>
      </c>
      <c r="K14" s="81">
        <f>+K13/J13-1</f>
        <v>0.25355099228284339</v>
      </c>
      <c r="L14" s="81">
        <f>+L13/K13-1</f>
        <v>0.1863618890850669</v>
      </c>
      <c r="M14" s="81"/>
      <c r="N14" s="86"/>
      <c r="O14" s="86"/>
      <c r="P14" s="86"/>
      <c r="Q14" s="86"/>
      <c r="R14" s="86"/>
      <c r="S14" s="86"/>
      <c r="T14" s="86"/>
      <c r="U14" s="86"/>
      <c r="V14" s="90"/>
      <c r="W14" s="89"/>
    </row>
    <row r="15" spans="1:25" s="95" customFormat="1" ht="10.15" x14ac:dyDescent="0.2">
      <c r="B15" s="80"/>
      <c r="C15" s="93"/>
      <c r="D15" s="93"/>
      <c r="E15" s="94"/>
      <c r="F15" s="94"/>
      <c r="G15" s="94"/>
      <c r="H15" s="94"/>
      <c r="I15" s="94"/>
      <c r="J15" s="94"/>
      <c r="K15" s="94"/>
      <c r="L15" s="94"/>
      <c r="M15" s="94"/>
      <c r="N15" s="94"/>
      <c r="O15" s="94"/>
      <c r="P15" s="94"/>
      <c r="Q15" s="94"/>
      <c r="R15" s="94"/>
      <c r="S15" s="94"/>
      <c r="T15" s="94"/>
      <c r="U15" s="94"/>
    </row>
    <row r="16" spans="1:25" s="95" customFormat="1" ht="10.15" x14ac:dyDescent="0.2">
      <c r="B16" s="77" t="s">
        <v>145</v>
      </c>
      <c r="C16" s="93"/>
      <c r="D16" s="78">
        <f>+'Historical Financials'!AL25</f>
        <v>140.70000000000005</v>
      </c>
      <c r="E16" s="78">
        <f>+'Historical Financials'!AM25</f>
        <v>173.4</v>
      </c>
      <c r="F16" s="78">
        <f>+'Historical Financials'!AN25</f>
        <v>168</v>
      </c>
      <c r="G16" s="78">
        <f>+'Historical Financials'!AO25</f>
        <v>279.90000000000003</v>
      </c>
      <c r="H16" s="78">
        <f>+'Historical Financials'!AP25</f>
        <v>441.7999999999999</v>
      </c>
      <c r="I16" s="78">
        <f>+'Historical Financials'!AQ25</f>
        <v>652.5</v>
      </c>
      <c r="J16" s="78">
        <f>+'Historical Financials'!AR25</f>
        <v>922.30758262095333</v>
      </c>
      <c r="K16" s="78">
        <f>+'Historical Financials'!AS25</f>
        <v>1184.520852737076</v>
      </c>
      <c r="L16" s="79">
        <f t="shared" ref="L16:S16" si="3">+L17*L8</f>
        <v>1397.7346062297495</v>
      </c>
      <c r="M16" s="79">
        <f t="shared" si="3"/>
        <v>1621.3721432265095</v>
      </c>
      <c r="N16" s="79">
        <f t="shared" si="3"/>
        <v>1848.364243278221</v>
      </c>
      <c r="O16" s="79">
        <f t="shared" si="3"/>
        <v>2070.1679524716078</v>
      </c>
      <c r="P16" s="79">
        <f t="shared" si="3"/>
        <v>2277.1847477187684</v>
      </c>
      <c r="Q16" s="79">
        <f t="shared" si="3"/>
        <v>2504.9032224906459</v>
      </c>
      <c r="R16" s="79">
        <f t="shared" si="3"/>
        <v>2755.3935447397107</v>
      </c>
      <c r="S16" s="79">
        <f t="shared" si="3"/>
        <v>3030.9328992136816</v>
      </c>
      <c r="T16" s="79">
        <f t="shared" ref="T16:U16" si="4">+T17*T8</f>
        <v>3334.0261891350506</v>
      </c>
      <c r="U16" s="79">
        <f t="shared" si="4"/>
        <v>3667.4288080485558</v>
      </c>
    </row>
    <row r="17" spans="2:26" s="95" customFormat="1" ht="10.15" x14ac:dyDescent="0.2">
      <c r="B17" s="80" t="s">
        <v>146</v>
      </c>
      <c r="C17" s="93"/>
      <c r="D17" s="91">
        <f t="shared" ref="D17:I17" si="5">+IFERROR(D16/D8,"n/a")</f>
        <v>0.55678670360110827</v>
      </c>
      <c r="E17" s="91">
        <f t="shared" si="5"/>
        <v>0.56759410801963994</v>
      </c>
      <c r="F17" s="91">
        <f t="shared" si="5"/>
        <v>0.52012383900928794</v>
      </c>
      <c r="G17" s="91">
        <f t="shared" si="5"/>
        <v>0.52911153119092635</v>
      </c>
      <c r="H17" s="91">
        <f t="shared" si="5"/>
        <v>0.60728522336769752</v>
      </c>
      <c r="I17" s="91">
        <f t="shared" si="5"/>
        <v>0.69385367928541042</v>
      </c>
      <c r="J17" s="91">
        <f t="shared" ref="J17:K17" si="6">+IFERROR(J16/J8,"n/a")</f>
        <v>0.68319332665683952</v>
      </c>
      <c r="K17" s="91">
        <f t="shared" si="6"/>
        <v>0.68500000000000005</v>
      </c>
      <c r="L17" s="92">
        <f t="shared" ref="L17:U17" si="7">+K17</f>
        <v>0.68500000000000005</v>
      </c>
      <c r="M17" s="92">
        <f t="shared" si="7"/>
        <v>0.68500000000000005</v>
      </c>
      <c r="N17" s="92">
        <f t="shared" si="7"/>
        <v>0.68500000000000005</v>
      </c>
      <c r="O17" s="92">
        <f t="shared" si="7"/>
        <v>0.68500000000000005</v>
      </c>
      <c r="P17" s="92">
        <f t="shared" si="7"/>
        <v>0.68500000000000005</v>
      </c>
      <c r="Q17" s="92">
        <f t="shared" si="7"/>
        <v>0.68500000000000005</v>
      </c>
      <c r="R17" s="92">
        <f t="shared" si="7"/>
        <v>0.68500000000000005</v>
      </c>
      <c r="S17" s="92">
        <f t="shared" si="7"/>
        <v>0.68500000000000005</v>
      </c>
      <c r="T17" s="92">
        <f t="shared" si="7"/>
        <v>0.68500000000000005</v>
      </c>
      <c r="U17" s="92">
        <f t="shared" si="7"/>
        <v>0.68500000000000005</v>
      </c>
    </row>
    <row r="18" spans="2:26" s="95" customFormat="1" ht="10.15" x14ac:dyDescent="0.2">
      <c r="B18" s="80"/>
      <c r="C18" s="93"/>
      <c r="D18" s="93"/>
      <c r="E18" s="94"/>
      <c r="F18" s="94"/>
      <c r="G18" s="94"/>
      <c r="H18" s="94"/>
      <c r="I18" s="94"/>
      <c r="J18" s="94"/>
      <c r="K18" s="94"/>
      <c r="L18" s="94"/>
      <c r="M18" s="94"/>
      <c r="N18" s="94"/>
      <c r="O18" s="94"/>
      <c r="P18" s="94"/>
      <c r="Q18" s="94"/>
      <c r="R18" s="94"/>
      <c r="S18" s="94"/>
      <c r="T18" s="94"/>
      <c r="U18" s="94"/>
    </row>
    <row r="19" spans="2:26" s="95" customFormat="1" ht="10.15" x14ac:dyDescent="0.2">
      <c r="B19" s="128" t="s">
        <v>151</v>
      </c>
      <c r="C19" s="93"/>
      <c r="D19" s="97">
        <f t="shared" ref="D19:I19" si="8">+D16-D23</f>
        <v>121.80000000000007</v>
      </c>
      <c r="E19" s="97">
        <f t="shared" si="8"/>
        <v>146.20000000000007</v>
      </c>
      <c r="F19" s="97">
        <f t="shared" si="8"/>
        <v>164.5</v>
      </c>
      <c r="G19" s="97">
        <f t="shared" si="8"/>
        <v>216.9</v>
      </c>
      <c r="H19" s="97">
        <f t="shared" si="8"/>
        <v>301.50000000000011</v>
      </c>
      <c r="I19" s="97">
        <f t="shared" si="8"/>
        <v>407.20000000000016</v>
      </c>
      <c r="J19" s="97">
        <f t="shared" ref="J19:U19" si="9">+J16-J23</f>
        <v>539.6041269469589</v>
      </c>
      <c r="K19" s="97">
        <f t="shared" si="9"/>
        <v>638.51519040491132</v>
      </c>
      <c r="L19" s="97">
        <f t="shared" si="9"/>
        <v>746.61007020217266</v>
      </c>
      <c r="M19" s="97">
        <f t="shared" si="9"/>
        <v>824.64576536668983</v>
      </c>
      <c r="N19" s="97">
        <f t="shared" si="9"/>
        <v>892.87518820069954</v>
      </c>
      <c r="O19" s="97">
        <f t="shared" si="9"/>
        <v>947.13270834937748</v>
      </c>
      <c r="P19" s="97">
        <f t="shared" si="9"/>
        <v>1000.2915129850676</v>
      </c>
      <c r="Q19" s="97">
        <f t="shared" si="9"/>
        <v>1054.6107514644023</v>
      </c>
      <c r="R19" s="97">
        <f t="shared" si="9"/>
        <v>1109.790922509753</v>
      </c>
      <c r="S19" s="97">
        <f t="shared" si="9"/>
        <v>1165.4610202495296</v>
      </c>
      <c r="T19" s="97">
        <f t="shared" si="9"/>
        <v>1221.1672283121643</v>
      </c>
      <c r="U19" s="97">
        <f t="shared" si="9"/>
        <v>1276.3600677848308</v>
      </c>
    </row>
    <row r="20" spans="2:26" s="95" customFormat="1" ht="10.15" x14ac:dyDescent="0.2">
      <c r="B20" s="102" t="s">
        <v>136</v>
      </c>
      <c r="C20" s="93"/>
      <c r="D20" s="93"/>
      <c r="E20" s="99"/>
      <c r="F20" s="99">
        <f t="shared" ref="F20:G20" si="10">+IFERROR(F19/E19-1,"n/a")</f>
        <v>0.12517099863201042</v>
      </c>
      <c r="G20" s="99">
        <f t="shared" si="10"/>
        <v>0.31854103343465057</v>
      </c>
      <c r="H20" s="100">
        <f t="shared" ref="H20:K20" si="11">H19/G19-1</f>
        <v>0.390041493775934</v>
      </c>
      <c r="I20" s="100">
        <f t="shared" si="11"/>
        <v>0.35058043117744608</v>
      </c>
      <c r="J20" s="100">
        <f t="shared" si="11"/>
        <v>0.32515748267917166</v>
      </c>
      <c r="K20" s="100">
        <f t="shared" si="11"/>
        <v>0.18330301515220815</v>
      </c>
      <c r="L20" s="100">
        <f t="shared" ref="L20" si="12">L19/K19-1</f>
        <v>0.16929100735835823</v>
      </c>
      <c r="M20" s="100">
        <f t="shared" ref="M20" si="13">M19/L19-1</f>
        <v>0.10452001423364954</v>
      </c>
      <c r="N20" s="100">
        <f t="shared" ref="N20" si="14">N19/M19-1</f>
        <v>8.2737856300845181E-2</v>
      </c>
      <c r="O20" s="100">
        <f t="shared" ref="O20" si="15">O19/N19-1</f>
        <v>6.0767194413831049E-2</v>
      </c>
      <c r="P20" s="100">
        <f t="shared" ref="P20" si="16">P19/O19-1</f>
        <v>5.6126036158473447E-2</v>
      </c>
      <c r="Q20" s="100">
        <f t="shared" ref="Q20" si="17">Q19/P19-1</f>
        <v>5.430340833067282E-2</v>
      </c>
      <c r="R20" s="100">
        <f t="shared" ref="R20" si="18">R19/Q19-1</f>
        <v>5.2322784466903194E-2</v>
      </c>
      <c r="S20" s="100">
        <f t="shared" ref="S20" si="19">S19/R19-1</f>
        <v>5.0162689755905099E-2</v>
      </c>
      <c r="T20" s="100">
        <f t="shared" ref="T20" si="20">T19/S19-1</f>
        <v>4.7797572887257722E-2</v>
      </c>
      <c r="U20" s="100">
        <f t="shared" ref="U20" si="21">U19/T19-1</f>
        <v>4.5196790573025059E-2</v>
      </c>
    </row>
    <row r="21" spans="2:26" s="95" customFormat="1" ht="10.15" x14ac:dyDescent="0.2">
      <c r="B21" s="102" t="s">
        <v>152</v>
      </c>
      <c r="C21" s="93"/>
      <c r="D21" s="94">
        <f t="shared" ref="D21:I21" si="22">+IFERROR(D19/D8,"n/a")</f>
        <v>0.4819944598337953</v>
      </c>
      <c r="E21" s="94">
        <f t="shared" si="22"/>
        <v>0.47855973813420644</v>
      </c>
      <c r="F21" s="94">
        <f t="shared" si="22"/>
        <v>0.50928792569659442</v>
      </c>
      <c r="G21" s="94">
        <f t="shared" si="22"/>
        <v>0.41001890359168242</v>
      </c>
      <c r="H21" s="94">
        <f t="shared" si="22"/>
        <v>0.4144329896907219</v>
      </c>
      <c r="I21" s="94">
        <f t="shared" si="22"/>
        <v>0.43300723096554672</v>
      </c>
      <c r="J21" s="94">
        <f t="shared" ref="J21:K21" si="23">+IFERROR(J19/J8,"n/a")</f>
        <v>0.39970823780829795</v>
      </c>
      <c r="K21" s="94">
        <f t="shared" si="23"/>
        <v>0.3692488016709054</v>
      </c>
      <c r="L21" s="94">
        <f t="shared" ref="L21:U21" si="24">+IFERROR(L19/L8,"n/a")</f>
        <v>0.36589771463698273</v>
      </c>
      <c r="M21" s="94">
        <f t="shared" si="24"/>
        <v>0.34839771463698277</v>
      </c>
      <c r="N21" s="94">
        <f t="shared" si="24"/>
        <v>0.3308977146369827</v>
      </c>
      <c r="O21" s="94">
        <f t="shared" si="24"/>
        <v>0.31339771463698268</v>
      </c>
      <c r="P21" s="94">
        <f t="shared" si="24"/>
        <v>0.30089771463698262</v>
      </c>
      <c r="Q21" s="94">
        <f t="shared" si="24"/>
        <v>0.28839771463698266</v>
      </c>
      <c r="R21" s="94">
        <f t="shared" si="24"/>
        <v>0.2758977146369827</v>
      </c>
      <c r="S21" s="94">
        <f t="shared" si="24"/>
        <v>0.26339771463698264</v>
      </c>
      <c r="T21" s="94">
        <f t="shared" si="24"/>
        <v>0.25089771463698263</v>
      </c>
      <c r="U21" s="94">
        <f t="shared" si="24"/>
        <v>0.2383977146369827</v>
      </c>
      <c r="W21" s="101"/>
      <c r="X21" s="101"/>
    </row>
    <row r="22" spans="2:26" s="95" customFormat="1" ht="10.15" x14ac:dyDescent="0.2">
      <c r="B22" s="98"/>
      <c r="C22" s="93"/>
      <c r="D22" s="94"/>
      <c r="E22" s="94"/>
      <c r="F22" s="94"/>
      <c r="G22" s="94"/>
      <c r="H22" s="94"/>
      <c r="I22" s="94"/>
      <c r="J22" s="94"/>
      <c r="K22" s="94"/>
      <c r="M22" s="94"/>
      <c r="N22" s="94"/>
      <c r="O22" s="94"/>
      <c r="P22" s="94"/>
      <c r="Q22" s="94"/>
      <c r="R22" s="94"/>
      <c r="S22" s="94"/>
      <c r="T22" s="94"/>
      <c r="U22" s="94"/>
      <c r="W22" s="101"/>
      <c r="X22" s="101"/>
      <c r="Z22" s="255"/>
    </row>
    <row r="23" spans="2:26" s="95" customFormat="1" ht="10.15" x14ac:dyDescent="0.2">
      <c r="B23" s="142" t="s">
        <v>153</v>
      </c>
      <c r="C23" s="93"/>
      <c r="D23" s="78">
        <f>+'Historical Financials'!AL33</f>
        <v>18.899999999999977</v>
      </c>
      <c r="E23" s="78">
        <f>+'Historical Financials'!AM33</f>
        <v>27.199999999999939</v>
      </c>
      <c r="F23" s="78">
        <f>+'Historical Financials'!AN33</f>
        <v>3.4999999999999858</v>
      </c>
      <c r="G23" s="78">
        <f>+'Historical Financials'!AO33</f>
        <v>63.000000000000028</v>
      </c>
      <c r="H23" s="78">
        <f>+'Historical Financials'!AP33</f>
        <v>140.29999999999981</v>
      </c>
      <c r="I23" s="78">
        <f>+'Historical Financials'!AQ33</f>
        <v>245.29999999999987</v>
      </c>
      <c r="J23" s="78">
        <f>+'Historical Financials'!AR33</f>
        <v>382.70345567399443</v>
      </c>
      <c r="K23" s="78">
        <f>+'Historical Financials'!AS33</f>
        <v>546.00566233216466</v>
      </c>
      <c r="L23" s="97">
        <f>+L28-L27</f>
        <v>651.12453602757682</v>
      </c>
      <c r="M23" s="97">
        <f t="shared" ref="M23:U23" si="25">+M28-M27</f>
        <v>796.72637785981965</v>
      </c>
      <c r="N23" s="97">
        <f t="shared" si="25"/>
        <v>955.48905507752147</v>
      </c>
      <c r="O23" s="97">
        <f t="shared" si="25"/>
        <v>1123.0352441222303</v>
      </c>
      <c r="P23" s="97">
        <f t="shared" si="25"/>
        <v>1276.8932347337009</v>
      </c>
      <c r="Q23" s="97">
        <f t="shared" si="25"/>
        <v>1450.2924710262437</v>
      </c>
      <c r="R23" s="97">
        <f t="shared" si="25"/>
        <v>1645.6026222299577</v>
      </c>
      <c r="S23" s="97">
        <f t="shared" si="25"/>
        <v>1865.471878964152</v>
      </c>
      <c r="T23" s="97">
        <f t="shared" si="25"/>
        <v>2112.8589608228863</v>
      </c>
      <c r="U23" s="97">
        <f t="shared" si="25"/>
        <v>2391.068740263725</v>
      </c>
      <c r="W23" s="101"/>
      <c r="X23" s="101"/>
      <c r="Z23" s="255"/>
    </row>
    <row r="24" spans="2:26" s="95" customFormat="1" ht="10.15" x14ac:dyDescent="0.2">
      <c r="B24" s="80" t="s">
        <v>136</v>
      </c>
      <c r="C24" s="93"/>
      <c r="D24" s="94"/>
      <c r="E24" s="81">
        <f>+IFERROR(E23/D23-1,"n/a")</f>
        <v>0.43915343915343774</v>
      </c>
      <c r="F24" s="81">
        <f t="shared" ref="F24" si="26">+IFERROR(F23/E23-1,"n/a")</f>
        <v>-0.87132352941176494</v>
      </c>
      <c r="G24" s="81">
        <f t="shared" ref="G24" si="27">+IFERROR(G23/F23-1,"n/a")</f>
        <v>17.000000000000082</v>
      </c>
      <c r="H24" s="81">
        <f>+H23/G23-1</f>
        <v>1.2269841269841231</v>
      </c>
      <c r="I24" s="81">
        <f>+I23/H23-1</f>
        <v>0.74839629365645188</v>
      </c>
      <c r="J24" s="81">
        <f>+J23/I23-1</f>
        <v>0.5601445400488978</v>
      </c>
      <c r="K24" s="81">
        <f>+K23/J23-1</f>
        <v>0.42670690383647614</v>
      </c>
      <c r="L24" s="81">
        <f t="shared" ref="L24:U24" si="28">+L23/K23-1</f>
        <v>0.19252341312069166</v>
      </c>
      <c r="M24" s="81">
        <f t="shared" si="28"/>
        <v>0.22361596557325281</v>
      </c>
      <c r="N24" s="81">
        <f t="shared" si="28"/>
        <v>0.19926875980204506</v>
      </c>
      <c r="O24" s="81">
        <f t="shared" si="28"/>
        <v>0.17535123835731992</v>
      </c>
      <c r="P24" s="81">
        <f t="shared" si="28"/>
        <v>0.13700192528839694</v>
      </c>
      <c r="Q24" s="81">
        <f t="shared" si="28"/>
        <v>0.13579775628516488</v>
      </c>
      <c r="R24" s="81">
        <f t="shared" si="28"/>
        <v>0.13466949260621219</v>
      </c>
      <c r="S24" s="81">
        <f t="shared" si="28"/>
        <v>0.13361017645696815</v>
      </c>
      <c r="T24" s="81">
        <f t="shared" si="28"/>
        <v>0.13261367520377831</v>
      </c>
      <c r="U24" s="81">
        <f t="shared" si="28"/>
        <v>0.13167456257112664</v>
      </c>
      <c r="W24" s="101"/>
      <c r="X24" s="101"/>
      <c r="Z24" s="255"/>
    </row>
    <row r="25" spans="2:26" s="95" customFormat="1" ht="10.15" x14ac:dyDescent="0.2">
      <c r="B25" s="80" t="s">
        <v>146</v>
      </c>
      <c r="C25" s="93"/>
      <c r="D25" s="91">
        <f t="shared" ref="D25:I25" si="29">+IFERROR(D23/D$8,"n/a")</f>
        <v>7.479224376731293E-2</v>
      </c>
      <c r="E25" s="91">
        <f t="shared" si="29"/>
        <v>8.903436988543352E-2</v>
      </c>
      <c r="F25" s="91">
        <f t="shared" si="29"/>
        <v>1.0835913312693455E-2</v>
      </c>
      <c r="G25" s="91">
        <f t="shared" si="29"/>
        <v>0.11909262759924391</v>
      </c>
      <c r="H25" s="91">
        <f t="shared" si="29"/>
        <v>0.19285223367697571</v>
      </c>
      <c r="I25" s="91">
        <f t="shared" si="29"/>
        <v>0.2608464483198637</v>
      </c>
      <c r="J25" s="91">
        <f t="shared" ref="J25:K25" si="30">+IFERROR(J23/J$8,"n/a")</f>
        <v>0.28348508884854162</v>
      </c>
      <c r="K25" s="91">
        <f t="shared" si="30"/>
        <v>0.31575119832909465</v>
      </c>
      <c r="L25" s="91">
        <f t="shared" ref="L25:S25" si="31">+IFERROR(L23/L$8,"n/a")</f>
        <v>0.31910228536301732</v>
      </c>
      <c r="M25" s="91">
        <f t="shared" si="31"/>
        <v>0.33660228536301734</v>
      </c>
      <c r="N25" s="91">
        <f t="shared" si="31"/>
        <v>0.35410228536301736</v>
      </c>
      <c r="O25" s="91">
        <f t="shared" si="31"/>
        <v>0.37160228536301737</v>
      </c>
      <c r="P25" s="91">
        <f t="shared" si="31"/>
        <v>0.38410228536301738</v>
      </c>
      <c r="Q25" s="91">
        <f t="shared" si="31"/>
        <v>0.39660228536301739</v>
      </c>
      <c r="R25" s="91">
        <f t="shared" si="31"/>
        <v>0.40910228536301735</v>
      </c>
      <c r="S25" s="91">
        <f t="shared" si="31"/>
        <v>0.42160228536301736</v>
      </c>
      <c r="T25" s="91">
        <f t="shared" ref="T25:U25" si="32">+IFERROR(T23/T$8,"n/a")</f>
        <v>0.43410228536301743</v>
      </c>
      <c r="U25" s="91">
        <f t="shared" si="32"/>
        <v>0.44660228536301738</v>
      </c>
      <c r="Z25" s="255"/>
    </row>
    <row r="26" spans="2:26" s="95" customFormat="1" x14ac:dyDescent="0.2">
      <c r="B26" s="80"/>
      <c r="C26" s="93"/>
      <c r="D26" s="93"/>
      <c r="E26" s="94"/>
      <c r="F26" s="94"/>
      <c r="G26" s="94"/>
      <c r="H26" s="94"/>
      <c r="I26" s="94"/>
      <c r="J26" s="78"/>
      <c r="K26" s="94"/>
      <c r="L26" s="94"/>
      <c r="M26" s="94"/>
      <c r="N26" s="83"/>
      <c r="O26" s="94"/>
      <c r="P26" s="94"/>
      <c r="Q26" s="94"/>
      <c r="R26" s="94"/>
      <c r="S26" s="94"/>
      <c r="T26" s="94"/>
      <c r="U26" s="94"/>
      <c r="Z26" s="255"/>
    </row>
    <row r="27" spans="2:26" s="95" customFormat="1" ht="12" x14ac:dyDescent="0.35">
      <c r="B27" s="65" t="s">
        <v>154</v>
      </c>
      <c r="C27" s="93"/>
      <c r="D27" s="96">
        <f>+'Historical Financials'!AL37</f>
        <v>71</v>
      </c>
      <c r="E27" s="96">
        <f>+'Historical Financials'!AM37</f>
        <v>62.6</v>
      </c>
      <c r="F27" s="96">
        <f>+'Historical Financials'!AN37</f>
        <v>84.2</v>
      </c>
      <c r="G27" s="96">
        <f>+'Historical Financials'!AO37</f>
        <v>104.4</v>
      </c>
      <c r="H27" s="96">
        <f>+'Historical Financials'!AP37</f>
        <v>149.1</v>
      </c>
      <c r="I27" s="96">
        <f>+'Historical Financials'!AQ37</f>
        <v>214.6</v>
      </c>
      <c r="J27" s="96">
        <f>+'Historical Financials'!AR37</f>
        <v>293.10000000000002</v>
      </c>
      <c r="K27" s="96">
        <f>+'Historical Financials'!AS37</f>
        <v>338</v>
      </c>
      <c r="L27" s="119">
        <f t="shared" ref="L27:S27" si="33">+L57</f>
        <v>412.40703028685544</v>
      </c>
      <c r="M27" s="119">
        <f t="shared" si="33"/>
        <v>460.63990538939635</v>
      </c>
      <c r="N27" s="119">
        <f t="shared" si="33"/>
        <v>504.89192743648613</v>
      </c>
      <c r="O27" s="119">
        <f t="shared" si="33"/>
        <v>542.8128862565477</v>
      </c>
      <c r="P27" s="119">
        <f t="shared" si="33"/>
        <v>572.16149516265386</v>
      </c>
      <c r="Q27" s="119">
        <f t="shared" si="33"/>
        <v>601.95169698741586</v>
      </c>
      <c r="R27" s="119">
        <f t="shared" si="33"/>
        <v>631.97832422550368</v>
      </c>
      <c r="S27" s="119">
        <f t="shared" si="33"/>
        <v>661.99075994133489</v>
      </c>
      <c r="T27" s="119">
        <f t="shared" ref="T27:U27" si="34">+T57</f>
        <v>691.68589955807738</v>
      </c>
      <c r="U27" s="119">
        <f t="shared" si="34"/>
        <v>720.70015949875506</v>
      </c>
      <c r="Z27" s="255"/>
    </row>
    <row r="28" spans="2:26" s="67" customFormat="1" x14ac:dyDescent="0.2">
      <c r="B28" s="143" t="s">
        <v>69</v>
      </c>
      <c r="C28" s="87"/>
      <c r="D28" s="85">
        <f>+D23+D27</f>
        <v>89.899999999999977</v>
      </c>
      <c r="E28" s="85">
        <f t="shared" ref="E28:I28" si="35">+E23+E27</f>
        <v>89.79999999999994</v>
      </c>
      <c r="F28" s="85">
        <f t="shared" si="35"/>
        <v>87.699999999999989</v>
      </c>
      <c r="G28" s="85">
        <f t="shared" si="35"/>
        <v>167.40000000000003</v>
      </c>
      <c r="H28" s="85">
        <f t="shared" si="35"/>
        <v>289.39999999999981</v>
      </c>
      <c r="I28" s="85">
        <f t="shared" si="35"/>
        <v>459.89999999999986</v>
      </c>
      <c r="J28" s="85">
        <f t="shared" ref="J28:K28" si="36">+J23+J27</f>
        <v>675.80345567399445</v>
      </c>
      <c r="K28" s="85">
        <f t="shared" si="36"/>
        <v>884.00566233216466</v>
      </c>
      <c r="L28" s="85">
        <f t="shared" ref="L28:T28" si="37">+L30*L8</f>
        <v>1063.5315663144322</v>
      </c>
      <c r="M28" s="85">
        <f t="shared" si="37"/>
        <v>1257.3662832492159</v>
      </c>
      <c r="N28" s="85">
        <f t="shared" si="37"/>
        <v>1460.3809825140077</v>
      </c>
      <c r="O28" s="85">
        <f t="shared" si="37"/>
        <v>1665.848130378778</v>
      </c>
      <c r="P28" s="85">
        <f t="shared" si="37"/>
        <v>1849.0547298963547</v>
      </c>
      <c r="Q28" s="85">
        <f t="shared" si="37"/>
        <v>2052.2441680136594</v>
      </c>
      <c r="R28" s="85">
        <f t="shared" si="37"/>
        <v>2277.5809464554613</v>
      </c>
      <c r="S28" s="85">
        <f t="shared" si="37"/>
        <v>2527.462638905487</v>
      </c>
      <c r="T28" s="85">
        <f t="shared" si="37"/>
        <v>2804.5448603809637</v>
      </c>
      <c r="U28" s="85">
        <f t="shared" ref="U28" si="38">+U30*U8</f>
        <v>3111.76889976248</v>
      </c>
      <c r="V28" s="88"/>
    </row>
    <row r="29" spans="2:26" s="95" customFormat="1" ht="10.15" x14ac:dyDescent="0.2">
      <c r="B29" s="98" t="s">
        <v>136</v>
      </c>
      <c r="C29" s="93"/>
      <c r="D29" s="93"/>
      <c r="E29" s="99">
        <f t="shared" ref="E29:G29" si="39">+IFERROR(E28/D28-1,"n/a")</f>
        <v>-1.1123470522806933E-3</v>
      </c>
      <c r="F29" s="99">
        <f t="shared" si="39"/>
        <v>-2.3385300668150921E-2</v>
      </c>
      <c r="G29" s="99">
        <f t="shared" si="39"/>
        <v>0.90877993158494941</v>
      </c>
      <c r="H29" s="100">
        <f t="shared" ref="H29:K29" si="40">H28/G28-1</f>
        <v>0.72879330943846932</v>
      </c>
      <c r="I29" s="100">
        <f t="shared" si="40"/>
        <v>0.58914996544575038</v>
      </c>
      <c r="J29" s="100">
        <f t="shared" si="40"/>
        <v>0.46945739437702683</v>
      </c>
      <c r="K29" s="100">
        <f t="shared" si="40"/>
        <v>0.30808100330076793</v>
      </c>
      <c r="L29" s="100">
        <f t="shared" ref="L29" si="41">L28/K28-1</f>
        <v>0.20308230097604363</v>
      </c>
      <c r="M29" s="100">
        <f t="shared" ref="M29" si="42">M28/L28-1</f>
        <v>0.18225572524048306</v>
      </c>
      <c r="N29" s="100">
        <f t="shared" ref="N29" si="43">N28/M28-1</f>
        <v>0.16146026974746963</v>
      </c>
      <c r="O29" s="100">
        <f t="shared" ref="O29" si="44">O28/N28-1</f>
        <v>0.14069420947338274</v>
      </c>
      <c r="P29" s="100">
        <f t="shared" ref="P29" si="45">P28/O28-1</f>
        <v>0.10997797228725736</v>
      </c>
      <c r="Q29" s="100">
        <f t="shared" ref="Q29" si="46">Q28/P28-1</f>
        <v>0.10988827687577096</v>
      </c>
      <c r="R29" s="100">
        <f t="shared" ref="R29" si="47">R28/Q28-1</f>
        <v>0.10980017970274103</v>
      </c>
      <c r="S29" s="100">
        <f t="shared" ref="S29:U29" si="48">S28/R28-1</f>
        <v>0.10971363842804793</v>
      </c>
      <c r="T29" s="100">
        <f t="shared" si="48"/>
        <v>0.10962861219403286</v>
      </c>
      <c r="U29" s="100">
        <f t="shared" si="48"/>
        <v>0.10954506156117749</v>
      </c>
    </row>
    <row r="30" spans="2:26" s="95" customFormat="1" ht="10.15" x14ac:dyDescent="0.2">
      <c r="B30" s="108" t="s">
        <v>146</v>
      </c>
      <c r="C30" s="93"/>
      <c r="D30" s="91">
        <f t="shared" ref="D30:I30" si="49">+IFERROR(D28/D$8,"n/a")</f>
        <v>0.35575781559161052</v>
      </c>
      <c r="E30" s="91">
        <f t="shared" si="49"/>
        <v>0.29394435351882142</v>
      </c>
      <c r="F30" s="91">
        <f t="shared" si="49"/>
        <v>0.27151702786377707</v>
      </c>
      <c r="G30" s="91">
        <f t="shared" si="49"/>
        <v>0.31644612476370515</v>
      </c>
      <c r="H30" s="91">
        <f t="shared" si="49"/>
        <v>0.39780068728522316</v>
      </c>
      <c r="I30" s="91">
        <f t="shared" si="49"/>
        <v>0.4890472139515098</v>
      </c>
      <c r="J30" s="91">
        <f t="shared" ref="J30:K30" si="50">+IFERROR(J28/J$8,"n/a")</f>
        <v>0.50059700228861059</v>
      </c>
      <c r="K30" s="91">
        <f t="shared" si="50"/>
        <v>0.51121419880308627</v>
      </c>
      <c r="L30" s="92">
        <f t="shared" ref="L30:O30" si="51">+K30+1%</f>
        <v>0.52121419880308628</v>
      </c>
      <c r="M30" s="92">
        <f t="shared" si="51"/>
        <v>0.53121419880308629</v>
      </c>
      <c r="N30" s="92">
        <f t="shared" si="51"/>
        <v>0.5412141988030863</v>
      </c>
      <c r="O30" s="92">
        <f t="shared" si="51"/>
        <v>0.55121419880308631</v>
      </c>
      <c r="P30" s="92">
        <f>+O30+0.5%</f>
        <v>0.55621419880308631</v>
      </c>
      <c r="Q30" s="92">
        <f t="shared" ref="Q30:U30" si="52">+P30+0.5%</f>
        <v>0.56121419880308632</v>
      </c>
      <c r="R30" s="92">
        <f t="shared" si="52"/>
        <v>0.56621419880308632</v>
      </c>
      <c r="S30" s="92">
        <f t="shared" si="52"/>
        <v>0.57121419880308633</v>
      </c>
      <c r="T30" s="92">
        <f t="shared" si="52"/>
        <v>0.57621419880308633</v>
      </c>
      <c r="U30" s="92">
        <f t="shared" si="52"/>
        <v>0.58121419880308633</v>
      </c>
    </row>
    <row r="31" spans="2:26" x14ac:dyDescent="0.2">
      <c r="B31" s="80"/>
      <c r="C31" s="89"/>
      <c r="D31" s="89"/>
      <c r="E31" s="81"/>
      <c r="F31" s="81"/>
      <c r="G31" s="81"/>
      <c r="H31" s="81"/>
      <c r="I31" s="81"/>
      <c r="J31" s="81"/>
      <c r="K31" s="81"/>
      <c r="L31" s="86"/>
      <c r="M31" s="86"/>
      <c r="N31" s="86"/>
      <c r="O31" s="86"/>
      <c r="P31" s="86"/>
      <c r="Q31" s="86"/>
      <c r="R31" s="86"/>
      <c r="S31" s="86"/>
      <c r="T31" s="86"/>
      <c r="U31" s="86"/>
      <c r="V31" s="90"/>
      <c r="W31" s="89"/>
    </row>
    <row r="32" spans="2:26" x14ac:dyDescent="0.2">
      <c r="B32" s="114" t="s">
        <v>183</v>
      </c>
      <c r="C32" s="89"/>
      <c r="D32" s="89"/>
      <c r="E32" s="81"/>
      <c r="F32" s="81"/>
      <c r="G32" s="81"/>
      <c r="H32" s="81"/>
      <c r="I32" s="81"/>
      <c r="J32" s="81"/>
      <c r="K32" s="81"/>
      <c r="L32" s="86"/>
      <c r="M32" s="86"/>
      <c r="N32" s="86"/>
      <c r="O32" s="86"/>
      <c r="P32" s="86"/>
      <c r="Q32" s="86"/>
      <c r="R32" s="86"/>
      <c r="S32" s="86"/>
      <c r="T32" s="86"/>
      <c r="U32" s="86"/>
      <c r="V32" s="90"/>
      <c r="W32" s="89"/>
    </row>
    <row r="33" spans="1:23" x14ac:dyDescent="0.2">
      <c r="A33" s="67" t="s">
        <v>466</v>
      </c>
      <c r="B33" s="80" t="s">
        <v>467</v>
      </c>
      <c r="C33" s="89"/>
      <c r="D33" s="89"/>
      <c r="E33" s="81"/>
      <c r="F33" s="81"/>
      <c r="G33" s="81"/>
      <c r="H33" s="81"/>
      <c r="I33" s="81"/>
      <c r="J33" s="224">
        <f>_xll.VAData("FOUR_US",J$1,$A33,"consensus.vaactuals")</f>
        <v>677.4</v>
      </c>
      <c r="K33" s="224">
        <f>_xll.VAData("FOUR_US",K$1,$A33,"consensus.vaactuals")</f>
        <v>850.12907702051132</v>
      </c>
      <c r="L33" s="224">
        <f>_xll.VAData("FOUR_US",L$1,$A33,"consensus.vaactuals")</f>
        <v>1014.1052320432073</v>
      </c>
      <c r="M33" s="224"/>
      <c r="N33" s="86"/>
      <c r="O33" s="86"/>
      <c r="P33" s="86"/>
      <c r="Q33" s="86"/>
      <c r="R33" s="86"/>
      <c r="S33" s="86"/>
      <c r="T33" s="86"/>
      <c r="U33" s="86"/>
      <c r="V33" s="90"/>
      <c r="W33" s="89"/>
    </row>
    <row r="34" spans="1:23" x14ac:dyDescent="0.2">
      <c r="B34" s="108" t="s">
        <v>136</v>
      </c>
      <c r="C34" s="89"/>
      <c r="D34" s="89"/>
      <c r="E34" s="81"/>
      <c r="F34" s="81"/>
      <c r="G34" s="81"/>
      <c r="H34" s="81"/>
      <c r="I34" s="81"/>
      <c r="J34" s="81">
        <f>+J33/I28-1</f>
        <v>0.47292889758643231</v>
      </c>
      <c r="K34" s="81">
        <f>+K33/J33-1</f>
        <v>0.25498830383895976</v>
      </c>
      <c r="L34" s="81">
        <f>+L33/K33-1</f>
        <v>0.19288383312024937</v>
      </c>
      <c r="M34" s="81"/>
      <c r="N34" s="86"/>
      <c r="O34" s="86"/>
      <c r="P34" s="86"/>
      <c r="Q34" s="86"/>
      <c r="R34" s="86"/>
      <c r="S34" s="86"/>
      <c r="T34" s="86"/>
      <c r="U34" s="86"/>
      <c r="V34" s="90"/>
      <c r="W34" s="89"/>
    </row>
    <row r="35" spans="1:23" x14ac:dyDescent="0.2">
      <c r="B35" s="108" t="s">
        <v>146</v>
      </c>
      <c r="C35" s="89"/>
      <c r="D35" s="89"/>
      <c r="E35" s="81"/>
      <c r="F35" s="81"/>
      <c r="G35" s="81"/>
      <c r="H35" s="81"/>
      <c r="I35" s="81"/>
      <c r="J35" s="91">
        <f>+IFERROR(J33/J$13,"n/a")</f>
        <v>0.50014766686355572</v>
      </c>
      <c r="K35" s="91">
        <f t="shared" ref="K35:L35" si="53">+IFERROR(K33/K$13,"n/a")</f>
        <v>0.50072113218389225</v>
      </c>
      <c r="L35" s="91">
        <f t="shared" si="53"/>
        <v>0.50347381265296487</v>
      </c>
      <c r="M35" s="91"/>
      <c r="N35" s="86"/>
      <c r="O35" s="86"/>
      <c r="P35" s="86"/>
      <c r="Q35" s="86"/>
      <c r="R35" s="86"/>
      <c r="S35" s="86"/>
      <c r="T35" s="86"/>
      <c r="U35" s="86"/>
      <c r="V35" s="90"/>
      <c r="W35" s="89"/>
    </row>
    <row r="36" spans="1:23" ht="10.15" x14ac:dyDescent="0.2">
      <c r="B36" s="103"/>
      <c r="C36" s="89"/>
      <c r="D36" s="89"/>
      <c r="E36" s="104"/>
      <c r="F36" s="104"/>
      <c r="G36" s="104"/>
      <c r="H36" s="89"/>
      <c r="I36" s="89"/>
      <c r="J36" s="89"/>
      <c r="K36" s="89"/>
      <c r="L36" s="89"/>
      <c r="M36" s="105"/>
      <c r="N36" s="105"/>
      <c r="O36" s="105"/>
      <c r="P36" s="105"/>
      <c r="Q36" s="105"/>
      <c r="R36" s="105"/>
      <c r="S36" s="105"/>
      <c r="T36" s="105"/>
      <c r="U36" s="105"/>
    </row>
    <row r="37" spans="1:23" ht="12" x14ac:dyDescent="0.35">
      <c r="B37" s="65" t="s">
        <v>155</v>
      </c>
      <c r="C37" s="89"/>
      <c r="D37" s="96">
        <f>+'Historical Financials'!AL42</f>
        <v>0</v>
      </c>
      <c r="E37" s="96">
        <f>+'Historical Financials'!AM42</f>
        <v>0</v>
      </c>
      <c r="F37" s="96">
        <f>+'Historical Financials'!AN42</f>
        <v>-66.900000000000006</v>
      </c>
      <c r="G37" s="96">
        <f>+'Historical Financials'!AO42</f>
        <v>-47.3</v>
      </c>
      <c r="H37" s="96">
        <f>+'Historical Financials'!AP42</f>
        <v>-50.400000000000006</v>
      </c>
      <c r="I37" s="96">
        <f>+'Historical Financials'!AQ42</f>
        <v>-59.1</v>
      </c>
      <c r="J37" s="96">
        <f>+'Historical Financials'!AR42</f>
        <v>-67.099999999999994</v>
      </c>
      <c r="K37" s="96">
        <f>+'Historical Financials'!AS42</f>
        <v>-76</v>
      </c>
      <c r="L37" s="106">
        <f>+K37*(1+L20*1)</f>
        <v>-88.866116559235223</v>
      </c>
      <c r="M37" s="106">
        <f t="shared" ref="M37:U37" si="54">+L37*(1+M20*1)</f>
        <v>-98.154404326895644</v>
      </c>
      <c r="N37" s="106">
        <f t="shared" si="54"/>
        <v>-106.27548932738939</v>
      </c>
      <c r="O37" s="106">
        <f t="shared" si="54"/>
        <v>-112.73355264877189</v>
      </c>
      <c r="P37" s="106">
        <f t="shared" si="54"/>
        <v>-119.06084010101003</v>
      </c>
      <c r="Q37" s="106">
        <f t="shared" si="54"/>
        <v>-125.52624951720813</v>
      </c>
      <c r="R37" s="106">
        <f t="shared" si="54"/>
        <v>-132.09413241563573</v>
      </c>
      <c r="S37" s="106">
        <f t="shared" si="54"/>
        <v>-138.72032939857669</v>
      </c>
      <c r="T37" s="106">
        <f t="shared" si="54"/>
        <v>-145.35082445394957</v>
      </c>
      <c r="U37" s="106">
        <f t="shared" si="54"/>
        <v>-151.92021522641127</v>
      </c>
    </row>
    <row r="38" spans="1:23" ht="10.15" x14ac:dyDescent="0.2">
      <c r="B38" s="107" t="s">
        <v>157</v>
      </c>
      <c r="C38" s="89"/>
      <c r="D38" s="89">
        <f t="shared" ref="D38" si="55">D28+D37</f>
        <v>89.899999999999977</v>
      </c>
      <c r="E38" s="89">
        <f t="shared" ref="E38:S38" si="56">E28+E37</f>
        <v>89.79999999999994</v>
      </c>
      <c r="F38" s="89">
        <f t="shared" si="56"/>
        <v>20.799999999999983</v>
      </c>
      <c r="G38" s="89">
        <f t="shared" si="56"/>
        <v>120.10000000000004</v>
      </c>
      <c r="H38" s="89">
        <f t="shared" si="56"/>
        <v>238.9999999999998</v>
      </c>
      <c r="I38" s="89">
        <f t="shared" si="56"/>
        <v>400.79999999999984</v>
      </c>
      <c r="J38" s="89">
        <f t="shared" si="56"/>
        <v>608.70345567399443</v>
      </c>
      <c r="K38" s="89">
        <f t="shared" ref="K38" si="57">K28+K37</f>
        <v>808.00566233216466</v>
      </c>
      <c r="L38" s="89">
        <f t="shared" si="56"/>
        <v>974.66544975519696</v>
      </c>
      <c r="M38" s="89">
        <f t="shared" si="56"/>
        <v>1159.2118789223202</v>
      </c>
      <c r="N38" s="89">
        <f t="shared" si="56"/>
        <v>1354.1054931866183</v>
      </c>
      <c r="O38" s="89">
        <f t="shared" si="56"/>
        <v>1553.1145777300062</v>
      </c>
      <c r="P38" s="89">
        <f t="shared" si="56"/>
        <v>1729.9938897953448</v>
      </c>
      <c r="Q38" s="89">
        <f t="shared" si="56"/>
        <v>1926.7179184964514</v>
      </c>
      <c r="R38" s="89">
        <f t="shared" si="56"/>
        <v>2145.4868140398257</v>
      </c>
      <c r="S38" s="89">
        <f t="shared" si="56"/>
        <v>2388.7423095069103</v>
      </c>
      <c r="T38" s="89">
        <f t="shared" ref="T38:U38" si="58">T28+T37</f>
        <v>2659.1940359270143</v>
      </c>
      <c r="U38" s="89">
        <f t="shared" si="58"/>
        <v>2959.848684536069</v>
      </c>
    </row>
    <row r="39" spans="1:23" ht="10.15" x14ac:dyDescent="0.2">
      <c r="B39" s="98" t="s">
        <v>136</v>
      </c>
      <c r="C39" s="93"/>
      <c r="D39" s="99"/>
      <c r="E39" s="99">
        <f t="shared" ref="E39:G39" si="59">+IFERROR(E38/D38-1,"n/a")</f>
        <v>-1.1123470522806933E-3</v>
      </c>
      <c r="F39" s="99">
        <f t="shared" si="59"/>
        <v>-0.76837416481069043</v>
      </c>
      <c r="G39" s="99">
        <f t="shared" si="59"/>
        <v>4.7740384615384679</v>
      </c>
      <c r="H39" s="100">
        <f t="shared" ref="H39:U39" si="60">H38/G38-1</f>
        <v>0.99000832639466885</v>
      </c>
      <c r="I39" s="100">
        <f t="shared" si="60"/>
        <v>0.67698744769874541</v>
      </c>
      <c r="J39" s="100">
        <f t="shared" si="60"/>
        <v>0.51872119679140383</v>
      </c>
      <c r="K39" s="100">
        <f t="shared" si="60"/>
        <v>0.32742085624845085</v>
      </c>
      <c r="L39" s="100">
        <f t="shared" si="60"/>
        <v>0.20626066770621199</v>
      </c>
      <c r="M39" s="100">
        <f t="shared" si="60"/>
        <v>0.18934335798347535</v>
      </c>
      <c r="N39" s="100">
        <f t="shared" si="60"/>
        <v>0.16812596368964416</v>
      </c>
      <c r="O39" s="100">
        <f t="shared" si="60"/>
        <v>0.14696719387428181</v>
      </c>
      <c r="P39" s="100">
        <f t="shared" si="60"/>
        <v>0.11388684041834241</v>
      </c>
      <c r="Q39" s="100">
        <f t="shared" si="60"/>
        <v>0.11371371301454647</v>
      </c>
      <c r="R39" s="100">
        <f t="shared" si="60"/>
        <v>0.11354484921907737</v>
      </c>
      <c r="S39" s="100">
        <f t="shared" si="60"/>
        <v>0.11338009344790545</v>
      </c>
      <c r="T39" s="100">
        <f t="shared" si="60"/>
        <v>0.11321929759595184</v>
      </c>
      <c r="U39" s="100">
        <f t="shared" si="60"/>
        <v>0.11306232059303056</v>
      </c>
    </row>
    <row r="40" spans="1:23" s="95" customFormat="1" ht="10.15" x14ac:dyDescent="0.2">
      <c r="B40" s="108" t="s">
        <v>146</v>
      </c>
      <c r="C40" s="93"/>
      <c r="D40" s="91">
        <f t="shared" ref="D40" si="61">+IFERROR(D38/D$8,"n/a")</f>
        <v>0.35575781559161052</v>
      </c>
      <c r="E40" s="91">
        <f t="shared" ref="E40:G40" si="62">+IFERROR(E38/E$8,"n/a")</f>
        <v>0.29394435351882142</v>
      </c>
      <c r="F40" s="91">
        <f t="shared" si="62"/>
        <v>6.4396284829721304E-2</v>
      </c>
      <c r="G40" s="91">
        <f t="shared" si="62"/>
        <v>0.22703213610586018</v>
      </c>
      <c r="H40" s="109">
        <f t="shared" ref="H40:S40" si="63">H38/H8</f>
        <v>0.32852233676975923</v>
      </c>
      <c r="I40" s="109">
        <f t="shared" si="63"/>
        <v>0.42620161633347492</v>
      </c>
      <c r="J40" s="109">
        <f t="shared" si="63"/>
        <v>0.45089311490604955</v>
      </c>
      <c r="K40" s="109">
        <f t="shared" ref="K40" si="64">K38/K8</f>
        <v>0.46726393834147872</v>
      </c>
      <c r="L40" s="109">
        <f t="shared" si="63"/>
        <v>0.47766280530409017</v>
      </c>
      <c r="M40" s="109">
        <f t="shared" si="63"/>
        <v>0.4897457627967014</v>
      </c>
      <c r="N40" s="109">
        <f t="shared" si="63"/>
        <v>0.5018287202893128</v>
      </c>
      <c r="O40" s="109">
        <f t="shared" si="63"/>
        <v>0.51391167778192404</v>
      </c>
      <c r="P40" s="109">
        <f t="shared" si="63"/>
        <v>0.52039950456236062</v>
      </c>
      <c r="Q40" s="109">
        <f t="shared" si="63"/>
        <v>0.52688733134279719</v>
      </c>
      <c r="R40" s="109">
        <f t="shared" si="63"/>
        <v>0.53337515812323377</v>
      </c>
      <c r="S40" s="109">
        <f t="shared" si="63"/>
        <v>0.53986298490367035</v>
      </c>
      <c r="T40" s="109">
        <f t="shared" ref="T40:U40" si="65">T38/T8</f>
        <v>0.54635081168410704</v>
      </c>
      <c r="U40" s="109">
        <f t="shared" si="65"/>
        <v>0.55283863846454362</v>
      </c>
    </row>
    <row r="41" spans="1:23" ht="10.15" x14ac:dyDescent="0.2">
      <c r="C41" s="89"/>
      <c r="D41" s="89"/>
      <c r="E41" s="110"/>
      <c r="F41" s="110"/>
      <c r="G41" s="110"/>
      <c r="H41" s="89"/>
      <c r="I41" s="89"/>
      <c r="J41" s="89"/>
      <c r="K41" s="89"/>
      <c r="L41" s="89"/>
      <c r="M41" s="89"/>
      <c r="N41" s="89"/>
      <c r="O41" s="89"/>
      <c r="P41" s="89"/>
      <c r="Q41" s="89"/>
      <c r="R41" s="89"/>
      <c r="S41" s="89"/>
      <c r="T41" s="89"/>
      <c r="U41" s="89"/>
    </row>
    <row r="42" spans="1:23" ht="10.15" x14ac:dyDescent="0.2">
      <c r="B42" s="65" t="s">
        <v>167</v>
      </c>
      <c r="C42" s="89"/>
      <c r="D42" s="78">
        <f>-'Historical Financials'!AL67</f>
        <v>36.200000000000003</v>
      </c>
      <c r="E42" s="78">
        <f>-'Historical Financials'!AM67</f>
        <v>35.299999999999997</v>
      </c>
      <c r="F42" s="78">
        <f>-'Historical Financials'!AN67</f>
        <v>48.4</v>
      </c>
      <c r="G42" s="78">
        <f>-'Historical Financials'!AO67</f>
        <v>101.3</v>
      </c>
      <c r="H42" s="78">
        <f>-'Historical Financials'!AP67</f>
        <v>129.69999999999999</v>
      </c>
      <c r="I42" s="78">
        <f>-'Historical Financials'!AQ67</f>
        <v>171.8</v>
      </c>
      <c r="J42" s="78">
        <f>-'Historical Financials'!AR67</f>
        <v>223.89520178007672</v>
      </c>
      <c r="K42" s="78">
        <f>-'Historical Financials'!AS67</f>
        <v>272.35333475341525</v>
      </c>
      <c r="L42" s="97">
        <f t="shared" ref="L42:S42" si="66">+L43*L8</f>
        <v>317.29595805653435</v>
      </c>
      <c r="M42" s="97">
        <f t="shared" si="66"/>
        <v>363.32937808068493</v>
      </c>
      <c r="N42" s="97">
        <f t="shared" si="66"/>
        <v>408.79880709000065</v>
      </c>
      <c r="O42" s="97">
        <f t="shared" si="66"/>
        <v>451.81037794818297</v>
      </c>
      <c r="P42" s="97">
        <f t="shared" si="66"/>
        <v>490.34270115112167</v>
      </c>
      <c r="Q42" s="97">
        <f t="shared" si="66"/>
        <v>532.06338521516625</v>
      </c>
      <c r="R42" s="97">
        <f t="shared" si="66"/>
        <v>577.2247790805086</v>
      </c>
      <c r="S42" s="97">
        <f t="shared" si="66"/>
        <v>626.09781786676774</v>
      </c>
      <c r="T42" s="97">
        <f t="shared" ref="T42:U42" si="67">+T43*T8</f>
        <v>678.97321661947365</v>
      </c>
      <c r="U42" s="97">
        <f t="shared" si="67"/>
        <v>736.16271694405293</v>
      </c>
    </row>
    <row r="43" spans="1:23" s="95" customFormat="1" ht="10.15" x14ac:dyDescent="0.2">
      <c r="B43" s="80" t="s">
        <v>152</v>
      </c>
      <c r="C43" s="93"/>
      <c r="D43" s="91">
        <f t="shared" ref="D43:I43" si="68">+IFERROR(D42/D$8,"n/a")</f>
        <v>0.14325286901464188</v>
      </c>
      <c r="E43" s="91">
        <f t="shared" si="68"/>
        <v>0.11554828150572831</v>
      </c>
      <c r="F43" s="91">
        <f t="shared" si="68"/>
        <v>0.1498452012383901</v>
      </c>
      <c r="G43" s="91">
        <f t="shared" si="68"/>
        <v>0.19149338374291114</v>
      </c>
      <c r="H43" s="91">
        <f t="shared" si="68"/>
        <v>0.17828178694158076</v>
      </c>
      <c r="I43" s="91">
        <f t="shared" si="68"/>
        <v>0.18268821777966823</v>
      </c>
      <c r="J43" s="91">
        <f t="shared" ref="J43:K43" si="69">+IFERROR(J42/J$8,"n/a")</f>
        <v>0.16584891050331896</v>
      </c>
      <c r="K43" s="91">
        <f t="shared" si="69"/>
        <v>0.1575</v>
      </c>
      <c r="L43" s="92">
        <f>+K43-0.2%</f>
        <v>0.1555</v>
      </c>
      <c r="M43" s="92">
        <f t="shared" ref="M43:U43" si="70">+L43-0.2%</f>
        <v>0.1535</v>
      </c>
      <c r="N43" s="92">
        <f t="shared" si="70"/>
        <v>0.1515</v>
      </c>
      <c r="O43" s="92">
        <f t="shared" si="70"/>
        <v>0.14949999999999999</v>
      </c>
      <c r="P43" s="92">
        <f t="shared" si="70"/>
        <v>0.14749999999999999</v>
      </c>
      <c r="Q43" s="92">
        <f t="shared" si="70"/>
        <v>0.14549999999999999</v>
      </c>
      <c r="R43" s="92">
        <f t="shared" si="70"/>
        <v>0.14349999999999999</v>
      </c>
      <c r="S43" s="92">
        <f t="shared" si="70"/>
        <v>0.14149999999999999</v>
      </c>
      <c r="T43" s="92">
        <f t="shared" si="70"/>
        <v>0.13949999999999999</v>
      </c>
      <c r="U43" s="92">
        <f t="shared" si="70"/>
        <v>0.13749999999999998</v>
      </c>
    </row>
    <row r="44" spans="1:23" ht="10.15" x14ac:dyDescent="0.2">
      <c r="C44" s="89"/>
      <c r="D44" s="89"/>
      <c r="E44" s="89"/>
      <c r="F44" s="89"/>
      <c r="G44" s="89"/>
      <c r="H44" s="89"/>
      <c r="I44" s="89"/>
      <c r="J44" s="89"/>
      <c r="K44" s="89"/>
      <c r="L44" s="89"/>
      <c r="M44" s="89"/>
      <c r="N44" s="89"/>
      <c r="O44" s="89"/>
      <c r="P44" s="89"/>
      <c r="Q44" s="89"/>
      <c r="R44" s="89"/>
      <c r="S44" s="89"/>
      <c r="T44" s="89"/>
      <c r="U44" s="89"/>
    </row>
    <row r="45" spans="1:23" s="67" customFormat="1" ht="10.15" x14ac:dyDescent="0.2">
      <c r="B45" s="67" t="s">
        <v>207</v>
      </c>
      <c r="C45" s="87"/>
      <c r="D45" s="87">
        <f t="shared" ref="D45" si="71">D38-D42</f>
        <v>53.699999999999974</v>
      </c>
      <c r="E45" s="87">
        <f t="shared" ref="E45:S45" si="72">E38-E42</f>
        <v>54.499999999999943</v>
      </c>
      <c r="F45" s="87">
        <f t="shared" si="72"/>
        <v>-27.600000000000016</v>
      </c>
      <c r="G45" s="87">
        <f t="shared" si="72"/>
        <v>18.80000000000004</v>
      </c>
      <c r="H45" s="87">
        <f t="shared" si="72"/>
        <v>109.29999999999981</v>
      </c>
      <c r="I45" s="87">
        <f t="shared" si="72"/>
        <v>228.99999999999983</v>
      </c>
      <c r="J45" s="87">
        <f t="shared" si="72"/>
        <v>384.80825389391771</v>
      </c>
      <c r="K45" s="87">
        <f t="shared" si="72"/>
        <v>535.65232757874946</v>
      </c>
      <c r="L45" s="87">
        <f t="shared" si="72"/>
        <v>657.36949169866261</v>
      </c>
      <c r="M45" s="87">
        <f t="shared" si="72"/>
        <v>795.88250084163531</v>
      </c>
      <c r="N45" s="87">
        <f t="shared" si="72"/>
        <v>945.30668609661768</v>
      </c>
      <c r="O45" s="87">
        <f t="shared" si="72"/>
        <v>1101.3041997818232</v>
      </c>
      <c r="P45" s="87">
        <f t="shared" si="72"/>
        <v>1239.6511886442231</v>
      </c>
      <c r="Q45" s="87">
        <f t="shared" si="72"/>
        <v>1394.6545332812852</v>
      </c>
      <c r="R45" s="87">
        <f t="shared" si="72"/>
        <v>1568.2620349593171</v>
      </c>
      <c r="S45" s="87">
        <f t="shared" si="72"/>
        <v>1762.6444916401424</v>
      </c>
      <c r="T45" s="87">
        <f t="shared" ref="T45:U45" si="73">T38-T42</f>
        <v>1980.2208193075408</v>
      </c>
      <c r="U45" s="87">
        <f t="shared" si="73"/>
        <v>2223.6859675920159</v>
      </c>
    </row>
    <row r="46" spans="1:23" s="95" customFormat="1" ht="10.15" x14ac:dyDescent="0.2">
      <c r="B46" s="102" t="s">
        <v>136</v>
      </c>
      <c r="C46" s="93"/>
      <c r="D46" s="99"/>
      <c r="E46" s="99">
        <f t="shared" ref="E46:G46" si="74">+IFERROR(E45/D45-1,"n/a")</f>
        <v>1.4897579143388517E-2</v>
      </c>
      <c r="F46" s="99">
        <f t="shared" si="74"/>
        <v>-1.5064220183486245</v>
      </c>
      <c r="G46" s="99">
        <f t="shared" si="74"/>
        <v>-1.6811594202898561</v>
      </c>
      <c r="H46" s="100">
        <f t="shared" ref="H46:U46" si="75">H45/G45-1</f>
        <v>4.8138297872340203</v>
      </c>
      <c r="I46" s="100">
        <f t="shared" si="75"/>
        <v>1.0951509606587395</v>
      </c>
      <c r="J46" s="100">
        <f t="shared" si="75"/>
        <v>0.68038538818304795</v>
      </c>
      <c r="K46" s="100">
        <f t="shared" si="75"/>
        <v>0.39199802020467001</v>
      </c>
      <c r="L46" s="100">
        <f t="shared" si="75"/>
        <v>0.2272316535430694</v>
      </c>
      <c r="M46" s="100">
        <f t="shared" si="75"/>
        <v>0.21070799739283741</v>
      </c>
      <c r="N46" s="100">
        <f t="shared" si="75"/>
        <v>0.18774653934088037</v>
      </c>
      <c r="O46" s="100">
        <f t="shared" si="75"/>
        <v>0.16502317817020207</v>
      </c>
      <c r="P46" s="100">
        <f t="shared" si="75"/>
        <v>0.12562104901607341</v>
      </c>
      <c r="Q46" s="100">
        <f t="shared" si="75"/>
        <v>0.12503787037592851</v>
      </c>
      <c r="R46" s="100">
        <f t="shared" si="75"/>
        <v>0.12448064917523016</v>
      </c>
      <c r="S46" s="100">
        <f t="shared" si="75"/>
        <v>0.12394769008475537</v>
      </c>
      <c r="T46" s="100">
        <f t="shared" si="75"/>
        <v>0.12343744226321185</v>
      </c>
      <c r="U46" s="100">
        <f t="shared" si="75"/>
        <v>0.12294848428551108</v>
      </c>
    </row>
    <row r="47" spans="1:23" s="95" customFormat="1" x14ac:dyDescent="0.2">
      <c r="B47" s="80" t="s">
        <v>546</v>
      </c>
      <c r="C47" s="93"/>
      <c r="D47" s="99"/>
      <c r="E47" s="86">
        <f t="shared" ref="E47:I47" si="76">+(E45-(E9-E10)*D8*0.15)/D45-1</f>
        <v>1.4897579143382522E-3</v>
      </c>
      <c r="F47" s="86">
        <f t="shared" si="76"/>
        <v>-1.5381651376146799</v>
      </c>
      <c r="G47" s="86">
        <f t="shared" si="76"/>
        <v>-1.5186594202898558</v>
      </c>
      <c r="H47" s="86">
        <f t="shared" si="76"/>
        <v>4.6470744680850853</v>
      </c>
      <c r="I47" s="86">
        <f t="shared" si="76"/>
        <v>1.0462488563586478</v>
      </c>
      <c r="J47" s="86">
        <f>+J46</f>
        <v>0.68038538818304795</v>
      </c>
      <c r="K47" s="86">
        <f>+(K45-(K9-K10)*J8*0.15)/J45-1</f>
        <v>0.34866021072132902</v>
      </c>
      <c r="L47" s="86">
        <f t="shared" ref="L47:U47" si="77">+(L45-(L9-L10)*K8*0.15)/K45-1</f>
        <v>0.2272316535430694</v>
      </c>
      <c r="M47" s="86">
        <f t="shared" si="77"/>
        <v>0.21070799739283741</v>
      </c>
      <c r="N47" s="86">
        <f t="shared" si="77"/>
        <v>0.18774653934088037</v>
      </c>
      <c r="O47" s="86">
        <f t="shared" si="77"/>
        <v>0.16502317817020207</v>
      </c>
      <c r="P47" s="86">
        <f t="shared" si="77"/>
        <v>0.12562104901607341</v>
      </c>
      <c r="Q47" s="86">
        <f t="shared" si="77"/>
        <v>0.12503787037592851</v>
      </c>
      <c r="R47" s="86">
        <f t="shared" si="77"/>
        <v>0.12448064917523016</v>
      </c>
      <c r="S47" s="86">
        <f t="shared" si="77"/>
        <v>0.12394769008475537</v>
      </c>
      <c r="T47" s="86">
        <f t="shared" si="77"/>
        <v>0.12343744226321185</v>
      </c>
      <c r="U47" s="86">
        <f t="shared" si="77"/>
        <v>0.12294848428551108</v>
      </c>
    </row>
    <row r="48" spans="1:23" s="95" customFormat="1" ht="10.15" x14ac:dyDescent="0.2">
      <c r="B48" s="80" t="s">
        <v>146</v>
      </c>
      <c r="C48" s="93"/>
      <c r="D48" s="91">
        <f t="shared" ref="D48" si="78">+IFERROR(D45/D$8,"n/a")</f>
        <v>0.21250494657696864</v>
      </c>
      <c r="E48" s="91">
        <f t="shared" ref="E48:G48" si="79">+IFERROR(E45/E$8,"n/a")</f>
        <v>0.1783960720130931</v>
      </c>
      <c r="F48" s="91">
        <f t="shared" si="79"/>
        <v>-8.5448916408668779E-2</v>
      </c>
      <c r="G48" s="91">
        <f t="shared" si="79"/>
        <v>3.5538752362949039E-2</v>
      </c>
      <c r="H48" s="109">
        <f t="shared" ref="H48:S48" si="80">H45/H8</f>
        <v>0.15024054982817847</v>
      </c>
      <c r="I48" s="109">
        <f t="shared" si="80"/>
        <v>0.24351339855380669</v>
      </c>
      <c r="J48" s="109">
        <f t="shared" si="80"/>
        <v>0.28504420440273059</v>
      </c>
      <c r="K48" s="109">
        <f t="shared" si="80"/>
        <v>0.30976393834147875</v>
      </c>
      <c r="L48" s="109">
        <f t="shared" si="80"/>
        <v>0.32216280530409019</v>
      </c>
      <c r="M48" s="109">
        <f t="shared" si="80"/>
        <v>0.33624576279670138</v>
      </c>
      <c r="N48" s="109">
        <f t="shared" si="80"/>
        <v>0.35032872028931278</v>
      </c>
      <c r="O48" s="109">
        <f t="shared" si="80"/>
        <v>0.36441167778192401</v>
      </c>
      <c r="P48" s="109">
        <f t="shared" si="80"/>
        <v>0.3728995045623606</v>
      </c>
      <c r="Q48" s="109">
        <f t="shared" si="80"/>
        <v>0.38138733134279723</v>
      </c>
      <c r="R48" s="109">
        <f t="shared" si="80"/>
        <v>0.38987515812323376</v>
      </c>
      <c r="S48" s="109">
        <f t="shared" si="80"/>
        <v>0.39836298490367034</v>
      </c>
      <c r="T48" s="109">
        <f t="shared" ref="T48:U48" si="81">T45/T8</f>
        <v>0.40685081168410708</v>
      </c>
      <c r="U48" s="109">
        <f t="shared" si="81"/>
        <v>0.41533863846454361</v>
      </c>
    </row>
    <row r="49" spans="2:24" ht="10.15" x14ac:dyDescent="0.2">
      <c r="B49" s="111"/>
      <c r="C49" s="89"/>
      <c r="D49" s="89"/>
      <c r="E49" s="112"/>
      <c r="F49" s="89"/>
      <c r="G49" s="89"/>
      <c r="H49" s="89"/>
      <c r="I49" s="89"/>
      <c r="J49" s="89"/>
      <c r="K49" s="89"/>
      <c r="L49" s="89"/>
      <c r="M49" s="89"/>
      <c r="N49" s="89"/>
      <c r="O49" s="89"/>
      <c r="P49" s="89"/>
      <c r="Q49" s="89"/>
      <c r="R49" s="89"/>
      <c r="S49" s="89"/>
      <c r="T49" s="89"/>
      <c r="U49" s="89"/>
    </row>
    <row r="50" spans="2:24" x14ac:dyDescent="0.2">
      <c r="B50" s="65" t="s">
        <v>172</v>
      </c>
      <c r="C50" s="89"/>
      <c r="D50" s="78">
        <f>-'Historical Financials'!AL52</f>
        <v>47</v>
      </c>
      <c r="E50" s="78">
        <f>-'Historical Financials'!AM52</f>
        <v>51.5</v>
      </c>
      <c r="F50" s="78">
        <f>-'Historical Financials'!AN52</f>
        <v>40.200000000000003</v>
      </c>
      <c r="G50" s="78">
        <f>-'Historical Financials'!AO52</f>
        <v>28.000000000000004</v>
      </c>
      <c r="H50" s="78">
        <f>-'Historical Financials'!AP52</f>
        <v>21.7</v>
      </c>
      <c r="I50" s="78">
        <f>-'Historical Financials'!AQ52</f>
        <v>0.20000000000000284</v>
      </c>
      <c r="J50" s="78">
        <f ca="1">-'Historical Financials'!AR52</f>
        <v>27.620699120514136</v>
      </c>
      <c r="K50" s="116">
        <v>0</v>
      </c>
      <c r="L50" s="116">
        <f t="shared" ref="L50:P50" si="82">+AVERAGE(K69:L69)*0.069-AVERAGE(K70:L70)*0.04</f>
        <v>0</v>
      </c>
      <c r="M50" s="116">
        <f t="shared" si="82"/>
        <v>0</v>
      </c>
      <c r="N50" s="116">
        <f t="shared" si="82"/>
        <v>0</v>
      </c>
      <c r="O50" s="116">
        <f t="shared" si="82"/>
        <v>0</v>
      </c>
      <c r="P50" s="116">
        <f t="shared" si="82"/>
        <v>0</v>
      </c>
      <c r="Q50" s="116">
        <f t="shared" ref="Q50:U50" si="83">+AVERAGE(P69:Q69)*0.069-AVERAGE(P70:Q70)*0.04</f>
        <v>0</v>
      </c>
      <c r="R50" s="116">
        <f t="shared" si="83"/>
        <v>0</v>
      </c>
      <c r="S50" s="116">
        <f t="shared" si="83"/>
        <v>0</v>
      </c>
      <c r="T50" s="116">
        <f t="shared" si="83"/>
        <v>0</v>
      </c>
      <c r="U50" s="116">
        <f t="shared" si="83"/>
        <v>0</v>
      </c>
      <c r="V50" s="90"/>
    </row>
    <row r="51" spans="2:24" s="95" customFormat="1" x14ac:dyDescent="0.2">
      <c r="B51" s="102" t="s">
        <v>186</v>
      </c>
      <c r="C51" s="93"/>
      <c r="D51" s="113"/>
      <c r="E51" s="113">
        <f t="shared" ref="E51:I51" si="84">+IFERROR(E50/AVERAGE(D71:E71),"n/a")</f>
        <v>8.6890501096676218E-2</v>
      </c>
      <c r="F51" s="113">
        <f t="shared" si="84"/>
        <v>0.11241610738255035</v>
      </c>
      <c r="G51" s="113">
        <f t="shared" si="84"/>
        <v>9.5644748078565336E-2</v>
      </c>
      <c r="H51" s="113">
        <f t="shared" si="84"/>
        <v>2.9475685954903557E-2</v>
      </c>
      <c r="I51" s="113">
        <f t="shared" si="84"/>
        <v>1.7694417411306981E-4</v>
      </c>
      <c r="J51" s="113">
        <f ca="1">+IFERROR(J50/AVERAGE(I71:J71),"n/a")</f>
        <v>3.7515640065415246E-2</v>
      </c>
      <c r="K51" s="113">
        <f ca="1">+IFERROR(K50/AVERAGE(J71:K71),"n/a")</f>
        <v>0</v>
      </c>
      <c r="L51" s="113" t="str">
        <f>+IFERROR(L50/AVERAGE(K71:L71),"n/a")</f>
        <v>n/a</v>
      </c>
      <c r="M51" s="113" t="str">
        <f>+IFERROR(M50/AVERAGE(L71:M71),"n/a")</f>
        <v>n/a</v>
      </c>
      <c r="N51" s="113" t="str">
        <f>+IFERROR(N50/AVERAGE(M71:N71),"n/a")</f>
        <v>n/a</v>
      </c>
      <c r="O51" s="113" t="str">
        <f t="shared" ref="O51:P51" si="85">+IFERROR(O50/AVERAGE(N71:O71),"n/a")</f>
        <v>n/a</v>
      </c>
      <c r="P51" s="113" t="str">
        <f t="shared" si="85"/>
        <v>n/a</v>
      </c>
      <c r="Q51" s="113" t="str">
        <f t="shared" ref="Q51" si="86">+IFERROR(Q50/AVERAGE(P71:Q71),"n/a")</f>
        <v>n/a</v>
      </c>
      <c r="R51" s="113" t="str">
        <f t="shared" ref="R51" si="87">+IFERROR(R50/AVERAGE(Q71:R71),"n/a")</f>
        <v>n/a</v>
      </c>
      <c r="S51" s="113" t="str">
        <f t="shared" ref="S51" si="88">+IFERROR(S50/AVERAGE(R71:S71),"n/a")</f>
        <v>n/a</v>
      </c>
      <c r="T51" s="113" t="str">
        <f t="shared" ref="T51" si="89">+IFERROR(T50/AVERAGE(S71:T71),"n/a")</f>
        <v>n/a</v>
      </c>
      <c r="U51" s="113" t="str">
        <f t="shared" ref="U51" si="90">+IFERROR(U50/AVERAGE(T71:U71),"n/a")</f>
        <v>n/a</v>
      </c>
    </row>
    <row r="52" spans="2:24" ht="10.15" x14ac:dyDescent="0.2">
      <c r="C52" s="89"/>
      <c r="D52" s="89"/>
      <c r="E52" s="89"/>
      <c r="F52" s="89"/>
      <c r="G52" s="89"/>
      <c r="H52" s="89"/>
      <c r="I52" s="89"/>
      <c r="J52" s="89"/>
      <c r="K52" s="89"/>
      <c r="L52" s="89"/>
      <c r="M52" s="89"/>
      <c r="N52" s="89"/>
      <c r="O52" s="89"/>
      <c r="P52" s="89"/>
      <c r="Q52" s="89"/>
      <c r="R52" s="89"/>
      <c r="S52" s="89"/>
      <c r="T52" s="89"/>
      <c r="U52" s="89"/>
    </row>
    <row r="53" spans="2:24" ht="10.15" x14ac:dyDescent="0.2">
      <c r="B53" s="65" t="s">
        <v>173</v>
      </c>
      <c r="C53" s="89"/>
      <c r="D53" s="89">
        <f t="shared" ref="D53:S53" si="91">+MAX((D38-D57-D50)*D54,0)</f>
        <v>0</v>
      </c>
      <c r="E53" s="89">
        <f t="shared" si="91"/>
        <v>0</v>
      </c>
      <c r="F53" s="89">
        <f t="shared" si="91"/>
        <v>0</v>
      </c>
      <c r="G53" s="89">
        <f t="shared" si="91"/>
        <v>0</v>
      </c>
      <c r="H53" s="89">
        <f t="shared" si="91"/>
        <v>14.321999999999958</v>
      </c>
      <c r="I53" s="89">
        <f t="shared" si="91"/>
        <v>39.05999999999996</v>
      </c>
      <c r="J53" s="89">
        <f t="shared" ca="1" si="91"/>
        <v>60.476378876230854</v>
      </c>
      <c r="K53" s="89">
        <f t="shared" si="91"/>
        <v>93.563184250491901</v>
      </c>
      <c r="L53" s="89">
        <f t="shared" si="91"/>
        <v>118.07426808835173</v>
      </c>
      <c r="M53" s="89">
        <f t="shared" si="91"/>
        <v>146.70011444191402</v>
      </c>
      <c r="N53" s="89">
        <f t="shared" si="91"/>
        <v>178.33484880752775</v>
      </c>
      <c r="O53" s="89">
        <f t="shared" si="91"/>
        <v>212.16335520942627</v>
      </c>
      <c r="P53" s="89">
        <f t="shared" si="91"/>
        <v>243.14480287286509</v>
      </c>
      <c r="Q53" s="89">
        <f t="shared" si="91"/>
        <v>278.20090651689742</v>
      </c>
      <c r="R53" s="89">
        <f t="shared" si="91"/>
        <v>317.83678286100763</v>
      </c>
      <c r="S53" s="89">
        <f t="shared" si="91"/>
        <v>362.61782540877078</v>
      </c>
      <c r="T53" s="89">
        <f t="shared" ref="T53:U53" si="92">+MAX((T38-T57-T50)*T54,0)</f>
        <v>413.17670863747674</v>
      </c>
      <c r="U53" s="89">
        <f t="shared" si="92"/>
        <v>470.22119025783593</v>
      </c>
    </row>
    <row r="54" spans="2:24" ht="10.15" x14ac:dyDescent="0.2">
      <c r="B54" s="102" t="s">
        <v>186</v>
      </c>
      <c r="C54" s="89"/>
      <c r="D54" s="92">
        <v>0.21</v>
      </c>
      <c r="E54" s="109">
        <f t="shared" ref="E54:U54" si="93">D54</f>
        <v>0.21</v>
      </c>
      <c r="F54" s="109">
        <f t="shared" si="93"/>
        <v>0.21</v>
      </c>
      <c r="G54" s="109">
        <f t="shared" si="93"/>
        <v>0.21</v>
      </c>
      <c r="H54" s="109">
        <f t="shared" si="93"/>
        <v>0.21</v>
      </c>
      <c r="I54" s="109">
        <f t="shared" si="93"/>
        <v>0.21</v>
      </c>
      <c r="J54" s="109">
        <f t="shared" si="93"/>
        <v>0.21</v>
      </c>
      <c r="K54" s="109">
        <f t="shared" si="93"/>
        <v>0.21</v>
      </c>
      <c r="L54" s="109">
        <f t="shared" si="93"/>
        <v>0.21</v>
      </c>
      <c r="M54" s="109">
        <f t="shared" si="93"/>
        <v>0.21</v>
      </c>
      <c r="N54" s="109">
        <f t="shared" si="93"/>
        <v>0.21</v>
      </c>
      <c r="O54" s="109">
        <f t="shared" si="93"/>
        <v>0.21</v>
      </c>
      <c r="P54" s="109">
        <f t="shared" si="93"/>
        <v>0.21</v>
      </c>
      <c r="Q54" s="109">
        <f t="shared" si="93"/>
        <v>0.21</v>
      </c>
      <c r="R54" s="109">
        <f t="shared" si="93"/>
        <v>0.21</v>
      </c>
      <c r="S54" s="109">
        <f t="shared" si="93"/>
        <v>0.21</v>
      </c>
      <c r="T54" s="109">
        <f t="shared" si="93"/>
        <v>0.21</v>
      </c>
      <c r="U54" s="109">
        <f t="shared" si="93"/>
        <v>0.21</v>
      </c>
    </row>
    <row r="55" spans="2:24" ht="10.15" outlineLevel="1" x14ac:dyDescent="0.2">
      <c r="C55" s="89"/>
      <c r="D55" s="89"/>
      <c r="E55" s="89"/>
      <c r="F55" s="89"/>
      <c r="G55" s="89"/>
      <c r="H55" s="89"/>
      <c r="I55" s="89"/>
      <c r="J55" s="89"/>
      <c r="K55" s="89"/>
      <c r="L55" s="89"/>
      <c r="M55" s="89"/>
      <c r="N55" s="89"/>
      <c r="O55" s="89"/>
      <c r="P55" s="89"/>
      <c r="Q55" s="89"/>
      <c r="R55" s="89"/>
      <c r="S55" s="89"/>
      <c r="T55" s="89"/>
      <c r="U55" s="89"/>
    </row>
    <row r="56" spans="2:24" ht="10.15" outlineLevel="1" x14ac:dyDescent="0.2">
      <c r="B56" s="114" t="s">
        <v>183</v>
      </c>
      <c r="C56" s="89"/>
      <c r="D56" s="89"/>
      <c r="E56" s="89"/>
      <c r="F56" s="89"/>
      <c r="G56" s="89"/>
      <c r="H56" s="89"/>
      <c r="I56" s="89"/>
      <c r="J56" s="89"/>
      <c r="K56" s="89"/>
      <c r="L56" s="89"/>
      <c r="M56" s="89"/>
      <c r="N56" s="89"/>
      <c r="O56" s="89"/>
      <c r="P56" s="89"/>
      <c r="Q56" s="89"/>
      <c r="R56" s="89"/>
      <c r="S56" s="89"/>
      <c r="T56" s="89"/>
      <c r="U56" s="89"/>
    </row>
    <row r="57" spans="2:24" s="95" customFormat="1" ht="10.15" outlineLevel="1" x14ac:dyDescent="0.2">
      <c r="B57" s="80" t="s">
        <v>154</v>
      </c>
      <c r="C57" s="93"/>
      <c r="D57" s="82">
        <f t="shared" ref="D57:I57" si="94">+D27</f>
        <v>71</v>
      </c>
      <c r="E57" s="82">
        <f t="shared" si="94"/>
        <v>62.6</v>
      </c>
      <c r="F57" s="82">
        <f t="shared" si="94"/>
        <v>84.2</v>
      </c>
      <c r="G57" s="82">
        <f t="shared" si="94"/>
        <v>104.4</v>
      </c>
      <c r="H57" s="82">
        <f t="shared" si="94"/>
        <v>149.1</v>
      </c>
      <c r="I57" s="82">
        <f t="shared" si="94"/>
        <v>214.6</v>
      </c>
      <c r="J57" s="82">
        <f t="shared" ref="J57" si="95">+J27</f>
        <v>293.10000000000002</v>
      </c>
      <c r="K57" s="82">
        <f t="shared" ref="K57:S57" si="96">+K58*K8</f>
        <v>362.46668971077463</v>
      </c>
      <c r="L57" s="82">
        <f t="shared" si="96"/>
        <v>412.40703028685544</v>
      </c>
      <c r="M57" s="82">
        <f t="shared" si="96"/>
        <v>460.63990538939635</v>
      </c>
      <c r="N57" s="82">
        <f t="shared" si="96"/>
        <v>504.89192743648613</v>
      </c>
      <c r="O57" s="82">
        <f t="shared" si="96"/>
        <v>542.8128862565477</v>
      </c>
      <c r="P57" s="82">
        <f t="shared" si="96"/>
        <v>572.16149516265386</v>
      </c>
      <c r="Q57" s="82">
        <f t="shared" si="96"/>
        <v>601.95169698741586</v>
      </c>
      <c r="R57" s="82">
        <f t="shared" si="96"/>
        <v>631.97832422550368</v>
      </c>
      <c r="S57" s="82">
        <f t="shared" si="96"/>
        <v>661.99075994133489</v>
      </c>
      <c r="T57" s="82">
        <f t="shared" ref="T57:U57" si="97">+T58*T8</f>
        <v>691.68589955807738</v>
      </c>
      <c r="U57" s="82">
        <f t="shared" si="97"/>
        <v>720.70015949875506</v>
      </c>
    </row>
    <row r="58" spans="2:24" s="95" customFormat="1" ht="10.15" outlineLevel="1" x14ac:dyDescent="0.2">
      <c r="B58" s="108" t="s">
        <v>152</v>
      </c>
      <c r="C58" s="93"/>
      <c r="D58" s="91">
        <f t="shared" ref="D58:G58" si="98">+IFERROR(D57/D$8,"n/a")</f>
        <v>0.2809655718242976</v>
      </c>
      <c r="E58" s="91">
        <f t="shared" si="98"/>
        <v>0.20490998363338789</v>
      </c>
      <c r="F58" s="91">
        <f t="shared" si="98"/>
        <v>0.26068111455108361</v>
      </c>
      <c r="G58" s="91">
        <f t="shared" si="98"/>
        <v>0.19735349716446127</v>
      </c>
      <c r="H58" s="109">
        <f t="shared" ref="H58:I58" si="99">+H57/H8</f>
        <v>0.20494845360824746</v>
      </c>
      <c r="I58" s="109">
        <f t="shared" si="99"/>
        <v>0.22820076563164607</v>
      </c>
      <c r="J58" s="109">
        <f t="shared" ref="J58" si="100">+J57/J8</f>
        <v>0.21711191344006897</v>
      </c>
      <c r="K58" s="92">
        <f>+J58-0.75%</f>
        <v>0.20961191344006896</v>
      </c>
      <c r="L58" s="92">
        <f t="shared" ref="L58:U58" si="101">+K58-0.75%</f>
        <v>0.20211191344006896</v>
      </c>
      <c r="M58" s="92">
        <f t="shared" si="101"/>
        <v>0.19461191344006895</v>
      </c>
      <c r="N58" s="92">
        <f t="shared" si="101"/>
        <v>0.18711191344006894</v>
      </c>
      <c r="O58" s="92">
        <f t="shared" si="101"/>
        <v>0.17961191344006894</v>
      </c>
      <c r="P58" s="92">
        <f t="shared" si="101"/>
        <v>0.17211191344006893</v>
      </c>
      <c r="Q58" s="92">
        <f t="shared" si="101"/>
        <v>0.16461191344006892</v>
      </c>
      <c r="R58" s="92">
        <f t="shared" si="101"/>
        <v>0.15711191344006892</v>
      </c>
      <c r="S58" s="92">
        <f t="shared" si="101"/>
        <v>0.14961191344006891</v>
      </c>
      <c r="T58" s="92">
        <f t="shared" si="101"/>
        <v>0.1421119134400689</v>
      </c>
      <c r="U58" s="92">
        <f t="shared" si="101"/>
        <v>0.1346119134400689</v>
      </c>
    </row>
    <row r="59" spans="2:24" ht="10.15" x14ac:dyDescent="0.2">
      <c r="C59" s="89"/>
      <c r="D59" s="89"/>
      <c r="E59" s="89"/>
      <c r="F59" s="89"/>
      <c r="G59" s="89"/>
      <c r="H59" s="89"/>
      <c r="I59" s="89"/>
      <c r="J59" s="89"/>
      <c r="K59" s="89"/>
      <c r="L59" s="89"/>
      <c r="M59" s="89"/>
      <c r="N59" s="89"/>
      <c r="O59" s="89"/>
      <c r="P59" s="89"/>
      <c r="Q59" s="89"/>
      <c r="R59" s="89"/>
      <c r="S59" s="89"/>
      <c r="T59" s="89"/>
      <c r="U59" s="89"/>
      <c r="X59" s="67"/>
    </row>
    <row r="60" spans="2:24" s="67" customFormat="1" ht="10.15" x14ac:dyDescent="0.2">
      <c r="B60" s="67" t="s">
        <v>174</v>
      </c>
      <c r="C60" s="87"/>
      <c r="D60" s="87">
        <f t="shared" ref="D60:S60" si="102">D45-D50-D53</f>
        <v>6.6999999999999744</v>
      </c>
      <c r="E60" s="87">
        <f t="shared" si="102"/>
        <v>2.9999999999999432</v>
      </c>
      <c r="F60" s="87">
        <f t="shared" si="102"/>
        <v>-67.800000000000011</v>
      </c>
      <c r="G60" s="87">
        <f t="shared" si="102"/>
        <v>-9.1999999999999638</v>
      </c>
      <c r="H60" s="87">
        <f t="shared" si="102"/>
        <v>73.277999999999849</v>
      </c>
      <c r="I60" s="87">
        <f t="shared" si="102"/>
        <v>189.7399999999999</v>
      </c>
      <c r="J60" s="87">
        <f t="shared" ca="1" si="102"/>
        <v>296.71117589717272</v>
      </c>
      <c r="K60" s="87">
        <f t="shared" si="102"/>
        <v>442.08914332825759</v>
      </c>
      <c r="L60" s="87">
        <f t="shared" si="102"/>
        <v>539.29522361031093</v>
      </c>
      <c r="M60" s="87">
        <f t="shared" si="102"/>
        <v>649.18238639972128</v>
      </c>
      <c r="N60" s="87">
        <f t="shared" si="102"/>
        <v>766.97183728908999</v>
      </c>
      <c r="O60" s="87">
        <f t="shared" si="102"/>
        <v>889.14084457239687</v>
      </c>
      <c r="P60" s="87">
        <f t="shared" si="102"/>
        <v>996.50638577135805</v>
      </c>
      <c r="Q60" s="87">
        <f t="shared" si="102"/>
        <v>1116.4536267643878</v>
      </c>
      <c r="R60" s="87">
        <f t="shared" si="102"/>
        <v>1250.4252520983096</v>
      </c>
      <c r="S60" s="87">
        <f t="shared" si="102"/>
        <v>1400.0266662313716</v>
      </c>
      <c r="T60" s="87">
        <f t="shared" ref="T60:U60" si="103">T45-T50-T53</f>
        <v>1567.0441106700641</v>
      </c>
      <c r="U60" s="87">
        <f t="shared" si="103"/>
        <v>1753.4647773341799</v>
      </c>
    </row>
    <row r="61" spans="2:24" ht="10.15" x14ac:dyDescent="0.2">
      <c r="B61" s="80" t="s">
        <v>136</v>
      </c>
      <c r="C61" s="89"/>
      <c r="D61" s="89"/>
      <c r="E61" s="99">
        <f t="shared" ref="E61:G61" si="104">+IFERROR(E60/D60-1,"n/a")</f>
        <v>-0.55223880597015595</v>
      </c>
      <c r="F61" s="99">
        <f t="shared" si="104"/>
        <v>-23.600000000000431</v>
      </c>
      <c r="G61" s="99">
        <f t="shared" si="104"/>
        <v>-0.86430678466076749</v>
      </c>
      <c r="H61" s="100">
        <f t="shared" ref="H61:U61" si="105">H60/G60-1</f>
        <v>-8.9650000000000141</v>
      </c>
      <c r="I61" s="100">
        <f t="shared" si="105"/>
        <v>1.5893173940336838</v>
      </c>
      <c r="J61" s="100">
        <f t="shared" ca="1" si="105"/>
        <v>0.5637776741708278</v>
      </c>
      <c r="K61" s="100">
        <f t="shared" ca="1" si="105"/>
        <v>0.48996458253216124</v>
      </c>
      <c r="L61" s="100">
        <f t="shared" si="105"/>
        <v>0.21987891299532869</v>
      </c>
      <c r="M61" s="100">
        <f t="shared" si="105"/>
        <v>0.20376068242134782</v>
      </c>
      <c r="N61" s="100">
        <f t="shared" si="105"/>
        <v>0.18144277071750703</v>
      </c>
      <c r="O61" s="100">
        <f t="shared" si="105"/>
        <v>0.15928747490275641</v>
      </c>
      <c r="P61" s="100">
        <f t="shared" si="105"/>
        <v>0.12075200667515751</v>
      </c>
      <c r="Q61" s="100">
        <f t="shared" si="105"/>
        <v>0.12036775951032475</v>
      </c>
      <c r="R61" s="100">
        <f t="shared" si="105"/>
        <v>0.11999748321136017</v>
      </c>
      <c r="S61" s="100">
        <f t="shared" si="105"/>
        <v>0.11964042943152298</v>
      </c>
      <c r="T61" s="100">
        <f t="shared" si="105"/>
        <v>0.11929590233325671</v>
      </c>
      <c r="U61" s="100">
        <f t="shared" si="105"/>
        <v>0.11896325406207153</v>
      </c>
    </row>
    <row r="62" spans="2:24" ht="10.15" x14ac:dyDescent="0.2">
      <c r="C62" s="89"/>
      <c r="D62" s="89"/>
      <c r="E62" s="89"/>
      <c r="F62" s="89"/>
      <c r="G62" s="89"/>
      <c r="H62" s="89"/>
      <c r="I62" s="89"/>
      <c r="J62" s="89"/>
      <c r="K62" s="89"/>
      <c r="L62" s="89"/>
      <c r="M62" s="89"/>
      <c r="N62" s="89"/>
      <c r="O62" s="89"/>
      <c r="P62" s="89"/>
      <c r="Q62" s="89"/>
      <c r="R62" s="89"/>
      <c r="S62" s="89"/>
      <c r="T62" s="89"/>
      <c r="U62" s="89"/>
    </row>
    <row r="63" spans="2:24" ht="10.15" x14ac:dyDescent="0.2">
      <c r="B63" s="65" t="s">
        <v>155</v>
      </c>
      <c r="C63" s="89"/>
      <c r="D63" s="89">
        <f>+-D37</f>
        <v>0</v>
      </c>
      <c r="E63" s="89">
        <f>+-E37</f>
        <v>0</v>
      </c>
      <c r="F63" s="89">
        <f>+-F37</f>
        <v>66.900000000000006</v>
      </c>
      <c r="G63" s="89">
        <f>+-G37</f>
        <v>47.3</v>
      </c>
      <c r="H63" s="89">
        <f t="shared" ref="H63:I63" si="106">+-H37</f>
        <v>50.400000000000006</v>
      </c>
      <c r="I63" s="89">
        <f t="shared" si="106"/>
        <v>59.1</v>
      </c>
      <c r="J63" s="115">
        <f>+'Historical Financials'!AR79</f>
        <v>52.1</v>
      </c>
      <c r="K63" s="116">
        <v>0</v>
      </c>
      <c r="L63" s="116">
        <v>0</v>
      </c>
      <c r="M63" s="116">
        <v>0</v>
      </c>
      <c r="N63" s="116">
        <v>0</v>
      </c>
      <c r="O63" s="116">
        <v>0</v>
      </c>
      <c r="P63" s="116">
        <v>0</v>
      </c>
      <c r="Q63" s="116">
        <v>0</v>
      </c>
      <c r="R63" s="116">
        <v>0</v>
      </c>
      <c r="S63" s="116">
        <v>0</v>
      </c>
      <c r="T63" s="116">
        <v>0</v>
      </c>
      <c r="U63" s="116">
        <v>0</v>
      </c>
    </row>
    <row r="64" spans="2:24" ht="12" x14ac:dyDescent="0.35">
      <c r="B64" s="65" t="s">
        <v>170</v>
      </c>
      <c r="C64" s="89"/>
      <c r="D64" s="117">
        <f>+D65-D63-D60</f>
        <v>-17.399999999999977</v>
      </c>
      <c r="E64" s="117">
        <f>+E65-E63-E60</f>
        <v>-11.599999999999939</v>
      </c>
      <c r="F64" s="117">
        <f>+F65-F63-F60</f>
        <v>-24.099999999999994</v>
      </c>
      <c r="G64" s="117">
        <f>+G65-G63-G60</f>
        <v>-110.20000000000002</v>
      </c>
      <c r="H64" s="117">
        <f t="shared" ref="H64" si="107">+H65-H63-H60</f>
        <v>47.222000000000236</v>
      </c>
      <c r="I64" s="117">
        <f t="shared" ref="I64" si="108">+I65-I63-I60</f>
        <v>3.8600000000000421</v>
      </c>
      <c r="J64" s="117">
        <f t="shared" ref="J64" ca="1" si="109">+J65-J63-J60</f>
        <v>-31.901000000000067</v>
      </c>
      <c r="K64" s="106">
        <v>0</v>
      </c>
      <c r="L64" s="106">
        <v>0</v>
      </c>
      <c r="M64" s="106">
        <v>0</v>
      </c>
      <c r="N64" s="106">
        <v>0</v>
      </c>
      <c r="O64" s="106">
        <v>0</v>
      </c>
      <c r="P64" s="106">
        <v>0</v>
      </c>
      <c r="Q64" s="106">
        <v>0</v>
      </c>
      <c r="R64" s="106">
        <v>0</v>
      </c>
      <c r="S64" s="106">
        <v>0</v>
      </c>
      <c r="T64" s="106">
        <v>0</v>
      </c>
      <c r="U64" s="106">
        <v>0</v>
      </c>
    </row>
    <row r="65" spans="2:21" x14ac:dyDescent="0.2">
      <c r="B65" s="107" t="s">
        <v>171</v>
      </c>
      <c r="C65" s="89"/>
      <c r="D65" s="115">
        <f>+'Historical Financials'!AL84</f>
        <v>-10.700000000000005</v>
      </c>
      <c r="E65" s="115">
        <f>+'Historical Financials'!AM84</f>
        <v>-8.5999999999999961</v>
      </c>
      <c r="F65" s="115">
        <f>+'Historical Financials'!AN84</f>
        <v>-24.999999999999996</v>
      </c>
      <c r="G65" s="115">
        <f>+'Historical Financials'!AO84</f>
        <v>-72.09999999999998</v>
      </c>
      <c r="H65" s="115">
        <f>+'Historical Financials'!AP84</f>
        <v>170.90000000000009</v>
      </c>
      <c r="I65" s="115">
        <f>+'Historical Financials'!AQ84</f>
        <v>252.69999999999993</v>
      </c>
      <c r="J65" s="115">
        <f ca="1">+'Historical Financials'!AR84</f>
        <v>316.91017589717268</v>
      </c>
      <c r="K65" s="89">
        <f t="shared" ref="K65:Q65" si="110">+K60+SUM(K63:K64)</f>
        <v>442.08914332825759</v>
      </c>
      <c r="L65" s="89">
        <f t="shared" si="110"/>
        <v>539.29522361031093</v>
      </c>
      <c r="M65" s="89">
        <f t="shared" si="110"/>
        <v>649.18238639972128</v>
      </c>
      <c r="N65" s="89">
        <f t="shared" si="110"/>
        <v>766.97183728908999</v>
      </c>
      <c r="O65" s="89">
        <f t="shared" si="110"/>
        <v>889.14084457239687</v>
      </c>
      <c r="P65" s="89">
        <f t="shared" si="110"/>
        <v>996.50638577135805</v>
      </c>
      <c r="Q65" s="89">
        <f t="shared" si="110"/>
        <v>1116.4536267643878</v>
      </c>
      <c r="R65" s="89">
        <f t="shared" ref="R65:S65" si="111">+R60+SUM(R63:R64)</f>
        <v>1250.4252520983096</v>
      </c>
      <c r="S65" s="89">
        <f t="shared" si="111"/>
        <v>1400.0266662313716</v>
      </c>
      <c r="T65" s="89">
        <f t="shared" ref="T65:U65" si="112">+T60+SUM(T63:T64)</f>
        <v>1567.0441106700641</v>
      </c>
      <c r="U65" s="89">
        <f t="shared" si="112"/>
        <v>1753.4647773341799</v>
      </c>
    </row>
    <row r="66" spans="2:21" x14ac:dyDescent="0.2">
      <c r="B66" s="107"/>
      <c r="C66" s="89"/>
      <c r="D66" s="115"/>
      <c r="E66" s="115"/>
      <c r="F66" s="115"/>
      <c r="G66" s="115"/>
      <c r="H66" s="89"/>
      <c r="I66" s="89"/>
      <c r="J66" s="89"/>
      <c r="K66" s="89"/>
      <c r="L66" s="89"/>
      <c r="M66" s="89"/>
      <c r="N66" s="89"/>
      <c r="O66" s="89"/>
      <c r="P66" s="89"/>
      <c r="Q66" s="89"/>
      <c r="R66" s="89"/>
      <c r="S66" s="89"/>
      <c r="T66" s="89"/>
      <c r="U66" s="89"/>
    </row>
    <row r="67" spans="2:21" x14ac:dyDescent="0.2">
      <c r="B67" s="80" t="s">
        <v>431</v>
      </c>
      <c r="C67" s="89"/>
      <c r="D67" s="219" t="str">
        <f>+'Historical Financials'!AL102</f>
        <v>n/a</v>
      </c>
      <c r="E67" s="219">
        <f>+'Historical Financials'!AM102</f>
        <v>-63.5</v>
      </c>
      <c r="F67" s="219">
        <f>+'Historical Financials'!AN102</f>
        <v>-53.3</v>
      </c>
      <c r="G67" s="219">
        <f>+'Historical Financials'!AO102</f>
        <v>-91.600000000000009</v>
      </c>
      <c r="H67" s="219">
        <f>+'Historical Financials'!AP102</f>
        <v>-590.1</v>
      </c>
      <c r="I67" s="219">
        <f>+'Historical Financials'!AQ102</f>
        <v>-494.20000000000005</v>
      </c>
      <c r="J67" s="219">
        <f>+'Historical Financials'!AR102</f>
        <v>-508.62972972972972</v>
      </c>
      <c r="K67" s="149">
        <v>0</v>
      </c>
      <c r="L67" s="149">
        <v>0</v>
      </c>
      <c r="M67" s="149">
        <v>0</v>
      </c>
      <c r="N67" s="149">
        <v>0</v>
      </c>
      <c r="O67" s="149">
        <v>0</v>
      </c>
      <c r="P67" s="149">
        <v>0</v>
      </c>
      <c r="Q67" s="149">
        <v>0</v>
      </c>
      <c r="R67" s="149">
        <v>0</v>
      </c>
      <c r="S67" s="149">
        <v>0</v>
      </c>
      <c r="T67" s="149">
        <v>0</v>
      </c>
      <c r="U67" s="149">
        <v>0</v>
      </c>
    </row>
    <row r="68" spans="2:21" x14ac:dyDescent="0.2">
      <c r="B68" s="80"/>
      <c r="C68" s="89"/>
      <c r="D68" s="89"/>
      <c r="E68" s="89"/>
      <c r="F68" s="89"/>
      <c r="G68" s="89"/>
      <c r="H68" s="89"/>
      <c r="I68" s="89"/>
      <c r="J68" s="89"/>
      <c r="K68" s="89"/>
      <c r="L68" s="89"/>
      <c r="M68" s="89"/>
      <c r="N68" s="89"/>
      <c r="O68" s="89"/>
      <c r="P68" s="89"/>
      <c r="Q68" s="89"/>
      <c r="R68" s="89"/>
      <c r="S68" s="89"/>
      <c r="T68" s="89"/>
      <c r="U68" s="89"/>
    </row>
    <row r="69" spans="2:21" x14ac:dyDescent="0.2">
      <c r="B69" s="77" t="s">
        <v>427</v>
      </c>
      <c r="C69" s="89"/>
      <c r="D69" s="115">
        <f>+'Historical Financials'!AL105</f>
        <v>553.5</v>
      </c>
      <c r="E69" s="115">
        <f>+'Historical Financials'!AM105</f>
        <v>640.4</v>
      </c>
      <c r="F69" s="115">
        <f>+'Historical Financials'!AN105</f>
        <v>1006.3</v>
      </c>
      <c r="G69" s="115">
        <f>+'Historical Financials'!AO105</f>
        <v>1738.5</v>
      </c>
      <c r="H69" s="115">
        <f>+'Historical Financials'!AP105</f>
        <v>1741.9</v>
      </c>
      <c r="I69" s="115">
        <f>+'Historical Financials'!AQ105</f>
        <v>1750.2</v>
      </c>
      <c r="J69" s="115">
        <f>+'Historical Financials'!AR105-SUM('Historical Financials'!AE606:AE607)</f>
        <v>1518</v>
      </c>
      <c r="K69" s="89">
        <f>+K71+K70</f>
        <v>0</v>
      </c>
      <c r="L69" s="89">
        <f t="shared" ref="L69:U69" si="113">+L71+L70</f>
        <v>0</v>
      </c>
      <c r="M69" s="89">
        <f t="shared" si="113"/>
        <v>0</v>
      </c>
      <c r="N69" s="89">
        <f t="shared" si="113"/>
        <v>0</v>
      </c>
      <c r="O69" s="89">
        <f t="shared" si="113"/>
        <v>0</v>
      </c>
      <c r="P69" s="89">
        <f t="shared" si="113"/>
        <v>0</v>
      </c>
      <c r="Q69" s="89">
        <f t="shared" si="113"/>
        <v>0</v>
      </c>
      <c r="R69" s="89">
        <f t="shared" si="113"/>
        <v>0</v>
      </c>
      <c r="S69" s="89">
        <f t="shared" si="113"/>
        <v>0</v>
      </c>
      <c r="T69" s="89">
        <f t="shared" si="113"/>
        <v>0</v>
      </c>
      <c r="U69" s="89">
        <f t="shared" si="113"/>
        <v>0</v>
      </c>
    </row>
    <row r="70" spans="2:21" ht="13.5" x14ac:dyDescent="0.35">
      <c r="B70" s="65" t="s">
        <v>181</v>
      </c>
      <c r="C70" s="89"/>
      <c r="D70" s="118">
        <f>+'Historical Financials'!AL106</f>
        <v>4.8</v>
      </c>
      <c r="E70" s="118">
        <f>+'Historical Financials'!AM106</f>
        <v>3.7</v>
      </c>
      <c r="F70" s="118">
        <f>+'Historical Financials'!AN106</f>
        <v>927.8</v>
      </c>
      <c r="G70" s="118">
        <f>+'Historical Financials'!AO106</f>
        <v>1231.5</v>
      </c>
      <c r="H70" s="118">
        <f>+'Historical Financials'!AP106</f>
        <v>776.5</v>
      </c>
      <c r="I70" s="118">
        <f>+'Historical Financials'!AQ106</f>
        <v>455</v>
      </c>
      <c r="J70" s="118">
        <f ca="1">+'Historical Financials'!AR106</f>
        <v>1340.7101758971728</v>
      </c>
      <c r="K70" s="106">
        <v>0</v>
      </c>
      <c r="L70" s="106">
        <v>0</v>
      </c>
      <c r="M70" s="106">
        <v>0</v>
      </c>
      <c r="N70" s="106">
        <v>0</v>
      </c>
      <c r="O70" s="106">
        <v>0</v>
      </c>
      <c r="P70" s="106">
        <v>0</v>
      </c>
      <c r="Q70" s="106">
        <v>0</v>
      </c>
      <c r="R70" s="106">
        <v>0</v>
      </c>
      <c r="S70" s="106">
        <v>0</v>
      </c>
      <c r="T70" s="106">
        <v>0</v>
      </c>
      <c r="U70" s="106">
        <v>0</v>
      </c>
    </row>
    <row r="71" spans="2:21" x14ac:dyDescent="0.2">
      <c r="B71" s="206" t="s">
        <v>428</v>
      </c>
      <c r="C71" s="120"/>
      <c r="D71" s="97">
        <f t="shared" ref="D71:I71" si="114">+D69-D70</f>
        <v>548.70000000000005</v>
      </c>
      <c r="E71" s="97">
        <f t="shared" si="114"/>
        <v>636.69999999999993</v>
      </c>
      <c r="F71" s="97">
        <f t="shared" si="114"/>
        <v>78.5</v>
      </c>
      <c r="G71" s="97">
        <f t="shared" si="114"/>
        <v>507</v>
      </c>
      <c r="H71" s="97">
        <f t="shared" si="114"/>
        <v>965.40000000000009</v>
      </c>
      <c r="I71" s="97">
        <f t="shared" si="114"/>
        <v>1295.2</v>
      </c>
      <c r="J71" s="97">
        <f t="shared" ref="J71" ca="1" si="115">+J69-J70</f>
        <v>177.2898241028272</v>
      </c>
      <c r="K71" s="89">
        <f>+K72*K28</f>
        <v>0</v>
      </c>
      <c r="L71" s="89">
        <f t="shared" ref="L71:U71" si="116">+L72*L28</f>
        <v>0</v>
      </c>
      <c r="M71" s="89">
        <f t="shared" si="116"/>
        <v>0</v>
      </c>
      <c r="N71" s="89">
        <f t="shared" si="116"/>
        <v>0</v>
      </c>
      <c r="O71" s="89">
        <f t="shared" si="116"/>
        <v>0</v>
      </c>
      <c r="P71" s="89">
        <f t="shared" si="116"/>
        <v>0</v>
      </c>
      <c r="Q71" s="89">
        <f t="shared" si="116"/>
        <v>0</v>
      </c>
      <c r="R71" s="89">
        <f t="shared" si="116"/>
        <v>0</v>
      </c>
      <c r="S71" s="89">
        <f t="shared" si="116"/>
        <v>0</v>
      </c>
      <c r="T71" s="89">
        <f t="shared" si="116"/>
        <v>0</v>
      </c>
      <c r="U71" s="89">
        <f t="shared" si="116"/>
        <v>0</v>
      </c>
    </row>
    <row r="72" spans="2:21" s="95" customFormat="1" x14ac:dyDescent="0.2">
      <c r="B72" s="121" t="s">
        <v>182</v>
      </c>
      <c r="C72" s="93"/>
      <c r="D72" s="122">
        <f t="shared" ref="D72:H72" si="117">+IFERROR(D71/D28,"n/a")</f>
        <v>6.1034482758620712</v>
      </c>
      <c r="E72" s="122">
        <f t="shared" si="117"/>
        <v>7.0902004454343022</v>
      </c>
      <c r="F72" s="122">
        <f t="shared" si="117"/>
        <v>0.89509692132269114</v>
      </c>
      <c r="G72" s="122">
        <f t="shared" si="117"/>
        <v>3.0286738351254474</v>
      </c>
      <c r="H72" s="122">
        <f t="shared" si="117"/>
        <v>3.3358673116793391</v>
      </c>
      <c r="I72" s="122">
        <f t="shared" ref="I72:J72" si="118">+IFERROR(I71/I28,"n/a")</f>
        <v>2.8162644053055019</v>
      </c>
      <c r="J72" s="122">
        <f t="shared" ca="1" si="118"/>
        <v>0.26233932752831507</v>
      </c>
      <c r="K72" s="123">
        <v>0</v>
      </c>
      <c r="L72" s="123">
        <f t="shared" ref="L72:U72" si="119">+K72</f>
        <v>0</v>
      </c>
      <c r="M72" s="123">
        <f t="shared" si="119"/>
        <v>0</v>
      </c>
      <c r="N72" s="123">
        <f t="shared" si="119"/>
        <v>0</v>
      </c>
      <c r="O72" s="123">
        <f t="shared" si="119"/>
        <v>0</v>
      </c>
      <c r="P72" s="123">
        <f t="shared" si="119"/>
        <v>0</v>
      </c>
      <c r="Q72" s="123">
        <f t="shared" si="119"/>
        <v>0</v>
      </c>
      <c r="R72" s="123">
        <f t="shared" si="119"/>
        <v>0</v>
      </c>
      <c r="S72" s="123">
        <f t="shared" si="119"/>
        <v>0</v>
      </c>
      <c r="T72" s="123">
        <f t="shared" si="119"/>
        <v>0</v>
      </c>
      <c r="U72" s="123">
        <f t="shared" si="119"/>
        <v>0</v>
      </c>
    </row>
    <row r="73" spans="2:21" x14ac:dyDescent="0.2">
      <c r="B73" s="121"/>
      <c r="C73" s="89"/>
      <c r="D73" s="89"/>
      <c r="E73" s="89"/>
      <c r="F73" s="89"/>
      <c r="G73" s="89"/>
      <c r="H73" s="89"/>
      <c r="I73" s="89"/>
      <c r="J73" s="89"/>
      <c r="K73" s="89"/>
      <c r="L73" s="89"/>
      <c r="M73" s="89"/>
      <c r="N73" s="89"/>
      <c r="O73" s="89"/>
      <c r="P73" s="89"/>
      <c r="Q73" s="89"/>
      <c r="R73" s="89"/>
      <c r="S73" s="89"/>
      <c r="T73" s="89"/>
      <c r="U73" s="89"/>
    </row>
    <row r="74" spans="2:21" x14ac:dyDescent="0.2">
      <c r="B74" s="65" t="s">
        <v>208</v>
      </c>
      <c r="C74" s="89"/>
      <c r="D74" s="89"/>
      <c r="E74" s="116"/>
      <c r="F74" s="89"/>
      <c r="G74" s="89"/>
      <c r="H74" s="89"/>
      <c r="I74" s="89"/>
      <c r="J74" s="89"/>
      <c r="K74" s="89">
        <f t="shared" ref="K74:U74" ca="1" si="120">K65+K67+(K71-J71)</f>
        <v>264.79931922543039</v>
      </c>
      <c r="L74" s="89">
        <f t="shared" si="120"/>
        <v>539.29522361031093</v>
      </c>
      <c r="M74" s="89">
        <f t="shared" si="120"/>
        <v>649.18238639972128</v>
      </c>
      <c r="N74" s="89">
        <f t="shared" si="120"/>
        <v>766.97183728908999</v>
      </c>
      <c r="O74" s="89">
        <f t="shared" si="120"/>
        <v>889.14084457239687</v>
      </c>
      <c r="P74" s="89">
        <f t="shared" si="120"/>
        <v>996.50638577135805</v>
      </c>
      <c r="Q74" s="89">
        <f t="shared" si="120"/>
        <v>1116.4536267643878</v>
      </c>
      <c r="R74" s="89">
        <f t="shared" si="120"/>
        <v>1250.4252520983096</v>
      </c>
      <c r="S74" s="89">
        <f t="shared" si="120"/>
        <v>1400.0266662313716</v>
      </c>
      <c r="T74" s="89">
        <f t="shared" si="120"/>
        <v>1567.0441106700641</v>
      </c>
      <c r="U74" s="89">
        <f t="shared" si="120"/>
        <v>1753.4647773341799</v>
      </c>
    </row>
    <row r="75" spans="2:21" x14ac:dyDescent="0.2">
      <c r="C75" s="89"/>
      <c r="D75" s="89"/>
      <c r="E75" s="89"/>
      <c r="F75" s="89"/>
      <c r="G75" s="89"/>
      <c r="H75" s="89"/>
      <c r="I75" s="89"/>
      <c r="J75" s="89"/>
      <c r="K75" s="89"/>
      <c r="L75" s="89"/>
      <c r="M75" s="89"/>
      <c r="N75" s="89"/>
      <c r="O75" s="89"/>
      <c r="P75" s="89"/>
      <c r="Q75" s="89"/>
      <c r="R75" s="89"/>
      <c r="S75" s="89"/>
      <c r="T75" s="89"/>
      <c r="U75" s="89"/>
    </row>
    <row r="76" spans="2:21" x14ac:dyDescent="0.2">
      <c r="B76" s="65" t="s">
        <v>209</v>
      </c>
      <c r="C76" s="89"/>
      <c r="D76" s="89"/>
      <c r="E76" s="89"/>
      <c r="F76" s="89"/>
      <c r="G76" s="89"/>
      <c r="H76" s="89"/>
      <c r="I76" s="89"/>
      <c r="J76" s="89"/>
      <c r="K76" s="89">
        <f t="shared" ref="K76:U76" ca="1" si="121">J76+K74</f>
        <v>264.79931922543039</v>
      </c>
      <c r="L76" s="89">
        <f t="shared" ca="1" si="121"/>
        <v>804.09454283574132</v>
      </c>
      <c r="M76" s="89">
        <f t="shared" ca="1" si="121"/>
        <v>1453.2769292354626</v>
      </c>
      <c r="N76" s="89">
        <f t="shared" ca="1" si="121"/>
        <v>2220.2487665245526</v>
      </c>
      <c r="O76" s="89">
        <f t="shared" ca="1" si="121"/>
        <v>3109.3896110969495</v>
      </c>
      <c r="P76" s="89">
        <f t="shared" ca="1" si="121"/>
        <v>4105.8959968683075</v>
      </c>
      <c r="Q76" s="89">
        <f t="shared" ca="1" si="121"/>
        <v>5222.3496236326955</v>
      </c>
      <c r="R76" s="89">
        <f t="shared" ca="1" si="121"/>
        <v>6472.7748757310055</v>
      </c>
      <c r="S76" s="89">
        <f t="shared" ca="1" si="121"/>
        <v>7872.8015419623771</v>
      </c>
      <c r="T76" s="89">
        <f t="shared" ca="1" si="121"/>
        <v>9439.8456526324408</v>
      </c>
      <c r="U76" s="89">
        <f t="shared" ca="1" si="121"/>
        <v>11193.310429966621</v>
      </c>
    </row>
    <row r="77" spans="2:21" s="95" customFormat="1" x14ac:dyDescent="0.2">
      <c r="B77" s="80" t="s">
        <v>210</v>
      </c>
      <c r="C77" s="93"/>
      <c r="D77" s="93"/>
      <c r="E77" s="94"/>
      <c r="F77" s="94"/>
      <c r="G77" s="94"/>
      <c r="H77" s="94"/>
      <c r="I77" s="124"/>
      <c r="J77" s="124"/>
      <c r="K77" s="124">
        <f t="shared" ref="K77:U77" ca="1" si="122">K76/$E$97</f>
        <v>2.4099318075959063E-2</v>
      </c>
      <c r="L77" s="124">
        <f t="shared" ca="1" si="122"/>
        <v>7.3180437954390373E-2</v>
      </c>
      <c r="M77" s="124">
        <f t="shared" ca="1" si="122"/>
        <v>0.13226236031325483</v>
      </c>
      <c r="N77" s="124">
        <f t="shared" ca="1" si="122"/>
        <v>0.2020642703642283</v>
      </c>
      <c r="O77" s="125">
        <f t="shared" ca="1" si="122"/>
        <v>0.28298475041061066</v>
      </c>
      <c r="P77" s="124">
        <f t="shared" ca="1" si="122"/>
        <v>0.37367654080371071</v>
      </c>
      <c r="Q77" s="124">
        <f t="shared" ca="1" si="122"/>
        <v>0.47528469881240826</v>
      </c>
      <c r="R77" s="124">
        <f t="shared" ca="1" si="122"/>
        <v>0.58908558005589173</v>
      </c>
      <c r="S77" s="124">
        <f t="shared" ca="1" si="122"/>
        <v>0.71650164760103119</v>
      </c>
      <c r="T77" s="124">
        <f t="shared" ca="1" si="122"/>
        <v>0.85911792989572322</v>
      </c>
      <c r="U77" s="124">
        <f t="shared" ca="1" si="122"/>
        <v>1.0187003092144269</v>
      </c>
    </row>
    <row r="78" spans="2:21" x14ac:dyDescent="0.2">
      <c r="C78" s="89"/>
      <c r="D78" s="89"/>
      <c r="E78" s="89"/>
      <c r="F78" s="89"/>
      <c r="G78" s="89"/>
      <c r="H78" s="89"/>
      <c r="I78" s="89"/>
      <c r="J78" s="89"/>
      <c r="K78" s="89"/>
      <c r="L78" s="89"/>
      <c r="M78" s="89"/>
      <c r="N78" s="89"/>
      <c r="O78" s="89"/>
      <c r="P78" s="89"/>
      <c r="Q78" s="89"/>
      <c r="R78" s="89"/>
      <c r="S78" s="89"/>
      <c r="T78" s="89"/>
      <c r="U78" s="89"/>
    </row>
    <row r="79" spans="2:21" x14ac:dyDescent="0.2">
      <c r="B79" s="111" t="s">
        <v>211</v>
      </c>
      <c r="C79" s="89"/>
      <c r="D79" s="89"/>
      <c r="E79" s="89"/>
      <c r="F79" s="89"/>
      <c r="G79" s="89"/>
      <c r="H79" s="89"/>
      <c r="I79" s="89"/>
      <c r="J79" s="89"/>
      <c r="K79" s="89"/>
      <c r="L79" s="89"/>
      <c r="M79" s="89"/>
      <c r="N79" s="89"/>
      <c r="O79" s="89"/>
      <c r="P79" s="89"/>
      <c r="Q79" s="89"/>
      <c r="R79" s="89"/>
      <c r="S79" s="89"/>
      <c r="T79" s="89"/>
      <c r="U79" s="89"/>
    </row>
    <row r="80" spans="2:21" x14ac:dyDescent="0.2">
      <c r="B80" s="126" t="s">
        <v>212</v>
      </c>
      <c r="C80" s="89"/>
      <c r="D80" s="127">
        <f t="shared" ref="D80:I80" si="123">+$E$99/D8</f>
        <v>44.546634454768501</v>
      </c>
      <c r="E80" s="127">
        <f t="shared" si="123"/>
        <v>36.847576192209495</v>
      </c>
      <c r="F80" s="127">
        <f t="shared" si="123"/>
        <v>34.851190485201244</v>
      </c>
      <c r="G80" s="127">
        <f t="shared" si="123"/>
        <v>21.279649388884689</v>
      </c>
      <c r="H80" s="127">
        <f t="shared" si="123"/>
        <v>15.473449521264609</v>
      </c>
      <c r="I80" s="127">
        <f t="shared" si="123"/>
        <v>11.97036848864313</v>
      </c>
      <c r="J80" s="127">
        <f t="shared" ref="J80:U80" ca="1" si="124">+($E$97-J76+J71)/J8</f>
        <v>8.2704930453887808</v>
      </c>
      <c r="K80" s="127">
        <f t="shared" ca="1" si="124"/>
        <v>6.2010551356365076</v>
      </c>
      <c r="L80" s="127">
        <f t="shared" ca="1" si="124"/>
        <v>4.9908343528657522</v>
      </c>
      <c r="M80" s="127">
        <f t="shared" ca="1" si="124"/>
        <v>4.0281757532110811</v>
      </c>
      <c r="N80" s="127">
        <f t="shared" ca="1" si="124"/>
        <v>3.2492493119657655</v>
      </c>
      <c r="O80" s="127">
        <f t="shared" ca="1" si="124"/>
        <v>2.606906729842156</v>
      </c>
      <c r="P80" s="127">
        <f t="shared" ca="1" si="124"/>
        <v>2.070156098520735</v>
      </c>
      <c r="Q80" s="127">
        <f t="shared" ca="1" si="124"/>
        <v>1.5766505959810797</v>
      </c>
      <c r="R80" s="127">
        <f t="shared" ca="1" si="124"/>
        <v>1.1224588468793941</v>
      </c>
      <c r="S80" s="127">
        <f t="shared" ca="1" si="124"/>
        <v>0.70400687363040781</v>
      </c>
      <c r="T80" s="127">
        <f t="shared" ca="1" si="124"/>
        <v>0.31804560570205709</v>
      </c>
      <c r="U80" s="127">
        <f t="shared" ca="1" si="124"/>
        <v>-3.8378657389352061E-2</v>
      </c>
    </row>
    <row r="81" spans="2:27" x14ac:dyDescent="0.2">
      <c r="B81" s="128" t="s">
        <v>213</v>
      </c>
      <c r="C81" s="89"/>
      <c r="D81" s="127">
        <f t="shared" ref="D81:I81" si="125">+$E$99/D38</f>
        <v>125.21617938509459</v>
      </c>
      <c r="E81" s="127">
        <f t="shared" si="125"/>
        <v>125.35561833763929</v>
      </c>
      <c r="F81" s="127">
        <f t="shared" si="125"/>
        <v>541.19877532307737</v>
      </c>
      <c r="G81" s="127">
        <f t="shared" si="125"/>
        <v>93.729679656286407</v>
      </c>
      <c r="H81" s="127">
        <f t="shared" si="125"/>
        <v>47.100144463263639</v>
      </c>
      <c r="I81" s="127">
        <f t="shared" si="125"/>
        <v>28.086163988822367</v>
      </c>
      <c r="J81" s="127">
        <f t="shared" ref="J81:U81" ca="1" si="126">+($E$97-J76+J71)/J38</f>
        <v>18.342469139525594</v>
      </c>
      <c r="K81" s="127">
        <f t="shared" ca="1" si="126"/>
        <v>13.27099017665846</v>
      </c>
      <c r="L81" s="127">
        <f t="shared" ca="1" si="126"/>
        <v>10.448446681312106</v>
      </c>
      <c r="M81" s="127">
        <f t="shared" ca="1" si="126"/>
        <v>8.2250344141991469</v>
      </c>
      <c r="N81" s="127">
        <f t="shared" ca="1" si="126"/>
        <v>6.4748173641646467</v>
      </c>
      <c r="O81" s="127">
        <f t="shared" ca="1" si="126"/>
        <v>5.0726746297996836</v>
      </c>
      <c r="P81" s="127">
        <f t="shared" ca="1" si="126"/>
        <v>3.9780132001887094</v>
      </c>
      <c r="Q81" s="127">
        <f t="shared" ca="1" si="126"/>
        <v>2.9923866113138677</v>
      </c>
      <c r="R81" s="127">
        <f t="shared" ca="1" si="126"/>
        <v>2.1044453041812932</v>
      </c>
      <c r="S81" s="127">
        <f t="shared" ca="1" si="126"/>
        <v>1.3040473107376054</v>
      </c>
      <c r="T81" s="127">
        <f t="shared" ca="1" si="126"/>
        <v>0.58212708556557791</v>
      </c>
      <c r="U81" s="127">
        <f t="shared" ca="1" si="126"/>
        <v>-6.9421083692603525E-2</v>
      </c>
    </row>
    <row r="82" spans="2:27" x14ac:dyDescent="0.2">
      <c r="B82" s="128" t="s">
        <v>214</v>
      </c>
      <c r="C82" s="89"/>
      <c r="D82" s="127">
        <f t="shared" ref="D82:I82" si="127">+$E$99/D45</f>
        <v>209.62634127970216</v>
      </c>
      <c r="E82" s="127">
        <f t="shared" si="127"/>
        <v>206.54925737100939</v>
      </c>
      <c r="F82" s="127">
        <f t="shared" si="127"/>
        <v>-407.85994662028963</v>
      </c>
      <c r="G82" s="127">
        <f t="shared" si="127"/>
        <v>598.77311312340305</v>
      </c>
      <c r="H82" s="127">
        <f t="shared" si="127"/>
        <v>102.99116675864612</v>
      </c>
      <c r="I82" s="127">
        <f t="shared" si="127"/>
        <v>49.156919330655064</v>
      </c>
      <c r="J82" s="127">
        <f t="shared" ref="J82:U82" ca="1" si="128">+($E$97-J76+J71)/J45</f>
        <v>29.014773560186629</v>
      </c>
      <c r="K82" s="127">
        <f t="shared" ca="1" si="128"/>
        <v>20.018647647747059</v>
      </c>
      <c r="L82" s="127">
        <f t="shared" ca="1" si="128"/>
        <v>15.491652886977105</v>
      </c>
      <c r="M82" s="127">
        <f t="shared" ca="1" si="128"/>
        <v>11.979855804596619</v>
      </c>
      <c r="N82" s="127">
        <f t="shared" ca="1" si="128"/>
        <v>9.2748585079819623</v>
      </c>
      <c r="O82" s="127">
        <f t="shared" ca="1" si="128"/>
        <v>7.1537409166185251</v>
      </c>
      <c r="P82" s="127">
        <f t="shared" ca="1" si="128"/>
        <v>5.5515120647593656</v>
      </c>
      <c r="Q82" s="127">
        <f t="shared" ca="1" si="128"/>
        <v>4.133987855417149</v>
      </c>
      <c r="R82" s="127">
        <f t="shared" ca="1" si="128"/>
        <v>2.8790212033068321</v>
      </c>
      <c r="S82" s="127">
        <f t="shared" ca="1" si="128"/>
        <v>1.7672497202536184</v>
      </c>
      <c r="T82" s="127">
        <f t="shared" ca="1" si="128"/>
        <v>0.78172538082337328</v>
      </c>
      <c r="U82" s="127">
        <f t="shared" ca="1" si="128"/>
        <v>-9.2403291760268888E-2</v>
      </c>
    </row>
    <row r="83" spans="2:27" x14ac:dyDescent="0.2">
      <c r="B83" s="128" t="s">
        <v>216</v>
      </c>
      <c r="C83" s="89"/>
      <c r="D83" s="127">
        <f t="shared" ref="D83:I83" si="129">($E$97)/D60</f>
        <v>1639.9753024955287</v>
      </c>
      <c r="E83" s="127">
        <f t="shared" si="129"/>
        <v>3662.6115089067362</v>
      </c>
      <c r="F83" s="127">
        <f t="shared" si="129"/>
        <v>-162.06245614631266</v>
      </c>
      <c r="G83" s="127">
        <f t="shared" si="129"/>
        <v>-1194.3298398608742</v>
      </c>
      <c r="H83" s="127">
        <f t="shared" si="129"/>
        <v>149.9472491978496</v>
      </c>
      <c r="I83" s="127">
        <f t="shared" si="129"/>
        <v>57.9099532345315</v>
      </c>
      <c r="J83" s="127">
        <f t="shared" ref="J83:U83" ca="1" si="130">($E$97-J$76)/J60</f>
        <v>37.03208850659508</v>
      </c>
      <c r="K83" s="127">
        <f t="shared" ca="1" si="130"/>
        <v>24.255368785504331</v>
      </c>
      <c r="L83" s="127">
        <f t="shared" ca="1" si="130"/>
        <v>18.883423286616985</v>
      </c>
      <c r="M83" s="127">
        <f t="shared" ca="1" si="130"/>
        <v>14.68702447452698</v>
      </c>
      <c r="N83" s="127">
        <f t="shared" ca="1" si="130"/>
        <v>11.431431160738613</v>
      </c>
      <c r="O83" s="127">
        <f t="shared" ca="1" si="130"/>
        <v>8.860738952344418</v>
      </c>
      <c r="P83" s="127">
        <f t="shared" ca="1" si="130"/>
        <v>6.9060656591022678</v>
      </c>
      <c r="Q83" s="127">
        <f t="shared" ca="1" si="130"/>
        <v>5.164106027221524</v>
      </c>
      <c r="R83" s="127">
        <f t="shared" ca="1" si="130"/>
        <v>3.6108193139992797</v>
      </c>
      <c r="S83" s="127">
        <f t="shared" ca="1" si="130"/>
        <v>2.2249811806390447</v>
      </c>
      <c r="T83" s="127">
        <f t="shared" ca="1" si="130"/>
        <v>0.98784001263732346</v>
      </c>
      <c r="U83" s="127">
        <f t="shared" ca="1" si="130"/>
        <v>-0.11718279483150447</v>
      </c>
      <c r="V83" s="129"/>
      <c r="W83" s="129"/>
      <c r="X83" s="129"/>
      <c r="Y83" s="129"/>
      <c r="Z83" s="129"/>
      <c r="AA83" s="129"/>
    </row>
    <row r="84" spans="2:27" x14ac:dyDescent="0.2">
      <c r="B84" s="126" t="s">
        <v>215</v>
      </c>
      <c r="C84" s="89"/>
      <c r="D84" s="127">
        <f t="shared" ref="D84:I84" si="131">($E$97)/(D38-D57-D50-D53)</f>
        <v>-391.02613974092498</v>
      </c>
      <c r="E84" s="127">
        <f t="shared" si="131"/>
        <v>-452.1742603588466</v>
      </c>
      <c r="F84" s="127">
        <f t="shared" si="131"/>
        <v>-106.06017882934361</v>
      </c>
      <c r="G84" s="127">
        <f t="shared" si="131"/>
        <v>-893.31988022114024</v>
      </c>
      <c r="H84" s="127">
        <f t="shared" si="131"/>
        <v>203.93916861650456</v>
      </c>
      <c r="I84" s="127">
        <f t="shared" si="131"/>
        <v>74.777695159384848</v>
      </c>
      <c r="J84" s="127">
        <f t="shared" ref="J84:U84" ca="1" si="132">($E$97-J$76)/(J38-J57-J50-J53)</f>
        <v>48.296819803037906</v>
      </c>
      <c r="K84" s="127">
        <f t="shared" ca="1" si="132"/>
        <v>30.465263696476359</v>
      </c>
      <c r="L84" s="127">
        <f t="shared" ca="1" si="132"/>
        <v>22.926842284321605</v>
      </c>
      <c r="M84" s="127">
        <f t="shared" ca="1" si="132"/>
        <v>17.276759886233265</v>
      </c>
      <c r="N84" s="127">
        <f t="shared" ca="1" si="132"/>
        <v>13.068808919966887</v>
      </c>
      <c r="O84" s="127">
        <f t="shared" ca="1" si="132"/>
        <v>9.8710268103407852</v>
      </c>
      <c r="P84" s="127">
        <f t="shared" ca="1" si="132"/>
        <v>7.5238131487179043</v>
      </c>
      <c r="Q84" s="127">
        <f t="shared" ca="1" si="132"/>
        <v>5.5089585145773885</v>
      </c>
      <c r="R84" s="127">
        <f t="shared" ca="1" si="132"/>
        <v>3.7761700178502986</v>
      </c>
      <c r="S84" s="127">
        <f t="shared" ca="1" si="132"/>
        <v>2.283524649816191</v>
      </c>
      <c r="T84" s="127">
        <f t="shared" ca="1" si="132"/>
        <v>0.99591943292740481</v>
      </c>
      <c r="U84" s="127">
        <f t="shared" ca="1" si="132"/>
        <v>-0.11615847593436414</v>
      </c>
    </row>
    <row r="85" spans="2:27" x14ac:dyDescent="0.2">
      <c r="B85" s="202" t="s">
        <v>396</v>
      </c>
      <c r="C85" s="89"/>
      <c r="D85" s="204" t="s">
        <v>289</v>
      </c>
      <c r="E85" s="204" t="s">
        <v>289</v>
      </c>
      <c r="F85" s="204" t="s">
        <v>289</v>
      </c>
      <c r="G85" s="204" t="s">
        <v>289</v>
      </c>
      <c r="H85" s="204" t="s">
        <v>289</v>
      </c>
      <c r="I85" s="204" t="s">
        <v>289</v>
      </c>
      <c r="J85" s="203">
        <f>_xll.ciqfunctions.udf.CIQ("FOUR", "IQ_PE_EXCL_FWD", "FY2024")</f>
        <v>0</v>
      </c>
      <c r="K85" s="203">
        <f>_xll.ciqfunctions.udf.CIQ("FOUR", "IQ_PE_EXCL_FWD", "FY2025")</f>
        <v>17.507815999999998</v>
      </c>
      <c r="L85" s="203">
        <f>_xll.ciqfunctions.udf.CIQ("FOUR", "IQ_PE_EXCL_FWD", "FY2026")</f>
        <v>14.235613000000001</v>
      </c>
      <c r="M85" s="204" t="s">
        <v>289</v>
      </c>
      <c r="N85" s="204" t="s">
        <v>289</v>
      </c>
      <c r="O85" s="204" t="s">
        <v>289</v>
      </c>
      <c r="P85" s="204" t="s">
        <v>289</v>
      </c>
      <c r="Q85" s="204" t="s">
        <v>289</v>
      </c>
      <c r="R85" s="204" t="s">
        <v>289</v>
      </c>
      <c r="S85" s="204" t="s">
        <v>289</v>
      </c>
      <c r="T85" s="204" t="s">
        <v>289</v>
      </c>
      <c r="U85" s="204" t="s">
        <v>289</v>
      </c>
    </row>
    <row r="86" spans="2:27" x14ac:dyDescent="0.2">
      <c r="C86" s="89"/>
      <c r="D86" s="89"/>
      <c r="E86" s="89"/>
      <c r="F86" s="89"/>
      <c r="G86" s="89"/>
      <c r="H86" s="89"/>
      <c r="I86" s="89"/>
      <c r="J86" s="89"/>
      <c r="K86" s="89"/>
      <c r="L86" s="89"/>
      <c r="M86" s="89"/>
    </row>
    <row r="87" spans="2:27" x14ac:dyDescent="0.2">
      <c r="B87" s="111" t="s">
        <v>217</v>
      </c>
      <c r="C87" s="89"/>
      <c r="D87" s="89"/>
      <c r="E87" s="89"/>
      <c r="F87" s="89"/>
      <c r="G87" s="89"/>
      <c r="H87" s="89"/>
      <c r="I87" s="89"/>
      <c r="J87" s="89"/>
      <c r="K87" s="89"/>
      <c r="L87" s="89"/>
      <c r="M87" s="89"/>
    </row>
    <row r="88" spans="2:27" ht="13.5" x14ac:dyDescent="0.35">
      <c r="B88" s="65" t="s">
        <v>218</v>
      </c>
      <c r="C88" s="89"/>
      <c r="D88" s="89"/>
      <c r="E88" s="89"/>
      <c r="F88" s="89"/>
      <c r="G88" s="89"/>
      <c r="H88" s="89"/>
      <c r="I88" s="89"/>
      <c r="J88" s="89"/>
      <c r="K88" s="89"/>
      <c r="L88" s="130"/>
      <c r="M88" s="130"/>
      <c r="N88" s="130"/>
      <c r="O88" s="130"/>
      <c r="P88" s="130"/>
      <c r="Q88" s="130"/>
      <c r="R88" s="130"/>
      <c r="S88" s="130"/>
      <c r="T88" s="130">
        <v>15</v>
      </c>
    </row>
    <row r="89" spans="2:27" x14ac:dyDescent="0.2">
      <c r="B89" s="65" t="s">
        <v>219</v>
      </c>
      <c r="C89" s="89"/>
      <c r="D89" s="89"/>
      <c r="E89" s="89"/>
      <c r="F89" s="89"/>
      <c r="G89" s="89"/>
      <c r="H89" s="89"/>
      <c r="I89" s="89"/>
      <c r="J89" s="89"/>
      <c r="K89" s="89"/>
      <c r="L89" s="89"/>
      <c r="M89" s="89"/>
      <c r="N89" s="89"/>
      <c r="O89" s="89"/>
      <c r="P89" s="89"/>
      <c r="Q89" s="89"/>
      <c r="R89" s="89"/>
      <c r="S89" s="89"/>
      <c r="T89" s="89">
        <f>T88*(U60)</f>
        <v>26301.971660012699</v>
      </c>
    </row>
    <row r="90" spans="2:27" ht="13.5" x14ac:dyDescent="0.35">
      <c r="C90" s="89"/>
      <c r="D90" s="89"/>
      <c r="E90" s="89"/>
      <c r="F90" s="89"/>
      <c r="G90" s="89"/>
      <c r="H90" s="89"/>
      <c r="I90" s="89"/>
      <c r="J90" s="89"/>
      <c r="K90" s="89"/>
      <c r="L90" s="89"/>
      <c r="M90" s="89"/>
      <c r="N90" s="131"/>
      <c r="O90" s="131"/>
      <c r="P90" s="131"/>
      <c r="Q90" s="131"/>
      <c r="R90" s="131"/>
      <c r="S90" s="131"/>
      <c r="T90" s="131"/>
      <c r="U90" s="131" t="s">
        <v>143</v>
      </c>
    </row>
    <row r="91" spans="2:27" x14ac:dyDescent="0.2">
      <c r="B91" s="65" t="s">
        <v>220</v>
      </c>
      <c r="C91" s="89"/>
      <c r="D91" s="89"/>
      <c r="E91" s="89"/>
      <c r="F91" s="89"/>
      <c r="G91" s="89"/>
      <c r="H91" s="89"/>
      <c r="I91" s="89"/>
      <c r="J91" s="89">
        <f>-E97</f>
        <v>-10987.83452672</v>
      </c>
      <c r="K91" s="89">
        <f ca="1">+K74</f>
        <v>264.79931922543039</v>
      </c>
      <c r="L91" s="89">
        <f t="shared" ref="L91:S91" si="133">L74</f>
        <v>539.29522361031093</v>
      </c>
      <c r="M91" s="89">
        <f t="shared" si="133"/>
        <v>649.18238639972128</v>
      </c>
      <c r="N91" s="89">
        <f t="shared" si="133"/>
        <v>766.97183728908999</v>
      </c>
      <c r="O91" s="89">
        <f t="shared" si="133"/>
        <v>889.14084457239687</v>
      </c>
      <c r="P91" s="89">
        <f t="shared" si="133"/>
        <v>996.50638577135805</v>
      </c>
      <c r="Q91" s="89">
        <f t="shared" si="133"/>
        <v>1116.4536267643878</v>
      </c>
      <c r="R91" s="89">
        <f t="shared" si="133"/>
        <v>1250.4252520983096</v>
      </c>
      <c r="S91" s="89">
        <f t="shared" si="133"/>
        <v>1400.0266662313716</v>
      </c>
      <c r="T91" s="89">
        <f>T89+T74</f>
        <v>27869.015770682763</v>
      </c>
      <c r="U91" s="89">
        <f ca="1">+SUM(K91:T91)</f>
        <v>35741.817312645144</v>
      </c>
    </row>
    <row r="92" spans="2:27" x14ac:dyDescent="0.2">
      <c r="C92" s="89"/>
      <c r="D92" s="89"/>
      <c r="E92" s="89"/>
      <c r="F92" s="89"/>
      <c r="G92" s="89"/>
      <c r="H92" s="89"/>
      <c r="I92" s="89"/>
      <c r="J92" s="89"/>
      <c r="K92" s="89"/>
      <c r="M92" s="132"/>
      <c r="N92" s="132"/>
      <c r="O92" s="132"/>
      <c r="P92" s="132"/>
      <c r="Q92" s="132"/>
      <c r="R92" s="132"/>
      <c r="S92" s="132"/>
      <c r="T92" s="132" t="s">
        <v>221</v>
      </c>
      <c r="U92" s="127">
        <f ca="1">+U91/-J91</f>
        <v>3.2528536196762787</v>
      </c>
    </row>
    <row r="93" spans="2:27" x14ac:dyDescent="0.2">
      <c r="B93" s="133" t="s">
        <v>222</v>
      </c>
      <c r="C93" s="134"/>
      <c r="D93" s="134"/>
      <c r="E93" s="134"/>
      <c r="F93" s="135">
        <f ca="1">XIRR(J91:T91,J7:T7)</f>
        <v>0.1435812175273895</v>
      </c>
      <c r="G93" s="89"/>
      <c r="H93" s="136"/>
      <c r="I93" s="89"/>
      <c r="J93" s="89"/>
      <c r="K93" s="89"/>
      <c r="L93" s="89"/>
      <c r="M93" s="89"/>
    </row>
    <row r="94" spans="2:27" x14ac:dyDescent="0.2">
      <c r="C94" s="89"/>
      <c r="D94" s="89"/>
      <c r="E94" s="89"/>
      <c r="F94" s="89"/>
      <c r="G94" s="89"/>
      <c r="H94" s="89"/>
      <c r="I94" s="89"/>
      <c r="J94" s="89"/>
      <c r="K94" s="89"/>
      <c r="L94" s="89"/>
      <c r="M94" s="89"/>
    </row>
    <row r="95" spans="2:27" x14ac:dyDescent="0.2">
      <c r="B95" s="137" t="s">
        <v>223</v>
      </c>
      <c r="C95" s="138"/>
      <c r="D95" s="138"/>
      <c r="E95" s="138"/>
      <c r="F95" s="139"/>
      <c r="G95" s="89"/>
      <c r="H95" s="89"/>
      <c r="I95" s="89"/>
      <c r="J95" s="89"/>
      <c r="K95" s="89"/>
      <c r="L95" s="89"/>
      <c r="M95" s="89"/>
    </row>
    <row r="96" spans="2:27" ht="13.5" x14ac:dyDescent="0.35">
      <c r="C96" s="89"/>
      <c r="D96" s="89"/>
      <c r="E96" s="131" t="s">
        <v>224</v>
      </c>
      <c r="F96" s="131" t="s">
        <v>246</v>
      </c>
      <c r="G96" s="89"/>
      <c r="H96" s="89"/>
      <c r="I96" s="89"/>
      <c r="J96" s="89"/>
      <c r="K96" s="89"/>
      <c r="L96" s="89"/>
      <c r="M96" s="89"/>
    </row>
    <row r="97" spans="2:31" x14ac:dyDescent="0.2">
      <c r="B97" s="77" t="s">
        <v>225</v>
      </c>
      <c r="C97" s="89"/>
      <c r="D97" s="89"/>
      <c r="E97" s="89">
        <f>F97*F$101</f>
        <v>10987.83452672</v>
      </c>
      <c r="F97" s="140">
        <v>103.78</v>
      </c>
      <c r="G97" s="89"/>
      <c r="H97" s="151"/>
      <c r="I97" s="89"/>
      <c r="J97" s="89"/>
      <c r="K97" s="89"/>
      <c r="L97" s="89"/>
      <c r="M97" s="89"/>
      <c r="X97" s="65">
        <f t="shared" ref="X97:AE97" si="134">+$F$97/E83</f>
        <v>2.8334973487531469E-2</v>
      </c>
      <c r="Y97" s="65">
        <f t="shared" si="134"/>
        <v>-0.6403704008182235</v>
      </c>
      <c r="Z97" s="65">
        <f t="shared" si="134"/>
        <v>-8.6893918695097813E-2</v>
      </c>
      <c r="AA97" s="65">
        <f t="shared" si="134"/>
        <v>0.69211006240645534</v>
      </c>
      <c r="AB97" s="65">
        <f t="shared" si="134"/>
        <v>1.7920926231747734</v>
      </c>
      <c r="AC97" s="65">
        <f t="shared" ca="1" si="134"/>
        <v>2.8024344341669449</v>
      </c>
      <c r="AD97" s="65">
        <f t="shared" ca="1" si="134"/>
        <v>4.2786403669121595</v>
      </c>
      <c r="AE97" s="65">
        <f t="shared" ca="1" si="134"/>
        <v>5.4958255409945034</v>
      </c>
    </row>
    <row r="98" spans="2:31" ht="13.5" x14ac:dyDescent="0.35">
      <c r="B98" s="77" t="s">
        <v>411</v>
      </c>
      <c r="C98" s="89"/>
      <c r="D98" s="89"/>
      <c r="E98" s="118">
        <f>+'Historical Financials'!AD107-'Historical Financials'!AE93-SUM('Historical Financials'!AD606:AD607)</f>
        <v>269.09999999999991</v>
      </c>
      <c r="F98" s="141">
        <f>E98/F$101</f>
        <v>2.5416471218316206</v>
      </c>
      <c r="G98" s="89"/>
      <c r="H98" s="89"/>
      <c r="I98" s="89"/>
      <c r="J98" s="89"/>
      <c r="K98" s="89"/>
      <c r="L98" s="89"/>
      <c r="M98" s="89"/>
      <c r="AB98" s="65">
        <f>+AB97/AA97-1</f>
        <v>1.5893173940336842</v>
      </c>
      <c r="AC98" s="65">
        <f t="shared" ref="AC98:AE98" ca="1" si="135">+AC97/AB97-1</f>
        <v>0.5637776741708278</v>
      </c>
      <c r="AD98" s="65">
        <f t="shared" ca="1" si="135"/>
        <v>0.52675841930411949</v>
      </c>
      <c r="AE98" s="65">
        <f t="shared" ca="1" si="135"/>
        <v>0.28447943031042144</v>
      </c>
    </row>
    <row r="99" spans="2:31" x14ac:dyDescent="0.2">
      <c r="B99" s="107" t="s">
        <v>226</v>
      </c>
      <c r="C99" s="89"/>
      <c r="D99" s="89"/>
      <c r="E99" s="89">
        <f>E97+E98</f>
        <v>11256.934526720001</v>
      </c>
      <c r="F99" s="90">
        <f>E99/F$101</f>
        <v>106.32164712183163</v>
      </c>
      <c r="G99" s="89"/>
      <c r="H99" s="89"/>
      <c r="I99" s="89"/>
      <c r="J99" s="89"/>
      <c r="K99" s="89"/>
      <c r="L99" s="89"/>
      <c r="M99" s="89"/>
    </row>
    <row r="100" spans="2:31" x14ac:dyDescent="0.2">
      <c r="C100" s="89"/>
      <c r="D100" s="89"/>
      <c r="E100" s="89"/>
      <c r="F100" s="89"/>
      <c r="G100" s="89"/>
      <c r="H100" s="89"/>
      <c r="I100" s="89"/>
      <c r="J100" s="89"/>
      <c r="K100" s="89"/>
      <c r="L100" s="89"/>
      <c r="M100" s="89"/>
    </row>
    <row r="101" spans="2:31" s="95" customFormat="1" x14ac:dyDescent="0.2">
      <c r="B101" s="80" t="s">
        <v>227</v>
      </c>
      <c r="C101" s="93"/>
      <c r="D101" s="93"/>
      <c r="E101" s="93"/>
      <c r="F101" s="147">
        <f>+'Shares OS'!E16</f>
        <v>105.87622399999999</v>
      </c>
      <c r="G101" s="93"/>
      <c r="H101" s="93"/>
      <c r="I101" s="93"/>
      <c r="J101" s="93"/>
      <c r="K101" s="93"/>
      <c r="L101" s="93"/>
      <c r="M101" s="93"/>
    </row>
    <row r="102" spans="2:31" s="95" customFormat="1" x14ac:dyDescent="0.2">
      <c r="B102" s="80"/>
      <c r="C102" s="93"/>
      <c r="D102" s="93"/>
      <c r="E102" s="93"/>
      <c r="F102" s="82"/>
      <c r="G102" s="93"/>
      <c r="H102" s="93"/>
      <c r="I102" s="93"/>
      <c r="J102" s="93"/>
      <c r="K102" s="93"/>
      <c r="L102" s="93"/>
      <c r="M102" s="93"/>
    </row>
  </sheetData>
  <pageMargins left="0.3" right="0.3" top="0.3" bottom="0.4" header="0.3" footer="0.3"/>
  <pageSetup scale="63" orientation="portrait" r:id="rId1"/>
  <headerFooter>
    <oddFooter>&amp;C&amp;10Page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483AC-D5BA-4AFF-85D7-7943101E95FE}">
  <dimension ref="B2:BA645"/>
  <sheetViews>
    <sheetView view="pageBreakPreview" zoomScale="85" zoomScaleNormal="85" zoomScaleSheetLayoutView="85" workbookViewId="0">
      <pane xSplit="3" ySplit="6" topLeftCell="H10" activePane="bottomRight" state="frozen"/>
      <selection activeCell="F96" sqref="F96"/>
      <selection pane="topRight" activeCell="F96" sqref="F96"/>
      <selection pane="bottomLeft" activeCell="F96" sqref="F96"/>
      <selection pane="bottomRight" activeCell="AG157" sqref="AG157"/>
    </sheetView>
  </sheetViews>
  <sheetFormatPr defaultRowHeight="11.25" outlineLevelRow="1" outlineLevelCol="1" x14ac:dyDescent="0.2"/>
  <cols>
    <col min="1" max="1" width="2.83203125" customWidth="1"/>
    <col min="2" max="2" width="25.83203125" customWidth="1"/>
    <col min="3" max="3" width="2.83203125" customWidth="1"/>
    <col min="4" max="7" width="9.33203125" hidden="1" customWidth="1" outlineLevel="1"/>
    <col min="8" max="8" width="9.33203125" customWidth="1" collapsed="1"/>
    <col min="9" max="35" width="9.33203125" customWidth="1"/>
    <col min="36" max="36" width="2.83203125" customWidth="1"/>
    <col min="37" max="37" width="9.33203125" hidden="1" customWidth="1" outlineLevel="1"/>
    <col min="38" max="38" width="9.33203125" customWidth="1" collapsed="1"/>
    <col min="39" max="45" width="9.33203125" customWidth="1"/>
    <col min="46" max="46" width="11.33203125" bestFit="1" customWidth="1"/>
  </cols>
  <sheetData>
    <row r="2" spans="2:46" s="1" customFormat="1" ht="10.15" x14ac:dyDescent="0.2">
      <c r="B2" s="1" t="s">
        <v>0</v>
      </c>
      <c r="AS2" s="8">
        <f ca="1">+TODAY()</f>
        <v>45796</v>
      </c>
    </row>
    <row r="3" spans="2:46" s="2" customFormat="1" ht="10.15" x14ac:dyDescent="0.2">
      <c r="B3" s="2" t="s">
        <v>1</v>
      </c>
    </row>
    <row r="4" spans="2:46" ht="10.15" x14ac:dyDescent="0.2">
      <c r="B4" s="3" t="s">
        <v>2</v>
      </c>
    </row>
    <row r="5" spans="2:46" ht="10.15" x14ac:dyDescent="0.2">
      <c r="D5" s="5"/>
      <c r="E5" s="5"/>
      <c r="F5" s="5"/>
      <c r="G5" s="5"/>
      <c r="H5" s="6" t="s">
        <v>9</v>
      </c>
      <c r="I5" s="7"/>
      <c r="J5" s="7"/>
      <c r="K5" s="7"/>
      <c r="L5" s="7"/>
      <c r="M5" s="7"/>
      <c r="N5" s="7"/>
      <c r="O5" s="7"/>
      <c r="P5" s="7"/>
      <c r="Q5" s="7"/>
      <c r="R5" s="7"/>
      <c r="S5" s="7"/>
      <c r="T5" s="7"/>
      <c r="U5" s="7"/>
      <c r="V5" s="7"/>
      <c r="W5" s="7"/>
      <c r="X5" s="7"/>
      <c r="Y5" s="7"/>
      <c r="Z5" s="7"/>
      <c r="AA5" s="7"/>
      <c r="AB5" s="7"/>
      <c r="AC5" s="7"/>
      <c r="AD5" s="7"/>
      <c r="AE5" s="7"/>
      <c r="AF5" s="7"/>
      <c r="AG5" s="7"/>
      <c r="AH5" s="7"/>
      <c r="AI5" s="7"/>
      <c r="AK5" s="6"/>
      <c r="AL5" s="6" t="s">
        <v>12</v>
      </c>
      <c r="AM5" s="7"/>
      <c r="AN5" s="7"/>
      <c r="AO5" s="7"/>
      <c r="AP5" s="7"/>
      <c r="AQ5" s="7"/>
      <c r="AR5" s="7"/>
      <c r="AS5" s="7"/>
    </row>
    <row r="6" spans="2:46" ht="12" x14ac:dyDescent="0.35">
      <c r="D6" s="4" t="s">
        <v>40</v>
      </c>
      <c r="E6" s="4" t="s">
        <v>41</v>
      </c>
      <c r="F6" s="4" t="s">
        <v>42</v>
      </c>
      <c r="G6" s="4" t="s">
        <v>43</v>
      </c>
      <c r="H6" s="4" t="s">
        <v>57</v>
      </c>
      <c r="I6" s="4" t="s">
        <v>58</v>
      </c>
      <c r="J6" s="4" t="s">
        <v>59</v>
      </c>
      <c r="K6" s="4" t="s">
        <v>60</v>
      </c>
      <c r="L6" s="4" t="s">
        <v>51</v>
      </c>
      <c r="M6" s="4" t="s">
        <v>52</v>
      </c>
      <c r="N6" s="4" t="s">
        <v>53</v>
      </c>
      <c r="O6" s="4" t="s">
        <v>54</v>
      </c>
      <c r="P6" s="4" t="s">
        <v>3</v>
      </c>
      <c r="Q6" s="4" t="s">
        <v>4</v>
      </c>
      <c r="R6" s="4" t="s">
        <v>5</v>
      </c>
      <c r="S6" s="4" t="s">
        <v>6</v>
      </c>
      <c r="T6" s="4" t="s">
        <v>7</v>
      </c>
      <c r="U6" s="4" t="s">
        <v>8</v>
      </c>
      <c r="V6" s="4" t="s">
        <v>232</v>
      </c>
      <c r="W6" s="4" t="s">
        <v>240</v>
      </c>
      <c r="X6" s="4" t="s">
        <v>244</v>
      </c>
      <c r="Y6" s="4" t="s">
        <v>258</v>
      </c>
      <c r="Z6" s="4" t="s">
        <v>270</v>
      </c>
      <c r="AA6" s="4" t="s">
        <v>271</v>
      </c>
      <c r="AB6" s="4" t="s">
        <v>272</v>
      </c>
      <c r="AC6" s="4" t="s">
        <v>301</v>
      </c>
      <c r="AD6" s="4" t="s">
        <v>443</v>
      </c>
      <c r="AE6" s="4" t="s">
        <v>259</v>
      </c>
      <c r="AF6" s="4" t="s">
        <v>299</v>
      </c>
      <c r="AG6" s="4" t="s">
        <v>296</v>
      </c>
      <c r="AH6" s="4" t="s">
        <v>297</v>
      </c>
      <c r="AI6" s="4" t="s">
        <v>298</v>
      </c>
      <c r="AK6" s="4" t="s">
        <v>10</v>
      </c>
      <c r="AL6" s="4" t="s">
        <v>50</v>
      </c>
      <c r="AM6" s="4" t="s">
        <v>56</v>
      </c>
      <c r="AN6" s="4" t="s">
        <v>55</v>
      </c>
      <c r="AO6" s="4" t="s">
        <v>11</v>
      </c>
      <c r="AP6" s="4" t="s">
        <v>241</v>
      </c>
      <c r="AQ6" s="4" t="s">
        <v>302</v>
      </c>
      <c r="AR6" s="4" t="s">
        <v>197</v>
      </c>
      <c r="AS6" s="4" t="s">
        <v>198</v>
      </c>
    </row>
    <row r="7" spans="2:46" s="167" customFormat="1" hidden="1" outlineLevel="1" x14ac:dyDescent="0.2">
      <c r="B7" t="s">
        <v>447</v>
      </c>
      <c r="D7" s="163">
        <v>43101</v>
      </c>
      <c r="E7" s="223">
        <f>+D8+1</f>
        <v>43191</v>
      </c>
      <c r="F7" s="223">
        <f t="shared" ref="F7:AI7" si="0">+E8+1</f>
        <v>43282</v>
      </c>
      <c r="G7" s="223">
        <f t="shared" si="0"/>
        <v>43374</v>
      </c>
      <c r="H7" s="223">
        <f t="shared" si="0"/>
        <v>43466</v>
      </c>
      <c r="I7" s="223">
        <f t="shared" si="0"/>
        <v>43556</v>
      </c>
      <c r="J7" s="223">
        <f t="shared" si="0"/>
        <v>43647</v>
      </c>
      <c r="K7" s="223">
        <f t="shared" si="0"/>
        <v>43739</v>
      </c>
      <c r="L7" s="223">
        <f t="shared" si="0"/>
        <v>43831</v>
      </c>
      <c r="M7" s="223">
        <f t="shared" si="0"/>
        <v>43922</v>
      </c>
      <c r="N7" s="223">
        <f t="shared" si="0"/>
        <v>44013</v>
      </c>
      <c r="O7" s="223">
        <f t="shared" si="0"/>
        <v>44105</v>
      </c>
      <c r="P7" s="223">
        <f t="shared" si="0"/>
        <v>44197</v>
      </c>
      <c r="Q7" s="223">
        <f t="shared" si="0"/>
        <v>44287</v>
      </c>
      <c r="R7" s="223">
        <f t="shared" si="0"/>
        <v>44378</v>
      </c>
      <c r="S7" s="223">
        <f t="shared" si="0"/>
        <v>44470</v>
      </c>
      <c r="T7" s="223">
        <f t="shared" si="0"/>
        <v>44562</v>
      </c>
      <c r="U7" s="223">
        <f t="shared" si="0"/>
        <v>44652</v>
      </c>
      <c r="V7" s="223">
        <f t="shared" si="0"/>
        <v>44743</v>
      </c>
      <c r="W7" s="223">
        <f t="shared" si="0"/>
        <v>44835</v>
      </c>
      <c r="X7" s="223">
        <f t="shared" si="0"/>
        <v>44927</v>
      </c>
      <c r="Y7" s="223">
        <f t="shared" si="0"/>
        <v>45017</v>
      </c>
      <c r="Z7" s="223">
        <f t="shared" si="0"/>
        <v>45108</v>
      </c>
      <c r="AA7" s="223">
        <f t="shared" si="0"/>
        <v>45200</v>
      </c>
      <c r="AB7" s="223">
        <f t="shared" si="0"/>
        <v>45292</v>
      </c>
      <c r="AC7" s="223">
        <f t="shared" si="0"/>
        <v>45383</v>
      </c>
      <c r="AD7" s="223">
        <f t="shared" si="0"/>
        <v>45474</v>
      </c>
      <c r="AE7" s="223">
        <f t="shared" si="0"/>
        <v>45566</v>
      </c>
      <c r="AF7" s="223">
        <f t="shared" si="0"/>
        <v>45658</v>
      </c>
      <c r="AG7" s="223">
        <f t="shared" si="0"/>
        <v>45748</v>
      </c>
      <c r="AH7" s="223">
        <f t="shared" si="0"/>
        <v>45839</v>
      </c>
      <c r="AI7" s="223">
        <f t="shared" si="0"/>
        <v>45931</v>
      </c>
      <c r="AK7" s="168"/>
      <c r="AL7" s="163">
        <v>43101</v>
      </c>
      <c r="AM7" s="223">
        <f>+AL8+1</f>
        <v>43466</v>
      </c>
      <c r="AN7" s="223">
        <f t="shared" ref="AN7:AS7" si="1">+AM8+1</f>
        <v>43831</v>
      </c>
      <c r="AO7" s="223">
        <f t="shared" si="1"/>
        <v>44197</v>
      </c>
      <c r="AP7" s="223">
        <f t="shared" si="1"/>
        <v>44562</v>
      </c>
      <c r="AQ7" s="223">
        <f t="shared" si="1"/>
        <v>44927</v>
      </c>
      <c r="AR7" s="223">
        <f t="shared" si="1"/>
        <v>45292</v>
      </c>
      <c r="AS7" s="223">
        <f t="shared" si="1"/>
        <v>45658</v>
      </c>
    </row>
    <row r="8" spans="2:46" s="167" customFormat="1" hidden="1" outlineLevel="1" x14ac:dyDescent="0.2">
      <c r="B8" t="s">
        <v>448</v>
      </c>
      <c r="D8" s="163">
        <v>43190</v>
      </c>
      <c r="E8" s="163">
        <v>43281</v>
      </c>
      <c r="F8" s="163">
        <v>43373</v>
      </c>
      <c r="G8" s="163">
        <v>43465</v>
      </c>
      <c r="H8" s="163">
        <v>43555</v>
      </c>
      <c r="I8" s="163">
        <v>43646</v>
      </c>
      <c r="J8" s="163">
        <v>43738</v>
      </c>
      <c r="K8" s="163">
        <v>43830</v>
      </c>
      <c r="L8" s="163">
        <v>43921</v>
      </c>
      <c r="M8" s="163">
        <v>44012</v>
      </c>
      <c r="N8" s="163">
        <v>44104</v>
      </c>
      <c r="O8" s="163">
        <v>44196</v>
      </c>
      <c r="P8" s="163">
        <v>44286</v>
      </c>
      <c r="Q8" s="163">
        <v>44377</v>
      </c>
      <c r="R8" s="163">
        <v>44469</v>
      </c>
      <c r="S8" s="163">
        <v>44561</v>
      </c>
      <c r="T8" s="163">
        <v>44651</v>
      </c>
      <c r="U8" s="163">
        <v>44742</v>
      </c>
      <c r="V8" s="163">
        <v>44834</v>
      </c>
      <c r="W8" s="163">
        <v>44926</v>
      </c>
      <c r="X8" s="163">
        <v>45016</v>
      </c>
      <c r="Y8" s="163">
        <v>45107</v>
      </c>
      <c r="Z8" s="163">
        <v>45199</v>
      </c>
      <c r="AA8" s="163">
        <v>45291</v>
      </c>
      <c r="AB8" s="163">
        <v>45382</v>
      </c>
      <c r="AC8" s="163">
        <v>45473</v>
      </c>
      <c r="AD8" s="163">
        <v>45565</v>
      </c>
      <c r="AE8" s="163">
        <v>45657</v>
      </c>
      <c r="AF8" s="163">
        <v>45747</v>
      </c>
      <c r="AG8" s="163">
        <v>45838</v>
      </c>
      <c r="AH8" s="163">
        <v>45930</v>
      </c>
      <c r="AI8" s="163">
        <v>46022</v>
      </c>
      <c r="AK8" s="168"/>
      <c r="AL8" s="163">
        <v>43465</v>
      </c>
      <c r="AM8" s="163">
        <v>43830</v>
      </c>
      <c r="AN8" s="163">
        <v>44196</v>
      </c>
      <c r="AO8" s="163">
        <v>44561</v>
      </c>
      <c r="AP8" s="163">
        <v>44926</v>
      </c>
      <c r="AQ8" s="163">
        <v>45291</v>
      </c>
      <c r="AR8" s="163">
        <v>45657</v>
      </c>
      <c r="AS8" s="163">
        <v>46022</v>
      </c>
    </row>
    <row r="9" spans="2:46" s="167" customFormat="1" hidden="1" outlineLevel="1" x14ac:dyDescent="0.2">
      <c r="B9" t="s">
        <v>449</v>
      </c>
      <c r="D9" s="17">
        <f>+D8-D7+1</f>
        <v>90</v>
      </c>
      <c r="E9" s="17">
        <f>+E8-E7+1</f>
        <v>91</v>
      </c>
      <c r="F9" s="17">
        <f t="shared" ref="F9:AI9" si="2">+F8-F7+1</f>
        <v>92</v>
      </c>
      <c r="G9" s="17">
        <f t="shared" si="2"/>
        <v>92</v>
      </c>
      <c r="H9" s="17">
        <f t="shared" si="2"/>
        <v>90</v>
      </c>
      <c r="I9" s="17">
        <f t="shared" si="2"/>
        <v>91</v>
      </c>
      <c r="J9" s="17">
        <f t="shared" si="2"/>
        <v>92</v>
      </c>
      <c r="K9" s="17">
        <f t="shared" si="2"/>
        <v>92</v>
      </c>
      <c r="L9" s="17">
        <f t="shared" si="2"/>
        <v>91</v>
      </c>
      <c r="M9" s="17">
        <f t="shared" si="2"/>
        <v>91</v>
      </c>
      <c r="N9" s="17">
        <f t="shared" si="2"/>
        <v>92</v>
      </c>
      <c r="O9" s="17">
        <f t="shared" si="2"/>
        <v>92</v>
      </c>
      <c r="P9" s="17">
        <f t="shared" si="2"/>
        <v>90</v>
      </c>
      <c r="Q9" s="17">
        <f t="shared" si="2"/>
        <v>91</v>
      </c>
      <c r="R9" s="17">
        <f t="shared" si="2"/>
        <v>92</v>
      </c>
      <c r="S9" s="17">
        <f t="shared" si="2"/>
        <v>92</v>
      </c>
      <c r="T9" s="17">
        <f t="shared" si="2"/>
        <v>90</v>
      </c>
      <c r="U9" s="17">
        <f t="shared" si="2"/>
        <v>91</v>
      </c>
      <c r="V9" s="17">
        <f t="shared" si="2"/>
        <v>92</v>
      </c>
      <c r="W9" s="17">
        <f t="shared" si="2"/>
        <v>92</v>
      </c>
      <c r="X9" s="17">
        <f t="shared" si="2"/>
        <v>90</v>
      </c>
      <c r="Y9" s="17">
        <f t="shared" si="2"/>
        <v>91</v>
      </c>
      <c r="Z9" s="17">
        <f t="shared" si="2"/>
        <v>92</v>
      </c>
      <c r="AA9" s="17">
        <f t="shared" si="2"/>
        <v>92</v>
      </c>
      <c r="AB9" s="17">
        <f t="shared" si="2"/>
        <v>91</v>
      </c>
      <c r="AC9" s="17">
        <f t="shared" si="2"/>
        <v>91</v>
      </c>
      <c r="AD9" s="17">
        <f t="shared" si="2"/>
        <v>92</v>
      </c>
      <c r="AE9" s="17">
        <f t="shared" si="2"/>
        <v>92</v>
      </c>
      <c r="AF9" s="17">
        <f t="shared" si="2"/>
        <v>90</v>
      </c>
      <c r="AG9" s="17">
        <f t="shared" si="2"/>
        <v>91</v>
      </c>
      <c r="AH9" s="17">
        <f t="shared" si="2"/>
        <v>92</v>
      </c>
      <c r="AI9" s="17">
        <f t="shared" si="2"/>
        <v>92</v>
      </c>
      <c r="AK9" s="168"/>
      <c r="AL9" s="17">
        <f>+AL8-AL7+1</f>
        <v>365</v>
      </c>
      <c r="AM9" s="17">
        <f t="shared" ref="AM9:AS9" si="3">+AM8-AM7+1</f>
        <v>365</v>
      </c>
      <c r="AN9" s="17">
        <f t="shared" si="3"/>
        <v>366</v>
      </c>
      <c r="AO9" s="17">
        <f t="shared" si="3"/>
        <v>365</v>
      </c>
      <c r="AP9" s="17">
        <f t="shared" si="3"/>
        <v>365</v>
      </c>
      <c r="AQ9" s="17">
        <f t="shared" si="3"/>
        <v>365</v>
      </c>
      <c r="AR9" s="17">
        <f t="shared" si="3"/>
        <v>366</v>
      </c>
      <c r="AS9" s="17">
        <f t="shared" si="3"/>
        <v>365</v>
      </c>
      <c r="AT9" s="17"/>
    </row>
    <row r="10" spans="2:46" ht="10.15" collapsed="1" x14ac:dyDescent="0.2">
      <c r="D10" s="19" t="s">
        <v>44</v>
      </c>
      <c r="E10" s="19" t="s">
        <v>44</v>
      </c>
      <c r="F10" s="19" t="s">
        <v>44</v>
      </c>
      <c r="G10" s="19" t="s">
        <v>44</v>
      </c>
      <c r="H10" s="19"/>
      <c r="I10" s="19"/>
      <c r="J10" s="19"/>
      <c r="K10" s="19"/>
      <c r="AK10" s="19" t="s">
        <v>44</v>
      </c>
      <c r="AL10" s="19" t="s">
        <v>44</v>
      </c>
      <c r="AM10" s="19" t="s">
        <v>248</v>
      </c>
      <c r="AN10" s="19"/>
      <c r="AO10" s="19"/>
      <c r="AP10" s="19"/>
      <c r="AQ10" s="19"/>
      <c r="AR10" s="19"/>
      <c r="AS10" s="19"/>
    </row>
    <row r="11" spans="2:46" x14ac:dyDescent="0.2">
      <c r="D11" s="19"/>
      <c r="E11" s="19"/>
      <c r="F11" s="19"/>
      <c r="G11" s="19"/>
      <c r="H11" s="19"/>
      <c r="I11" s="19"/>
      <c r="J11" s="19"/>
      <c r="K11" s="19"/>
      <c r="AK11" s="19"/>
      <c r="AL11" s="19"/>
      <c r="AM11" s="19"/>
      <c r="AN11" s="19"/>
      <c r="AO11" s="19"/>
      <c r="AP11" s="19"/>
      <c r="AQ11" s="19"/>
      <c r="AR11" s="19"/>
      <c r="AS11" s="19"/>
    </row>
    <row r="12" spans="2:46" ht="11.45" x14ac:dyDescent="0.2">
      <c r="B12" s="10" t="s">
        <v>184</v>
      </c>
      <c r="C12" s="9"/>
      <c r="D12" s="19"/>
      <c r="E12" s="19"/>
      <c r="F12" s="19"/>
      <c r="G12" s="19"/>
      <c r="H12" s="19"/>
      <c r="I12" s="19"/>
      <c r="J12" s="19"/>
      <c r="K12" s="19"/>
      <c r="AK12" s="19"/>
      <c r="AL12" s="19"/>
      <c r="AM12" s="19"/>
      <c r="AN12" s="19"/>
      <c r="AO12" s="19"/>
      <c r="AP12" s="19"/>
      <c r="AQ12" s="19"/>
      <c r="AR12" s="19"/>
      <c r="AS12" s="19"/>
    </row>
    <row r="13" spans="2:46" ht="10.15" x14ac:dyDescent="0.2">
      <c r="D13" s="19"/>
      <c r="E13" s="19"/>
      <c r="F13" s="19"/>
      <c r="G13" s="19"/>
      <c r="H13" s="19"/>
      <c r="I13" s="19"/>
      <c r="J13" s="19"/>
      <c r="K13" s="19"/>
      <c r="AK13" s="19"/>
      <c r="AL13" s="19"/>
      <c r="AM13" s="19"/>
      <c r="AN13" s="19"/>
      <c r="AO13" s="19"/>
      <c r="AP13" s="19"/>
      <c r="AQ13" s="19"/>
      <c r="AR13" s="19"/>
      <c r="AS13" s="19"/>
    </row>
    <row r="14" spans="2:46" x14ac:dyDescent="0.2">
      <c r="B14" s="192" t="s">
        <v>135</v>
      </c>
      <c r="D14" s="17">
        <f t="shared" ref="D14:AI14" si="4">+D119</f>
        <v>3346.11159408</v>
      </c>
      <c r="E14" s="17">
        <f t="shared" si="4"/>
        <v>3956.3339773799999</v>
      </c>
      <c r="F14" s="17">
        <f t="shared" si="4"/>
        <v>4395.6702332099994</v>
      </c>
      <c r="G14" s="17">
        <f t="shared" si="4"/>
        <v>4447.0213365499994</v>
      </c>
      <c r="H14" s="17">
        <f t="shared" si="4"/>
        <v>4661.6000000000004</v>
      </c>
      <c r="I14" s="17">
        <f t="shared" si="4"/>
        <v>5501.6</v>
      </c>
      <c r="J14" s="17">
        <f t="shared" si="4"/>
        <v>5901</v>
      </c>
      <c r="K14" s="17">
        <f t="shared" si="4"/>
        <v>6061</v>
      </c>
      <c r="L14" s="17">
        <f t="shared" si="4"/>
        <v>6146.1</v>
      </c>
      <c r="M14" s="17">
        <f t="shared" si="4"/>
        <v>4240</v>
      </c>
      <c r="N14" s="17">
        <f t="shared" si="4"/>
        <v>7090.7</v>
      </c>
      <c r="O14" s="17">
        <f t="shared" si="4"/>
        <v>6807</v>
      </c>
      <c r="P14" s="17">
        <f t="shared" si="4"/>
        <v>7986.8</v>
      </c>
      <c r="Q14" s="17">
        <f t="shared" si="4"/>
        <v>11833.9</v>
      </c>
      <c r="R14" s="17">
        <f t="shared" si="4"/>
        <v>13457.2</v>
      </c>
      <c r="S14" s="17">
        <f t="shared" si="4"/>
        <v>13400</v>
      </c>
      <c r="T14" s="17">
        <f t="shared" si="4"/>
        <v>13420.9</v>
      </c>
      <c r="U14" s="17">
        <f t="shared" si="4"/>
        <v>16873.099999999999</v>
      </c>
      <c r="V14" s="17">
        <f t="shared" si="4"/>
        <v>20597.400000000001</v>
      </c>
      <c r="W14" s="17">
        <f t="shared" si="4"/>
        <v>20696.299999999996</v>
      </c>
      <c r="X14" s="17">
        <f t="shared" si="4"/>
        <v>22256.9</v>
      </c>
      <c r="Y14" s="17">
        <f t="shared" si="4"/>
        <v>26793.5</v>
      </c>
      <c r="Z14" s="17">
        <f t="shared" si="4"/>
        <v>27933</v>
      </c>
      <c r="AA14" s="17">
        <f t="shared" si="4"/>
        <v>32050.600000000006</v>
      </c>
      <c r="AB14" s="17">
        <f t="shared" si="4"/>
        <v>33354.300000000003</v>
      </c>
      <c r="AC14" s="17">
        <f t="shared" si="4"/>
        <v>40081.599999999999</v>
      </c>
      <c r="AD14" s="17">
        <f t="shared" si="4"/>
        <v>43500</v>
      </c>
      <c r="AE14" s="17">
        <f t="shared" si="4"/>
        <v>47927.724354354359</v>
      </c>
      <c r="AF14" s="17">
        <f t="shared" si="4"/>
        <v>47696.649000000005</v>
      </c>
      <c r="AG14" s="17">
        <f t="shared" si="4"/>
        <v>55312.607999999993</v>
      </c>
      <c r="AH14" s="17">
        <f t="shared" si="4"/>
        <v>56550</v>
      </c>
      <c r="AI14" s="17">
        <f t="shared" si="4"/>
        <v>60868.20993003004</v>
      </c>
      <c r="AK14" s="17">
        <f t="shared" ref="AK14:AR14" si="5">+AK119</f>
        <v>16145.1</v>
      </c>
      <c r="AL14" s="17">
        <f t="shared" si="5"/>
        <v>16145.1</v>
      </c>
      <c r="AM14" s="17">
        <f t="shared" si="5"/>
        <v>22125.200000000001</v>
      </c>
      <c r="AN14" s="17">
        <f t="shared" si="5"/>
        <v>24283.8</v>
      </c>
      <c r="AO14" s="17">
        <f t="shared" si="5"/>
        <v>46677.9</v>
      </c>
      <c r="AP14" s="17">
        <f t="shared" si="5"/>
        <v>71587.7</v>
      </c>
      <c r="AQ14" s="17">
        <f t="shared" si="5"/>
        <v>109034</v>
      </c>
      <c r="AR14" s="17">
        <f t="shared" si="5"/>
        <v>164863.62435435434</v>
      </c>
      <c r="AS14" s="17">
        <f>+SUM(AF14:AI14)</f>
        <v>220427.46693003003</v>
      </c>
      <c r="AT14" s="20"/>
    </row>
    <row r="15" spans="2:46" s="3" customFormat="1" ht="10.15" x14ac:dyDescent="0.2">
      <c r="B15" s="24" t="s">
        <v>136</v>
      </c>
      <c r="D15" s="19"/>
      <c r="E15" s="19"/>
      <c r="F15" s="19"/>
      <c r="G15" s="19"/>
      <c r="H15" s="25">
        <f t="shared" ref="H15:AI15" si="6">+H120</f>
        <v>0.3931394303308311</v>
      </c>
      <c r="I15" s="25">
        <f t="shared" si="6"/>
        <v>0.39058027746265256</v>
      </c>
      <c r="J15" s="25">
        <f t="shared" si="6"/>
        <v>0.34245739259896957</v>
      </c>
      <c r="K15" s="25">
        <f t="shared" si="6"/>
        <v>0.36293476943425818</v>
      </c>
      <c r="L15" s="25">
        <f t="shared" si="6"/>
        <v>0.31845289171100055</v>
      </c>
      <c r="M15" s="25">
        <f t="shared" si="6"/>
        <v>-0.22931510833212165</v>
      </c>
      <c r="N15" s="25">
        <f t="shared" si="6"/>
        <v>0.20160989662769024</v>
      </c>
      <c r="O15" s="25">
        <f t="shared" si="6"/>
        <v>0.12308199967002142</v>
      </c>
      <c r="P15" s="25">
        <f t="shared" si="6"/>
        <v>0.29949073396137393</v>
      </c>
      <c r="Q15" s="25">
        <f t="shared" si="6"/>
        <v>1.7910141509433961</v>
      </c>
      <c r="R15" s="25">
        <f t="shared" si="6"/>
        <v>0.89786621913210274</v>
      </c>
      <c r="S15" s="25">
        <f t="shared" si="6"/>
        <v>0.96856177464374915</v>
      </c>
      <c r="T15" s="25">
        <f t="shared" si="6"/>
        <v>0.6803851354735313</v>
      </c>
      <c r="U15" s="25">
        <f t="shared" si="6"/>
        <v>0.42582749558471833</v>
      </c>
      <c r="V15" s="25">
        <f t="shared" si="6"/>
        <v>0.53058585738489428</v>
      </c>
      <c r="W15" s="25">
        <f t="shared" si="6"/>
        <v>0.54449999999999976</v>
      </c>
      <c r="X15" s="25">
        <f t="shared" si="6"/>
        <v>0.6583761148656202</v>
      </c>
      <c r="Y15" s="25">
        <f t="shared" si="6"/>
        <v>0.58794175344186916</v>
      </c>
      <c r="Z15" s="25">
        <f t="shared" si="6"/>
        <v>0.35614203734451921</v>
      </c>
      <c r="AA15" s="25">
        <f t="shared" si="6"/>
        <v>0.54861496982552493</v>
      </c>
      <c r="AB15" s="25">
        <f t="shared" si="6"/>
        <v>0.4986049270113988</v>
      </c>
      <c r="AC15" s="25">
        <f t="shared" si="6"/>
        <v>0.49594491201224167</v>
      </c>
      <c r="AD15" s="25">
        <f t="shared" si="6"/>
        <v>0.55729781978305226</v>
      </c>
      <c r="AE15" s="25">
        <f t="shared" si="6"/>
        <v>0.49537682147461687</v>
      </c>
      <c r="AF15" s="25">
        <f t="shared" si="6"/>
        <v>0.43</v>
      </c>
      <c r="AG15" s="25">
        <f t="shared" si="6"/>
        <v>0.38</v>
      </c>
      <c r="AH15" s="25">
        <f t="shared" si="6"/>
        <v>0.3</v>
      </c>
      <c r="AI15" s="25">
        <f t="shared" si="6"/>
        <v>0.27</v>
      </c>
      <c r="AK15" s="19"/>
      <c r="AL15" s="45"/>
      <c r="AM15" s="25">
        <f t="shared" ref="AM15:AS16" si="7">+AM120</f>
        <v>0.3703972102991</v>
      </c>
      <c r="AN15" s="25">
        <f t="shared" si="7"/>
        <v>9.7562959882848466E-2</v>
      </c>
      <c r="AO15" s="25">
        <f t="shared" si="7"/>
        <v>0.92218268969436434</v>
      </c>
      <c r="AP15" s="25">
        <f t="shared" si="7"/>
        <v>0.5336529706777724</v>
      </c>
      <c r="AQ15" s="25">
        <f t="shared" si="7"/>
        <v>0.52308287596891656</v>
      </c>
      <c r="AR15" s="25">
        <f t="shared" si="7"/>
        <v>0.51203867008781057</v>
      </c>
      <c r="AS15" s="25">
        <f t="shared" si="7"/>
        <v>0.33702912205938129</v>
      </c>
    </row>
    <row r="16" spans="2:46" s="3" customFormat="1" ht="10.15" x14ac:dyDescent="0.2">
      <c r="B16" s="24" t="s">
        <v>445</v>
      </c>
      <c r="D16" s="19"/>
      <c r="E16" s="19"/>
      <c r="F16" s="19"/>
      <c r="G16" s="19"/>
      <c r="H16" s="25">
        <f t="shared" ref="H16:AI16" si="8">+H121</f>
        <v>0.3931394303308311</v>
      </c>
      <c r="I16" s="25">
        <f t="shared" si="8"/>
        <v>0.39058027746265256</v>
      </c>
      <c r="J16" s="25">
        <f t="shared" si="8"/>
        <v>0.34245739259896957</v>
      </c>
      <c r="K16" s="25">
        <f t="shared" si="8"/>
        <v>0.36293476943425818</v>
      </c>
      <c r="L16" s="25">
        <f t="shared" si="8"/>
        <v>0.31845289171100055</v>
      </c>
      <c r="M16" s="25">
        <f t="shared" si="8"/>
        <v>-0.22931510833212165</v>
      </c>
      <c r="N16" s="25">
        <f t="shared" si="8"/>
        <v>0.20160989662769024</v>
      </c>
      <c r="O16" s="25">
        <f t="shared" si="8"/>
        <v>0.12308199967002142</v>
      </c>
      <c r="P16" s="25">
        <f t="shared" si="8"/>
        <v>0.29949073396137393</v>
      </c>
      <c r="Q16" s="25">
        <f t="shared" si="8"/>
        <v>1.7910141509433961</v>
      </c>
      <c r="R16" s="25">
        <f t="shared" si="8"/>
        <v>0.89786621913210274</v>
      </c>
      <c r="S16" s="25">
        <f t="shared" si="8"/>
        <v>0.96856177464374915</v>
      </c>
      <c r="T16" s="25">
        <f t="shared" si="8"/>
        <v>0.6803851354735313</v>
      </c>
      <c r="U16" s="25">
        <f t="shared" si="8"/>
        <v>0.42582749558471833</v>
      </c>
      <c r="V16" s="25">
        <f t="shared" si="8"/>
        <v>0.53058585738489428</v>
      </c>
      <c r="W16" s="25">
        <f t="shared" si="8"/>
        <v>0.54449999999999976</v>
      </c>
      <c r="X16" s="25">
        <f t="shared" si="8"/>
        <v>0.6583761148656202</v>
      </c>
      <c r="Y16" s="25">
        <f t="shared" si="8"/>
        <v>0.58794175344186916</v>
      </c>
      <c r="Z16" s="25">
        <f t="shared" si="8"/>
        <v>0.35614203734451921</v>
      </c>
      <c r="AA16" s="25">
        <f t="shared" si="8"/>
        <v>0.40849330556669605</v>
      </c>
      <c r="AB16" s="25">
        <f t="shared" si="8"/>
        <v>0.34209240804049612</v>
      </c>
      <c r="AC16" s="25">
        <f t="shared" si="8"/>
        <v>0.36593265219237925</v>
      </c>
      <c r="AD16" s="25">
        <f t="shared" si="8"/>
        <v>0.43258928566629129</v>
      </c>
      <c r="AE16" s="25">
        <f t="shared" si="8"/>
        <v>0.45</v>
      </c>
      <c r="AF16" s="25">
        <f t="shared" si="8"/>
        <v>0.43</v>
      </c>
      <c r="AG16" s="25">
        <f t="shared" si="8"/>
        <v>0.38</v>
      </c>
      <c r="AH16" s="25">
        <f t="shared" si="8"/>
        <v>0.3</v>
      </c>
      <c r="AI16" s="25">
        <f t="shared" si="8"/>
        <v>0.27</v>
      </c>
      <c r="AK16" s="19"/>
      <c r="AL16" s="45"/>
      <c r="AM16" s="25">
        <f t="shared" si="7"/>
        <v>0.3703972102991</v>
      </c>
      <c r="AN16" s="25">
        <f t="shared" si="7"/>
        <v>9.7562959882848466E-2</v>
      </c>
      <c r="AO16" s="25">
        <f t="shared" si="7"/>
        <v>0.92218268969436434</v>
      </c>
      <c r="AP16" s="25">
        <f t="shared" si="7"/>
        <v>0.5336529706777724</v>
      </c>
      <c r="AQ16" s="25">
        <f t="shared" si="7"/>
        <v>0.48257312359525462</v>
      </c>
      <c r="AR16" s="25">
        <f t="shared" si="7"/>
        <v>0.40285433488223427</v>
      </c>
      <c r="AS16" s="25">
        <f t="shared" si="7"/>
        <v>0.33702912205938129</v>
      </c>
    </row>
    <row r="17" spans="2:47" s="3" customFormat="1" ht="10.15" x14ac:dyDescent="0.2">
      <c r="B17" s="24" t="s">
        <v>444</v>
      </c>
      <c r="D17" s="19"/>
      <c r="E17" s="25"/>
      <c r="F17" s="25"/>
      <c r="G17" s="25"/>
      <c r="H17" s="25"/>
      <c r="I17" s="25"/>
      <c r="J17" s="25"/>
      <c r="K17" s="25"/>
      <c r="L17" s="25">
        <f t="shared" ref="L17:AI17" si="9">+L123</f>
        <v>0.355281782684435</v>
      </c>
      <c r="M17" s="25">
        <f t="shared" si="9"/>
        <v>3.5229061846600462E-2</v>
      </c>
      <c r="N17" s="25">
        <f t="shared" si="9"/>
        <v>0.270082709412236</v>
      </c>
      <c r="O17" s="25">
        <f t="shared" si="9"/>
        <v>0.23720956441341268</v>
      </c>
      <c r="P17" s="25">
        <f t="shared" si="9"/>
        <v>0.30893747594872689</v>
      </c>
      <c r="Q17" s="25">
        <f t="shared" si="9"/>
        <v>0.46662620955829315</v>
      </c>
      <c r="R17" s="25">
        <f t="shared" si="9"/>
        <v>0.51013073320971491</v>
      </c>
      <c r="S17" s="25">
        <f t="shared" si="9"/>
        <v>0.48689484979297304</v>
      </c>
      <c r="T17" s="25">
        <f t="shared" si="9"/>
        <v>0.47771611381695434</v>
      </c>
      <c r="U17" s="25">
        <f t="shared" si="9"/>
        <v>0.99486959899165628</v>
      </c>
      <c r="V17" s="25">
        <f t="shared" si="9"/>
        <v>0.70436122761934983</v>
      </c>
      <c r="W17" s="25">
        <f t="shared" si="9"/>
        <v>0.74368680127403319</v>
      </c>
      <c r="X17" s="25">
        <f t="shared" si="9"/>
        <v>0.66934435406375448</v>
      </c>
      <c r="Y17" s="25">
        <f t="shared" si="9"/>
        <v>0.50470296518762359</v>
      </c>
      <c r="Z17" s="25">
        <f t="shared" si="9"/>
        <v>0.44072614433300905</v>
      </c>
      <c r="AA17" s="25">
        <f t="shared" si="9"/>
        <v>0.47492979848118932</v>
      </c>
      <c r="AB17" s="25">
        <f t="shared" si="9"/>
        <v>0.49187599800950044</v>
      </c>
      <c r="AC17" s="25">
        <f t="shared" si="9"/>
        <v>0.4727598211541042</v>
      </c>
      <c r="AD17" s="25">
        <f t="shared" si="9"/>
        <v>0.39384165260671322</v>
      </c>
      <c r="AE17" s="25">
        <f t="shared" si="9"/>
        <v>0.42909597056030813</v>
      </c>
      <c r="AF17" s="25">
        <f t="shared" si="9"/>
        <v>0.38534910527921062</v>
      </c>
      <c r="AG17" s="25">
        <f t="shared" si="9"/>
        <v>0.37294830930573752</v>
      </c>
      <c r="AH17" s="25">
        <f t="shared" si="9"/>
        <v>0.36468533785857704</v>
      </c>
      <c r="AI17" s="25">
        <f t="shared" si="9"/>
        <v>0.3570187913216234</v>
      </c>
      <c r="AK17" s="19"/>
      <c r="AL17" s="45"/>
      <c r="AM17" s="25"/>
      <c r="AN17" s="25">
        <f t="shared" ref="AN17:AS17" si="10">+AN123</f>
        <v>0.22641641311223437</v>
      </c>
      <c r="AO17" s="25">
        <f t="shared" si="10"/>
        <v>0.45248632431996461</v>
      </c>
      <c r="AP17" s="25">
        <f t="shared" si="10"/>
        <v>0.7169627812608963</v>
      </c>
      <c r="AQ17" s="25">
        <f t="shared" si="10"/>
        <v>0.50789677207986839</v>
      </c>
      <c r="AR17" s="25">
        <f t="shared" si="10"/>
        <v>0.44216300507796169</v>
      </c>
      <c r="AS17" s="25">
        <f t="shared" si="10"/>
        <v>0.36954631164659446</v>
      </c>
    </row>
    <row r="18" spans="2:47" s="3" customFormat="1" x14ac:dyDescent="0.2">
      <c r="B18" s="28"/>
      <c r="D18" s="19"/>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K18" s="19"/>
      <c r="AL18" s="45"/>
      <c r="AM18" s="25"/>
      <c r="AN18" s="25"/>
      <c r="AO18" s="25"/>
      <c r="AP18" s="25"/>
      <c r="AQ18" s="25"/>
      <c r="AR18" s="25"/>
      <c r="AS18" s="25"/>
    </row>
    <row r="19" spans="2:47" s="1" customFormat="1" ht="10.15" x14ac:dyDescent="0.2">
      <c r="B19" s="1" t="s">
        <v>76</v>
      </c>
      <c r="D19" s="32">
        <f t="shared" ref="D19:G19" si="11">+D177</f>
        <v>57.199999999999996</v>
      </c>
      <c r="E19" s="32">
        <f t="shared" si="11"/>
        <v>63.5</v>
      </c>
      <c r="F19" s="32">
        <f t="shared" si="11"/>
        <v>65.5</v>
      </c>
      <c r="G19" s="32">
        <f t="shared" si="11"/>
        <v>66.500000000000014</v>
      </c>
      <c r="H19" s="32">
        <f>+H177</f>
        <v>66.3</v>
      </c>
      <c r="I19" s="32">
        <f t="shared" ref="I19:U19" si="12">+I177</f>
        <v>75.3</v>
      </c>
      <c r="J19" s="32">
        <f t="shared" si="12"/>
        <v>79.700000000000017</v>
      </c>
      <c r="K19" s="32">
        <f t="shared" si="12"/>
        <v>84.199999999999989</v>
      </c>
      <c r="L19" s="32">
        <f t="shared" si="12"/>
        <v>79.100000000000009</v>
      </c>
      <c r="M19" s="32">
        <f t="shared" si="12"/>
        <v>67.400000000000006</v>
      </c>
      <c r="N19" s="32">
        <f t="shared" si="12"/>
        <v>87.7</v>
      </c>
      <c r="O19" s="32">
        <f t="shared" si="12"/>
        <v>88.799999999999983</v>
      </c>
      <c r="P19" s="32">
        <f t="shared" si="12"/>
        <v>97.5</v>
      </c>
      <c r="Q19" s="32">
        <f t="shared" si="12"/>
        <v>136.30000000000001</v>
      </c>
      <c r="R19" s="32">
        <f t="shared" si="12"/>
        <v>148.30000000000001</v>
      </c>
      <c r="S19" s="32">
        <f t="shared" si="12"/>
        <v>146.89999999999998</v>
      </c>
      <c r="T19" s="32">
        <f t="shared" si="12"/>
        <v>148.79999999999998</v>
      </c>
      <c r="U19" s="32">
        <f t="shared" si="12"/>
        <v>182.59999999999994</v>
      </c>
      <c r="V19" s="32">
        <f t="shared" ref="V19:W19" si="13">+V177</f>
        <v>196.69999999999996</v>
      </c>
      <c r="W19" s="32">
        <f t="shared" si="13"/>
        <v>199.4</v>
      </c>
      <c r="X19" s="32">
        <f t="shared" ref="X19" si="14">+X177</f>
        <v>200.00000000000003</v>
      </c>
      <c r="Y19" s="32">
        <f t="shared" ref="Y19:AC19" si="15">+Y177</f>
        <v>228.10000000000005</v>
      </c>
      <c r="Z19" s="32">
        <f t="shared" si="15"/>
        <v>243.00000000000006</v>
      </c>
      <c r="AA19" s="32">
        <f t="shared" si="15"/>
        <v>269.29999999999995</v>
      </c>
      <c r="AB19" s="32">
        <f t="shared" si="15"/>
        <v>263.69999999999993</v>
      </c>
      <c r="AC19" s="32">
        <f t="shared" si="15"/>
        <v>320.60000000000002</v>
      </c>
      <c r="AD19" s="32">
        <f t="shared" ref="AD19" si="16">+AD177</f>
        <v>365.1</v>
      </c>
      <c r="AE19" s="32">
        <f>+AE177</f>
        <v>400.59501112547935</v>
      </c>
      <c r="AF19" s="32">
        <f t="shared" ref="AF19:AI19" si="17">+AF177</f>
        <v>379.81623086666661</v>
      </c>
      <c r="AG19" s="32">
        <f t="shared" si="17"/>
        <v>439.11884862222223</v>
      </c>
      <c r="AH19" s="32">
        <f t="shared" si="17"/>
        <v>442.27200000000011</v>
      </c>
      <c r="AI19" s="32">
        <f t="shared" si="17"/>
        <v>468.02044275501748</v>
      </c>
      <c r="AK19" s="32">
        <f t="shared" ref="AK19:AO19" si="18">+AK177</f>
        <v>252.7</v>
      </c>
      <c r="AL19" s="32">
        <f t="shared" si="18"/>
        <v>252.7</v>
      </c>
      <c r="AM19" s="32">
        <f t="shared" si="18"/>
        <v>305.5</v>
      </c>
      <c r="AN19" s="32">
        <f t="shared" si="18"/>
        <v>323</v>
      </c>
      <c r="AO19" s="32">
        <f t="shared" si="18"/>
        <v>529</v>
      </c>
      <c r="AP19" s="32">
        <f t="shared" ref="AP19:AQ19" si="19">+AP177</f>
        <v>727.49999999999989</v>
      </c>
      <c r="AQ19" s="32">
        <f t="shared" si="19"/>
        <v>940.40000000000009</v>
      </c>
      <c r="AR19" s="32">
        <f t="shared" ref="AR19" si="20">+AR177</f>
        <v>1349.9950111254793</v>
      </c>
      <c r="AS19" s="32">
        <f>+SUM(AF19:AI19)</f>
        <v>1729.2275222439064</v>
      </c>
      <c r="AT19" s="57"/>
      <c r="AU19" s="57"/>
    </row>
    <row r="20" spans="2:47" ht="10.15" x14ac:dyDescent="0.2">
      <c r="B20" s="24" t="s">
        <v>136</v>
      </c>
      <c r="D20" s="19"/>
      <c r="E20" s="19"/>
      <c r="F20" s="19"/>
      <c r="G20" s="19"/>
      <c r="H20" s="25">
        <f>+IFERROR(H19/D19-1,"n/a")</f>
        <v>0.15909090909090917</v>
      </c>
      <c r="I20" s="25">
        <f t="shared" ref="I20" si="21">+IFERROR(I19/E19-1,"n/a")</f>
        <v>0.18582677165354333</v>
      </c>
      <c r="J20" s="25">
        <f t="shared" ref="J20" si="22">+IFERROR(J19/F19-1,"n/a")</f>
        <v>0.21679389312977126</v>
      </c>
      <c r="K20" s="25">
        <f t="shared" ref="K20" si="23">+IFERROR(K19/G19-1,"n/a")</f>
        <v>0.26616541353383405</v>
      </c>
      <c r="L20" s="25">
        <f t="shared" ref="L20" si="24">+IFERROR(L19/H19-1,"n/a")</f>
        <v>0.19306184012066385</v>
      </c>
      <c r="M20" s="25">
        <f t="shared" ref="M20" si="25">+IFERROR(M19/I19-1,"n/a")</f>
        <v>-0.10491367861885781</v>
      </c>
      <c r="N20" s="25">
        <f t="shared" ref="N20" si="26">+IFERROR(N19/J19-1,"n/a")</f>
        <v>0.10037641154328703</v>
      </c>
      <c r="O20" s="25">
        <f t="shared" ref="O20" si="27">+IFERROR(O19/K19-1,"n/a")</f>
        <v>5.4631828978622288E-2</v>
      </c>
      <c r="P20" s="25">
        <f t="shared" ref="P20" si="28">+IFERROR(P19/L19-1,"n/a")</f>
        <v>0.23261694058154214</v>
      </c>
      <c r="Q20" s="25">
        <f t="shared" ref="Q20" si="29">+IFERROR(Q19/M19-1,"n/a")</f>
        <v>1.0222551928783381</v>
      </c>
      <c r="R20" s="25">
        <f t="shared" ref="R20" si="30">+IFERROR(R19/N19-1,"n/a")</f>
        <v>0.69099201824401368</v>
      </c>
      <c r="S20" s="25">
        <f t="shared" ref="S20" si="31">+IFERROR(S19/O19-1,"n/a")</f>
        <v>0.65427927927927931</v>
      </c>
      <c r="T20" s="25">
        <f t="shared" ref="T20" si="32">+IFERROR(T19/P19-1,"n/a")</f>
        <v>0.52615384615384597</v>
      </c>
      <c r="U20" s="25">
        <f t="shared" ref="U20:X20" si="33">+IFERROR(U19/Q19-1,"n/a")</f>
        <v>0.33969185619955922</v>
      </c>
      <c r="V20" s="25">
        <f t="shared" si="33"/>
        <v>0.3263654753877272</v>
      </c>
      <c r="W20" s="25">
        <f t="shared" si="33"/>
        <v>0.35738597685500362</v>
      </c>
      <c r="X20" s="25">
        <f t="shared" si="33"/>
        <v>0.3440860215053767</v>
      </c>
      <c r="Y20" s="25">
        <f t="shared" ref="Y20" si="34">+IFERROR(Y19/U19-1,"n/a")</f>
        <v>0.24917853231106313</v>
      </c>
      <c r="Z20" s="25">
        <f t="shared" ref="Z20" si="35">+IFERROR(Z19/V19-1,"n/a")</f>
        <v>0.23538383324860246</v>
      </c>
      <c r="AA20" s="25">
        <f t="shared" ref="AA20" si="36">+IFERROR(AA19/W19-1,"n/a")</f>
        <v>0.35055165496489438</v>
      </c>
      <c r="AB20" s="25">
        <f t="shared" ref="AB20" si="37">+IFERROR(AB19/X19-1,"n/a")</f>
        <v>0.31849999999999956</v>
      </c>
      <c r="AC20" s="25">
        <f t="shared" ref="AC20:AD20" si="38">+IFERROR(AC19/Y19-1,"n/a")</f>
        <v>0.40552389302937297</v>
      </c>
      <c r="AD20" s="25">
        <f t="shared" si="38"/>
        <v>0.50246913580246888</v>
      </c>
      <c r="AE20" s="25">
        <f t="shared" ref="AE20" si="39">+IFERROR(AE19/AA19-1,"n/a")</f>
        <v>0.48754181628473603</v>
      </c>
      <c r="AF20" s="25">
        <f t="shared" ref="AF20" si="40">+IFERROR(AF19/AB19-1,"n/a")</f>
        <v>0.44033458804196712</v>
      </c>
      <c r="AG20" s="25">
        <f t="shared" ref="AG20" si="41">+IFERROR(AG19/AC19-1,"n/a")</f>
        <v>0.36967825521591458</v>
      </c>
      <c r="AH20" s="25">
        <f t="shared" ref="AH20" si="42">+IFERROR(AH19/AD19-1,"n/a")</f>
        <v>0.21137222678718182</v>
      </c>
      <c r="AI20" s="25">
        <f t="shared" ref="AI20" si="43">+IFERROR(AI19/AE19-1,"n/a")</f>
        <v>0.16831320849479647</v>
      </c>
      <c r="AK20" s="19"/>
      <c r="AL20" s="14"/>
      <c r="AM20" s="25">
        <f>+IFERROR(AM19/AL19-1,"n/a")</f>
        <v>0.20894341115947768</v>
      </c>
      <c r="AN20" s="25">
        <f t="shared" ref="AN20" si="44">+IFERROR(AN19/AM19-1,"n/a")</f>
        <v>5.7283142389525477E-2</v>
      </c>
      <c r="AO20" s="25">
        <f t="shared" ref="AO20" si="45">+IFERROR(AO19/AN19-1,"n/a")</f>
        <v>0.63777089783281737</v>
      </c>
      <c r="AP20" s="25">
        <f t="shared" ref="AP20" si="46">+IFERROR(AP19/AO19-1,"n/a")</f>
        <v>0.37523629489602994</v>
      </c>
      <c r="AQ20" s="25">
        <f t="shared" ref="AQ20" si="47">+IFERROR(AQ19/AP19-1,"n/a")</f>
        <v>0.29264604810996597</v>
      </c>
      <c r="AR20" s="25">
        <f t="shared" ref="AR20:AS20" si="48">+IFERROR(AR19/AQ19-1,"n/a")</f>
        <v>0.43555403139672388</v>
      </c>
      <c r="AS20" s="25">
        <f t="shared" si="48"/>
        <v>0.28091400930605226</v>
      </c>
      <c r="AU20" s="25"/>
    </row>
    <row r="21" spans="2:47" ht="10.15" x14ac:dyDescent="0.2">
      <c r="B21" s="24" t="s">
        <v>445</v>
      </c>
      <c r="D21" s="19"/>
      <c r="E21" s="19"/>
      <c r="F21" s="19"/>
      <c r="G21" s="19"/>
      <c r="H21" s="25">
        <f t="shared" ref="H21:K21" si="49">+H189</f>
        <v>0.15909090909090909</v>
      </c>
      <c r="I21" s="25">
        <f t="shared" si="49"/>
        <v>0.18582677165354325</v>
      </c>
      <c r="J21" s="25">
        <f t="shared" si="49"/>
        <v>0.17608142493638698</v>
      </c>
      <c r="K21" s="25">
        <f t="shared" si="49"/>
        <v>0.23408521303258098</v>
      </c>
      <c r="L21" s="25">
        <f t="shared" ref="L21:U21" si="50">+L189</f>
        <v>0.13725490196078455</v>
      </c>
      <c r="M21" s="25">
        <f t="shared" si="50"/>
        <v>-0.15405046480743673</v>
      </c>
      <c r="N21" s="25">
        <f t="shared" si="50"/>
        <v>6.9427017984106845E-2</v>
      </c>
      <c r="O21" s="25">
        <f t="shared" si="50"/>
        <v>3.4837688044338871E-2</v>
      </c>
      <c r="P21" s="25">
        <f t="shared" si="50"/>
        <v>0.17193426042983551</v>
      </c>
      <c r="Q21" s="25">
        <f t="shared" si="50"/>
        <v>0.93471810089020746</v>
      </c>
      <c r="R21" s="25">
        <f t="shared" si="50"/>
        <v>0.57468643101482331</v>
      </c>
      <c r="S21" s="25">
        <f t="shared" si="50"/>
        <v>0.552927927927928</v>
      </c>
      <c r="T21" s="25">
        <f t="shared" si="50"/>
        <v>0.46461538461538449</v>
      </c>
      <c r="U21" s="25">
        <f t="shared" si="50"/>
        <v>0.30741012472487117</v>
      </c>
      <c r="V21" s="25">
        <f t="shared" ref="V21:W21" si="51">+V189</f>
        <v>0.29467296021577849</v>
      </c>
      <c r="W21" s="25">
        <f t="shared" si="51"/>
        <v>0.31790333560245088</v>
      </c>
      <c r="X21" s="25">
        <f t="shared" ref="X21" si="52">+X189</f>
        <v>0.31854838709677447</v>
      </c>
      <c r="Y21" s="25">
        <f t="shared" ref="Y21:AC21" si="53">+Y189</f>
        <v>0.22836801752464478</v>
      </c>
      <c r="Z21" s="25">
        <f t="shared" si="53"/>
        <v>0.22369089984748391</v>
      </c>
      <c r="AA21" s="25">
        <f t="shared" si="53"/>
        <v>0.22149782681377425</v>
      </c>
      <c r="AB21" s="25">
        <f t="shared" si="53"/>
        <v>0.17393843843843806</v>
      </c>
      <c r="AC21" s="25">
        <f t="shared" si="53"/>
        <v>0.25945086910672177</v>
      </c>
      <c r="AD21" s="25">
        <f t="shared" ref="AD21" si="54">+AD189</f>
        <v>0.25667086839926329</v>
      </c>
      <c r="AE21" s="25">
        <f>+AE189</f>
        <v>0.31472908953587875</v>
      </c>
      <c r="AF21" s="25">
        <f t="shared" ref="AF21:AI21" si="55">+AF189</f>
        <v>0.26327100568828221</v>
      </c>
      <c r="AG21" s="25">
        <f t="shared" si="55"/>
        <v>0.24051505427323741</v>
      </c>
      <c r="AH21" s="25">
        <f t="shared" si="55"/>
        <v>0.17028759244042754</v>
      </c>
      <c r="AI21" s="25">
        <f t="shared" si="55"/>
        <v>0.14815089280786176</v>
      </c>
      <c r="AK21" s="19"/>
      <c r="AL21" s="14"/>
      <c r="AM21" s="25">
        <f>+AM189</f>
        <v>0.1899485555995252</v>
      </c>
      <c r="AN21" s="25">
        <f>+AN189</f>
        <v>1.9530823786143056E-2</v>
      </c>
      <c r="AO21" s="25">
        <f>+AO189</f>
        <v>0.54520123839009271</v>
      </c>
      <c r="AP21" s="25">
        <f t="shared" ref="AP21:AQ21" si="56">+AP189</f>
        <v>0.33572778827977295</v>
      </c>
      <c r="AQ21" s="25">
        <f t="shared" si="56"/>
        <v>0.24366552119129478</v>
      </c>
      <c r="AR21" s="25">
        <f t="shared" ref="AR21:AS21" si="57">+AR189</f>
        <v>0.25637600570391739</v>
      </c>
      <c r="AS21" s="25">
        <f t="shared" si="57"/>
        <v>0.19855939980781159</v>
      </c>
    </row>
    <row r="22" spans="2:47" ht="10.15" x14ac:dyDescent="0.2">
      <c r="B22" s="24" t="s">
        <v>444</v>
      </c>
      <c r="D22" s="19"/>
      <c r="E22" s="19"/>
      <c r="F22" s="19"/>
      <c r="G22" s="19"/>
      <c r="H22" s="25"/>
      <c r="I22" s="25"/>
      <c r="J22" s="25"/>
      <c r="K22" s="25"/>
      <c r="L22" s="25">
        <f>+((1+L21)*(1+H21))^0.5-1</f>
        <v>0.14812099457409911</v>
      </c>
      <c r="M22" s="25">
        <f t="shared" ref="M22:X22" si="58">+((1+M21)*(1+I21))^0.5-1</f>
        <v>1.5735650960506664E-3</v>
      </c>
      <c r="N22" s="25">
        <f t="shared" si="58"/>
        <v>0.12148707133707948</v>
      </c>
      <c r="O22" s="25">
        <f t="shared" si="58"/>
        <v>0.1300787090748774</v>
      </c>
      <c r="P22" s="25">
        <f t="shared" si="58"/>
        <v>0.15446437036818828</v>
      </c>
      <c r="Q22" s="25">
        <f t="shared" si="58"/>
        <v>0.279325555977332</v>
      </c>
      <c r="R22" s="25">
        <f t="shared" si="58"/>
        <v>0.29769496191524847</v>
      </c>
      <c r="S22" s="25">
        <f t="shared" si="58"/>
        <v>0.26768621773545465</v>
      </c>
      <c r="T22" s="25">
        <f t="shared" si="58"/>
        <v>0.31012707306710885</v>
      </c>
      <c r="U22" s="25">
        <f t="shared" si="58"/>
        <v>0.59043076982065856</v>
      </c>
      <c r="V22" s="25">
        <f t="shared" si="58"/>
        <v>0.42783190294011164</v>
      </c>
      <c r="W22" s="25">
        <f t="shared" si="58"/>
        <v>0.43059739136013353</v>
      </c>
      <c r="X22" s="25">
        <f t="shared" si="58"/>
        <v>0.38966407922984647</v>
      </c>
      <c r="Y22" s="25">
        <f t="shared" ref="Y22" si="59">+((1+Y21)*(1+U21))^0.5-1</f>
        <v>0.26727297098925717</v>
      </c>
      <c r="Z22" s="25">
        <f t="shared" ref="Z22" si="60">+((1+Z21)*(1+V21))^0.5-1</f>
        <v>0.25868165939392784</v>
      </c>
      <c r="AA22" s="25">
        <f t="shared" ref="AA22" si="61">+((1+AA21)*(1+W21))^0.5-1</f>
        <v>0.26878526961382154</v>
      </c>
      <c r="AB22" s="25">
        <f t="shared" ref="AB22" si="62">+((1+AB21)*(1+X21))^0.5-1</f>
        <v>0.24414413737071028</v>
      </c>
      <c r="AC22" s="25">
        <f t="shared" ref="AC22:AD22" si="63">+((1+AC21)*(1+Y21))^0.5-1</f>
        <v>0.24381235210714758</v>
      </c>
      <c r="AD22" s="25">
        <f t="shared" si="63"/>
        <v>0.24007125027702081</v>
      </c>
      <c r="AE22" s="25">
        <f t="shared" ref="AE22" si="64">+((1+AE21)*(1+AA21))^0.5-1</f>
        <v>0.26725637726425666</v>
      </c>
      <c r="AF22" s="25">
        <f t="shared" ref="AF22" si="65">+((1+AF21)*(1+AB21))^0.5-1</f>
        <v>0.21778585627451652</v>
      </c>
      <c r="AG22" s="25">
        <f t="shared" ref="AG22" si="66">+((1+AG21)*(1+AC21))^0.5-1</f>
        <v>0.24994710417857324</v>
      </c>
      <c r="AH22" s="25">
        <f t="shared" ref="AH22" si="67">+((1+AH21)*(1+AD21))^0.5-1</f>
        <v>0.21271032199325957</v>
      </c>
      <c r="AI22" s="25">
        <f t="shared" ref="AI22" si="68">+((1+AI21)*(1+AE21))^0.5-1</f>
        <v>0.22862011132452431</v>
      </c>
      <c r="AJ22" s="3"/>
      <c r="AK22" s="19"/>
      <c r="AL22" s="45"/>
      <c r="AM22" s="25"/>
      <c r="AN22" s="25">
        <f>+((1+AN21)*(1+AM21))^0.5-1</f>
        <v>0.10144869655990574</v>
      </c>
      <c r="AO22" s="25">
        <f t="shared" ref="AO22:AS22" si="69">+((1+AO21)*(1+AN21))^0.5-1</f>
        <v>0.25514154241313336</v>
      </c>
      <c r="AP22" s="25">
        <f t="shared" ref="AP22" si="70">+((1+AP21)*(1+AO21))^0.5-1</f>
        <v>0.43665174367414616</v>
      </c>
      <c r="AQ22" s="25">
        <f t="shared" ref="AQ22" si="71">+((1+AQ21)*(1+AP21))^0.5-1</f>
        <v>0.28887493418898447</v>
      </c>
      <c r="AR22" s="25">
        <f t="shared" si="69"/>
        <v>0.25000460796990631</v>
      </c>
      <c r="AS22" s="25">
        <f t="shared" si="69"/>
        <v>0.22712724333274537</v>
      </c>
    </row>
    <row r="23" spans="2:47" x14ac:dyDescent="0.2">
      <c r="B23" s="24" t="s">
        <v>446</v>
      </c>
      <c r="D23" s="36">
        <f>+IFERROR(D19/D14,"n/a")</f>
        <v>1.7094468726386546E-2</v>
      </c>
      <c r="E23" s="36">
        <f t="shared" ref="E23:AI23" si="72">+IFERROR(E19/E14,"n/a")</f>
        <v>1.6050212232601141E-2</v>
      </c>
      <c r="F23" s="36">
        <f t="shared" si="72"/>
        <v>1.4901026811596763E-2</v>
      </c>
      <c r="G23" s="36">
        <f t="shared" si="72"/>
        <v>1.4953829758683087E-2</v>
      </c>
      <c r="H23" s="36">
        <f t="shared" si="72"/>
        <v>1.4222584520336364E-2</v>
      </c>
      <c r="I23" s="36">
        <f t="shared" si="72"/>
        <v>1.3686927439290387E-2</v>
      </c>
      <c r="J23" s="36">
        <f t="shared" si="72"/>
        <v>1.3506185392306391E-2</v>
      </c>
      <c r="K23" s="36">
        <f t="shared" si="72"/>
        <v>1.3892097013694107E-2</v>
      </c>
      <c r="L23" s="36">
        <f t="shared" si="72"/>
        <v>1.2869950049624965E-2</v>
      </c>
      <c r="M23" s="36">
        <f t="shared" si="72"/>
        <v>1.589622641509434E-2</v>
      </c>
      <c r="N23" s="36">
        <f t="shared" si="72"/>
        <v>1.2368313424626624E-2</v>
      </c>
      <c r="O23" s="36">
        <f t="shared" si="72"/>
        <v>1.3045394446892901E-2</v>
      </c>
      <c r="P23" s="36">
        <f t="shared" si="72"/>
        <v>1.2207642610307006E-2</v>
      </c>
      <c r="Q23" s="36">
        <f t="shared" si="72"/>
        <v>1.1517758304531897E-2</v>
      </c>
      <c r="R23" s="36">
        <f t="shared" si="72"/>
        <v>1.1020123056802307E-2</v>
      </c>
      <c r="S23" s="36">
        <f t="shared" si="72"/>
        <v>1.0962686567164178E-2</v>
      </c>
      <c r="T23" s="36">
        <f t="shared" si="72"/>
        <v>1.1087184913083324E-2</v>
      </c>
      <c r="U23" s="36">
        <f t="shared" si="72"/>
        <v>1.0821959213185482E-2</v>
      </c>
      <c r="V23" s="36">
        <f t="shared" si="72"/>
        <v>9.5497489974462769E-3</v>
      </c>
      <c r="W23" s="36">
        <f t="shared" si="72"/>
        <v>9.6345723631760284E-3</v>
      </c>
      <c r="X23" s="36">
        <f t="shared" si="72"/>
        <v>8.9859773822949292E-3</v>
      </c>
      <c r="Y23" s="36">
        <f t="shared" si="72"/>
        <v>8.5132588127717554E-3</v>
      </c>
      <c r="Z23" s="36">
        <f t="shared" si="72"/>
        <v>8.6993878208570536E-3</v>
      </c>
      <c r="AA23" s="36">
        <f t="shared" si="72"/>
        <v>8.402338801769698E-3</v>
      </c>
      <c r="AB23" s="36">
        <f t="shared" si="72"/>
        <v>7.9060271089484695E-3</v>
      </c>
      <c r="AC23" s="36">
        <f t="shared" si="72"/>
        <v>7.9986826873178728E-3</v>
      </c>
      <c r="AD23" s="36">
        <f t="shared" si="72"/>
        <v>8.3931034482758633E-3</v>
      </c>
      <c r="AE23" s="36">
        <f t="shared" si="72"/>
        <v>8.3583148693577441E-3</v>
      </c>
      <c r="AF23" s="36">
        <f t="shared" si="72"/>
        <v>7.9631638454656754E-3</v>
      </c>
      <c r="AG23" s="36">
        <f t="shared" si="72"/>
        <v>7.9388563385444106E-3</v>
      </c>
      <c r="AH23" s="36">
        <f t="shared" si="72"/>
        <v>7.8209018567639271E-3</v>
      </c>
      <c r="AI23" s="36">
        <f t="shared" si="72"/>
        <v>7.6890784745111121E-3</v>
      </c>
      <c r="AK23" s="19"/>
      <c r="AL23" s="36">
        <f t="shared" ref="AL23:AS23" si="73">+IFERROR(AL19/AL14,"n/a")</f>
        <v>1.5651807669199942E-2</v>
      </c>
      <c r="AM23" s="36">
        <f t="shared" si="73"/>
        <v>1.3807784788386093E-2</v>
      </c>
      <c r="AN23" s="36">
        <f t="shared" si="73"/>
        <v>1.3301048435582569E-2</v>
      </c>
      <c r="AO23" s="36">
        <f t="shared" si="73"/>
        <v>1.1332986274018325E-2</v>
      </c>
      <c r="AP23" s="36">
        <f t="shared" si="73"/>
        <v>1.0162360293737609E-2</v>
      </c>
      <c r="AQ23" s="36">
        <f t="shared" si="73"/>
        <v>8.624832621017299E-3</v>
      </c>
      <c r="AR23" s="36">
        <f t="shared" si="73"/>
        <v>8.1885559438134702E-3</v>
      </c>
      <c r="AS23" s="36">
        <f t="shared" si="73"/>
        <v>7.8448822477863549E-3</v>
      </c>
    </row>
    <row r="24" spans="2:47" ht="10.15" x14ac:dyDescent="0.2">
      <c r="B24" s="24"/>
      <c r="D24" s="19"/>
      <c r="E24" s="25"/>
      <c r="F24" s="25"/>
      <c r="G24" s="25"/>
      <c r="H24" s="25"/>
      <c r="I24" s="25"/>
      <c r="J24" s="25"/>
      <c r="K24" s="25"/>
      <c r="L24" s="25"/>
      <c r="M24" s="25"/>
      <c r="N24" s="25"/>
      <c r="O24" s="25"/>
      <c r="P24" s="25"/>
      <c r="Q24" s="25"/>
      <c r="R24" s="25"/>
      <c r="S24" s="25"/>
      <c r="T24" s="25"/>
      <c r="U24" s="25"/>
      <c r="AK24" s="19"/>
      <c r="AL24" s="14"/>
      <c r="AM24" s="25"/>
      <c r="AN24" s="25"/>
      <c r="AO24" s="25"/>
      <c r="AP24" s="25"/>
      <c r="AQ24" s="25"/>
      <c r="AR24" s="19"/>
      <c r="AS24" s="19"/>
    </row>
    <row r="25" spans="2:47" ht="10.15" x14ac:dyDescent="0.2">
      <c r="B25" t="s">
        <v>145</v>
      </c>
      <c r="D25" s="29">
        <f t="shared" ref="D25:AD25" si="74">+D348+D354</f>
        <v>34.099999999999994</v>
      </c>
      <c r="E25" s="29">
        <f t="shared" si="74"/>
        <v>38.200000000000003</v>
      </c>
      <c r="F25" s="29">
        <f t="shared" si="74"/>
        <v>38.9</v>
      </c>
      <c r="G25" s="29">
        <f t="shared" si="74"/>
        <v>39.200000000000017</v>
      </c>
      <c r="H25" s="29">
        <f t="shared" si="74"/>
        <v>37.299999999999997</v>
      </c>
      <c r="I25" s="29">
        <f t="shared" si="74"/>
        <v>42.199999999999996</v>
      </c>
      <c r="J25" s="29">
        <f t="shared" si="74"/>
        <v>45.300000000000018</v>
      </c>
      <c r="K25" s="29">
        <f t="shared" si="74"/>
        <v>48.599999999999987</v>
      </c>
      <c r="L25" s="29">
        <f t="shared" si="74"/>
        <v>43.400000000000006</v>
      </c>
      <c r="M25" s="29">
        <f t="shared" si="74"/>
        <v>31.600000000000009</v>
      </c>
      <c r="N25" s="29">
        <f t="shared" si="74"/>
        <v>45.800000000000011</v>
      </c>
      <c r="O25" s="29">
        <f t="shared" si="74"/>
        <v>47.199999999999982</v>
      </c>
      <c r="P25" s="29">
        <f t="shared" si="74"/>
        <v>47.3</v>
      </c>
      <c r="Q25" s="29">
        <f t="shared" si="74"/>
        <v>73.000000000000014</v>
      </c>
      <c r="R25" s="29">
        <f t="shared" si="74"/>
        <v>81</v>
      </c>
      <c r="S25" s="29">
        <f t="shared" si="74"/>
        <v>78.599999999999994</v>
      </c>
      <c r="T25" s="29">
        <f t="shared" si="74"/>
        <v>77.59999999999998</v>
      </c>
      <c r="U25" s="29">
        <f t="shared" si="74"/>
        <v>98.399999999999963</v>
      </c>
      <c r="V25" s="29">
        <f t="shared" si="74"/>
        <v>127.49999999999993</v>
      </c>
      <c r="W25" s="29">
        <f t="shared" si="74"/>
        <v>138.30000000000001</v>
      </c>
      <c r="X25" s="29">
        <f t="shared" si="74"/>
        <v>138.20000000000002</v>
      </c>
      <c r="Y25" s="29">
        <f t="shared" si="74"/>
        <v>158.70000000000005</v>
      </c>
      <c r="Z25" s="29">
        <f t="shared" si="74"/>
        <v>171</v>
      </c>
      <c r="AA25" s="29">
        <f t="shared" si="74"/>
        <v>184.59999999999997</v>
      </c>
      <c r="AB25" s="29">
        <f t="shared" si="74"/>
        <v>175.89999999999998</v>
      </c>
      <c r="AC25" s="29">
        <f t="shared" si="74"/>
        <v>218.8</v>
      </c>
      <c r="AD25" s="29">
        <f t="shared" si="74"/>
        <v>253.20000000000002</v>
      </c>
      <c r="AE25" s="29">
        <f>+AE27*AE19</f>
        <v>274.40758262095335</v>
      </c>
      <c r="AF25" s="29">
        <f>+AF27*AF19</f>
        <v>260.17411814366665</v>
      </c>
      <c r="AG25" s="29">
        <f>+AG27*AG19</f>
        <v>300.79641130622224</v>
      </c>
      <c r="AH25" s="29">
        <f>+AH27*AH19</f>
        <v>302.95632000000012</v>
      </c>
      <c r="AI25" s="29">
        <f>+AI27*AI19</f>
        <v>320.59400328718698</v>
      </c>
      <c r="AK25" s="29" t="e">
        <f>+#REF!+AK354</f>
        <v>#REF!</v>
      </c>
      <c r="AL25" s="29">
        <f t="shared" ref="AL25:AQ25" si="75">+AL348+AL354</f>
        <v>140.70000000000005</v>
      </c>
      <c r="AM25" s="29">
        <f t="shared" si="75"/>
        <v>173.4</v>
      </c>
      <c r="AN25" s="29">
        <f t="shared" si="75"/>
        <v>168</v>
      </c>
      <c r="AO25" s="29">
        <f t="shared" si="75"/>
        <v>279.90000000000003</v>
      </c>
      <c r="AP25" s="29">
        <f t="shared" si="75"/>
        <v>441.7999999999999</v>
      </c>
      <c r="AQ25" s="29">
        <f t="shared" si="75"/>
        <v>652.5</v>
      </c>
      <c r="AR25" s="29">
        <f>+SUM(AB25:AE25)</f>
        <v>922.30758262095333</v>
      </c>
      <c r="AS25" s="29">
        <f>+SUM(AF25:AI25)</f>
        <v>1184.520852737076</v>
      </c>
    </row>
    <row r="26" spans="2:47" ht="10.15" x14ac:dyDescent="0.2">
      <c r="B26" s="24" t="s">
        <v>136</v>
      </c>
      <c r="D26" s="19"/>
      <c r="E26" s="19"/>
      <c r="F26" s="19"/>
      <c r="G26" s="19"/>
      <c r="H26" s="43" t="s">
        <v>150</v>
      </c>
      <c r="I26" s="43" t="s">
        <v>150</v>
      </c>
      <c r="J26" s="43" t="s">
        <v>150</v>
      </c>
      <c r="K26" s="43" t="s">
        <v>150</v>
      </c>
      <c r="L26" s="25">
        <f t="shared" ref="L26" si="76">+IFERROR(L25/H25-1,"n/a")</f>
        <v>0.1635388739946384</v>
      </c>
      <c r="M26" s="25">
        <f t="shared" ref="M26" si="77">+IFERROR(M25/I25-1,"n/a")</f>
        <v>-0.25118483412322246</v>
      </c>
      <c r="N26" s="25">
        <f t="shared" ref="N26" si="78">+IFERROR(N25/J25-1,"n/a")</f>
        <v>1.1037527593818819E-2</v>
      </c>
      <c r="O26" s="25">
        <f t="shared" ref="O26" si="79">+IFERROR(O25/K25-1,"n/a")</f>
        <v>-2.8806584362140009E-2</v>
      </c>
      <c r="P26" s="25">
        <f t="shared" ref="P26" si="80">+IFERROR(P25/L25-1,"n/a")</f>
        <v>8.9861751152073621E-2</v>
      </c>
      <c r="Q26" s="25">
        <f t="shared" ref="Q26" si="81">+IFERROR(Q25/M25-1,"n/a")</f>
        <v>1.3101265822784809</v>
      </c>
      <c r="R26" s="25">
        <f t="shared" ref="R26" si="82">+IFERROR(R25/N25-1,"n/a")</f>
        <v>0.76855895196506507</v>
      </c>
      <c r="S26" s="25">
        <f t="shared" ref="S26" si="83">+IFERROR(S25/O25-1,"n/a")</f>
        <v>0.66525423728813604</v>
      </c>
      <c r="T26" s="25">
        <f t="shared" ref="T26" si="84">+IFERROR(T25/P25-1,"n/a")</f>
        <v>0.64059196617336123</v>
      </c>
      <c r="U26" s="25">
        <f t="shared" ref="U26:X26" si="85">+IFERROR(U25/Q25-1,"n/a")</f>
        <v>0.34794520547945118</v>
      </c>
      <c r="V26" s="25">
        <f t="shared" si="85"/>
        <v>0.57407407407407329</v>
      </c>
      <c r="W26" s="25">
        <f t="shared" si="85"/>
        <v>0.75954198473282464</v>
      </c>
      <c r="X26" s="25">
        <f t="shared" si="85"/>
        <v>0.78092783505154717</v>
      </c>
      <c r="Y26" s="25">
        <f t="shared" ref="Y26" si="86">+IFERROR(Y25/U25-1,"n/a")</f>
        <v>0.61280487804878159</v>
      </c>
      <c r="Z26" s="25">
        <f t="shared" ref="Z26" si="87">+IFERROR(Z25/V25-1,"n/a")</f>
        <v>0.34117647058823608</v>
      </c>
      <c r="AA26" s="25">
        <f t="shared" ref="AA26" si="88">+IFERROR(AA25/W25-1,"n/a")</f>
        <v>0.3347794649313085</v>
      </c>
      <c r="AB26" s="25">
        <f t="shared" ref="AB26" si="89">+IFERROR(AB25/X25-1,"n/a")</f>
        <v>0.27279305354558581</v>
      </c>
      <c r="AC26" s="25">
        <f t="shared" ref="AC26:AD26" si="90">+IFERROR(AC25/Y25-1,"n/a")</f>
        <v>0.37870195337114021</v>
      </c>
      <c r="AD26" s="25">
        <f t="shared" si="90"/>
        <v>0.48070175438596507</v>
      </c>
      <c r="AE26" s="25">
        <f t="shared" ref="AE26" si="91">+IFERROR(AE25/AA25-1,"n/a")</f>
        <v>0.48649828072022427</v>
      </c>
      <c r="AF26" s="25">
        <f t="shared" ref="AF26" si="92">+IFERROR(AF25/AB25-1,"n/a")</f>
        <v>0.47910243401743413</v>
      </c>
      <c r="AG26" s="25">
        <f t="shared" ref="AG26" si="93">+IFERROR(AG25/AC25-1,"n/a")</f>
        <v>0.37475507909607964</v>
      </c>
      <c r="AH26" s="25">
        <f t="shared" ref="AH26" si="94">+IFERROR(AH25/AD25-1,"n/a")</f>
        <v>0.1965099526066354</v>
      </c>
      <c r="AI26" s="25">
        <f t="shared" ref="AI26" si="95">+IFERROR(AI25/AE25-1,"n/a")</f>
        <v>0.16831320849479647</v>
      </c>
      <c r="AK26" s="19"/>
      <c r="AL26" s="19"/>
      <c r="AM26" s="25">
        <f>+IFERROR(AM25/AL25-1,"n/a")</f>
        <v>0.23240938166311276</v>
      </c>
      <c r="AN26" s="25">
        <f t="shared" ref="AN26" si="96">+IFERROR(AN25/AM25-1,"n/a")</f>
        <v>-3.114186851211076E-2</v>
      </c>
      <c r="AO26" s="25">
        <f t="shared" ref="AO26" si="97">+IFERROR(AO25/AN25-1,"n/a")</f>
        <v>0.66607142857142887</v>
      </c>
      <c r="AP26" s="25">
        <f t="shared" ref="AP26" si="98">+IFERROR(AP25/AO25-1,"n/a")</f>
        <v>0.57842086459449749</v>
      </c>
      <c r="AQ26" s="25">
        <f t="shared" ref="AQ26" si="99">+IFERROR(AQ25/AP25-1,"n/a")</f>
        <v>0.47691263014938912</v>
      </c>
      <c r="AR26" s="25">
        <f t="shared" ref="AR26:AS26" si="100">+IFERROR(AR25/AQ25-1,"n/a")</f>
        <v>0.41349821091333849</v>
      </c>
      <c r="AS26" s="25">
        <f t="shared" si="100"/>
        <v>0.28430132751482118</v>
      </c>
    </row>
    <row r="27" spans="2:47" ht="10.15" x14ac:dyDescent="0.2">
      <c r="B27" s="24" t="s">
        <v>146</v>
      </c>
      <c r="D27" s="35">
        <f>+IFERROR(D25/D$19,"n/a")</f>
        <v>0.59615384615384615</v>
      </c>
      <c r="E27" s="35">
        <f t="shared" ref="E27:U27" si="101">+IFERROR(E25/E$19,"n/a")</f>
        <v>0.60157480314960632</v>
      </c>
      <c r="F27" s="35">
        <f t="shared" si="101"/>
        <v>0.59389312977099229</v>
      </c>
      <c r="G27" s="35">
        <f t="shared" si="101"/>
        <v>0.58947368421052648</v>
      </c>
      <c r="H27" s="35">
        <f t="shared" si="101"/>
        <v>0.56259426847662142</v>
      </c>
      <c r="I27" s="35">
        <f t="shared" si="101"/>
        <v>0.56042496679946874</v>
      </c>
      <c r="J27" s="35">
        <f t="shared" si="101"/>
        <v>0.56838143036386457</v>
      </c>
      <c r="K27" s="35">
        <f t="shared" si="101"/>
        <v>0.57719714964370539</v>
      </c>
      <c r="L27" s="35">
        <f t="shared" si="101"/>
        <v>0.54867256637168138</v>
      </c>
      <c r="M27" s="35">
        <f t="shared" si="101"/>
        <v>0.4688427299703265</v>
      </c>
      <c r="N27" s="35">
        <f t="shared" si="101"/>
        <v>0.52223489167616888</v>
      </c>
      <c r="O27" s="35">
        <f t="shared" si="101"/>
        <v>0.53153153153153143</v>
      </c>
      <c r="P27" s="35">
        <f t="shared" si="101"/>
        <v>0.48512820512820509</v>
      </c>
      <c r="Q27" s="35">
        <f t="shared" si="101"/>
        <v>0.5355832721936904</v>
      </c>
      <c r="R27" s="35">
        <f>+IFERROR(R25/R$19,"n/a")</f>
        <v>0.54619015509103164</v>
      </c>
      <c r="S27" s="35">
        <f t="shared" si="101"/>
        <v>0.5350578624914909</v>
      </c>
      <c r="T27" s="35">
        <f t="shared" si="101"/>
        <v>0.521505376344086</v>
      </c>
      <c r="U27" s="35">
        <f t="shared" si="101"/>
        <v>0.53888280394304489</v>
      </c>
      <c r="V27" s="35">
        <f t="shared" ref="V27:W27" si="102">+IFERROR(V25/V$19,"n/a")</f>
        <v>0.64819522114895756</v>
      </c>
      <c r="W27" s="35">
        <f t="shared" si="102"/>
        <v>0.69358074222668009</v>
      </c>
      <c r="X27" s="35">
        <f t="shared" ref="X27" si="103">+IFERROR(X25/X$19,"n/a")</f>
        <v>0.69099999999999995</v>
      </c>
      <c r="Y27" s="35">
        <f t="shared" ref="Y27:AC27" si="104">+IFERROR(Y25/Y$19,"n/a")</f>
        <v>0.69574747917580015</v>
      </c>
      <c r="Z27" s="35">
        <f t="shared" si="104"/>
        <v>0.7037037037037035</v>
      </c>
      <c r="AA27" s="35">
        <f t="shared" si="104"/>
        <v>0.68548087634608246</v>
      </c>
      <c r="AB27" s="35">
        <f t="shared" si="104"/>
        <v>0.6670458854759197</v>
      </c>
      <c r="AC27" s="35">
        <f t="shared" si="104"/>
        <v>0.6824703680598877</v>
      </c>
      <c r="AD27" s="35">
        <f t="shared" ref="AD27" si="105">+IFERROR(AD25/AD$19,"n/a")</f>
        <v>0.69350862777321287</v>
      </c>
      <c r="AE27" s="59">
        <v>0.68500000000000005</v>
      </c>
      <c r="AF27" s="59">
        <v>0.68500000000000005</v>
      </c>
      <c r="AG27" s="59">
        <v>0.68500000000000005</v>
      </c>
      <c r="AH27" s="59">
        <v>0.68500000000000005</v>
      </c>
      <c r="AI27" s="59">
        <v>0.68500000000000005</v>
      </c>
      <c r="AK27" s="25" t="str">
        <f t="shared" ref="AK27:AS27" si="106">+IFERROR(AK25/AK19,"n/a")</f>
        <v>n/a</v>
      </c>
      <c r="AL27" s="35">
        <f t="shared" si="106"/>
        <v>0.55678670360110827</v>
      </c>
      <c r="AM27" s="35">
        <f t="shared" si="106"/>
        <v>0.56759410801963994</v>
      </c>
      <c r="AN27" s="35">
        <f t="shared" si="106"/>
        <v>0.52012383900928794</v>
      </c>
      <c r="AO27" s="35">
        <f t="shared" si="106"/>
        <v>0.52911153119092635</v>
      </c>
      <c r="AP27" s="35">
        <f t="shared" si="106"/>
        <v>0.60728522336769752</v>
      </c>
      <c r="AQ27" s="35">
        <f t="shared" si="106"/>
        <v>0.69385367928541042</v>
      </c>
      <c r="AR27" s="35">
        <f t="shared" si="106"/>
        <v>0.68319332665683952</v>
      </c>
      <c r="AS27" s="35">
        <f t="shared" si="106"/>
        <v>0.68500000000000005</v>
      </c>
    </row>
    <row r="28" spans="2:47" ht="10.15" x14ac:dyDescent="0.2">
      <c r="D28" s="19"/>
      <c r="E28" s="19"/>
      <c r="F28" s="19"/>
      <c r="G28" s="19"/>
      <c r="H28" s="19"/>
      <c r="I28" s="19"/>
      <c r="J28" s="19"/>
      <c r="K28" s="19"/>
      <c r="V28" s="13"/>
      <c r="W28" s="13"/>
      <c r="X28" s="13"/>
      <c r="Y28" s="13"/>
      <c r="Z28" s="13"/>
      <c r="AA28" s="13"/>
      <c r="AB28" s="216"/>
      <c r="AC28" s="216"/>
      <c r="AD28" s="216"/>
      <c r="AE28" s="13"/>
      <c r="AF28" s="13"/>
      <c r="AG28" s="13"/>
      <c r="AH28" s="13"/>
      <c r="AI28" s="13"/>
      <c r="AK28" s="19"/>
      <c r="AL28" s="19"/>
      <c r="AM28" s="19"/>
      <c r="AN28" s="19"/>
      <c r="AO28" s="19"/>
      <c r="AP28" s="19"/>
      <c r="AQ28" s="19"/>
      <c r="AR28" s="19"/>
      <c r="AS28" s="19"/>
    </row>
    <row r="29" spans="2:47" ht="10.15" x14ac:dyDescent="0.2">
      <c r="B29" t="s">
        <v>151</v>
      </c>
      <c r="D29" s="29">
        <f>+D25-D33</f>
        <v>30.125</v>
      </c>
      <c r="E29" s="29">
        <f t="shared" ref="E29:U29" si="107">+E25-E33</f>
        <v>32.524999999999977</v>
      </c>
      <c r="F29" s="29">
        <f t="shared" si="107"/>
        <v>33.825000000000003</v>
      </c>
      <c r="G29" s="29">
        <f t="shared" si="107"/>
        <v>30.225000000000023</v>
      </c>
      <c r="H29" s="29">
        <f t="shared" si="107"/>
        <v>31.700000000000024</v>
      </c>
      <c r="I29" s="29">
        <f t="shared" si="107"/>
        <v>33.300000000000018</v>
      </c>
      <c r="J29" s="29">
        <f t="shared" si="107"/>
        <v>36.800000000000004</v>
      </c>
      <c r="K29" s="29">
        <f t="shared" si="107"/>
        <v>44.40000000000002</v>
      </c>
      <c r="L29" s="29">
        <f t="shared" si="107"/>
        <v>43.499999999999986</v>
      </c>
      <c r="M29" s="29">
        <f t="shared" si="107"/>
        <v>34.699999999999989</v>
      </c>
      <c r="N29" s="29">
        <f t="shared" si="107"/>
        <v>41.300000000000018</v>
      </c>
      <c r="O29" s="29">
        <f t="shared" si="107"/>
        <v>45.000000000000014</v>
      </c>
      <c r="P29" s="29">
        <f t="shared" si="107"/>
        <v>50.2</v>
      </c>
      <c r="Q29" s="29">
        <f t="shared" si="107"/>
        <v>53.499999999999972</v>
      </c>
      <c r="R29" s="29">
        <f t="shared" si="107"/>
        <v>51.000000000000014</v>
      </c>
      <c r="S29" s="29">
        <f t="shared" si="107"/>
        <v>62.199999999999996</v>
      </c>
      <c r="T29" s="29">
        <f t="shared" si="107"/>
        <v>62.699999999999967</v>
      </c>
      <c r="U29" s="29">
        <f t="shared" si="107"/>
        <v>62.699999999999996</v>
      </c>
      <c r="V29" s="29">
        <f t="shared" ref="V29:W29" si="108">+V25-V33</f>
        <v>84.700000000000045</v>
      </c>
      <c r="W29" s="29">
        <f t="shared" si="108"/>
        <v>91.400000000000077</v>
      </c>
      <c r="X29" s="29">
        <f t="shared" ref="X29" si="109">+X25-X33</f>
        <v>96.500000000000085</v>
      </c>
      <c r="Y29" s="29">
        <f t="shared" ref="Y29:AC29" si="110">+Y25-Y33</f>
        <v>98.69999999999996</v>
      </c>
      <c r="Z29" s="29">
        <f t="shared" si="110"/>
        <v>101.60000000000005</v>
      </c>
      <c r="AA29" s="29">
        <f t="shared" si="110"/>
        <v>110.40000000000003</v>
      </c>
      <c r="AB29" s="29">
        <f t="shared" si="110"/>
        <v>120.30000000000001</v>
      </c>
      <c r="AC29" s="29">
        <f t="shared" si="110"/>
        <v>126.09999999999998</v>
      </c>
      <c r="AD29" s="29">
        <f t="shared" ref="AD29" si="111">+AD25-AD33</f>
        <v>143.10000000000002</v>
      </c>
      <c r="AE29" s="13">
        <f t="shared" ref="AE29" si="112">+AE25-AE33</f>
        <v>150.10412694695887</v>
      </c>
      <c r="AF29" s="13">
        <f t="shared" ref="AF29:AI29" si="113">+AF25-AF33</f>
        <v>160.86232732766669</v>
      </c>
      <c r="AG29" s="13">
        <f t="shared" si="113"/>
        <v>156.45461002266669</v>
      </c>
      <c r="AH29" s="13">
        <f t="shared" si="113"/>
        <v>157.97488000000007</v>
      </c>
      <c r="AI29" s="13">
        <f t="shared" si="113"/>
        <v>163.22337305457788</v>
      </c>
      <c r="AK29" s="29" t="e">
        <f>+AK25-AK33</f>
        <v>#REF!</v>
      </c>
      <c r="AL29" s="29">
        <f>+AL25-AL33</f>
        <v>121.80000000000007</v>
      </c>
      <c r="AM29" s="29">
        <f t="shared" ref="AM29:AO29" si="114">+AM25-AM33</f>
        <v>146.20000000000007</v>
      </c>
      <c r="AN29" s="29">
        <f t="shared" si="114"/>
        <v>164.5</v>
      </c>
      <c r="AO29" s="29">
        <f t="shared" si="114"/>
        <v>216.9</v>
      </c>
      <c r="AP29" s="29">
        <f t="shared" ref="AP29:AQ29" si="115">+AP25-AP33</f>
        <v>301.50000000000011</v>
      </c>
      <c r="AQ29" s="29">
        <f t="shared" si="115"/>
        <v>407.20000000000016</v>
      </c>
      <c r="AR29" s="29">
        <f>+SUM(AB29:AE29)</f>
        <v>539.6041269469589</v>
      </c>
      <c r="AS29" s="29">
        <f>+SUM(AF29:AI29)</f>
        <v>638.51519040491132</v>
      </c>
    </row>
    <row r="30" spans="2:47" ht="10.15" x14ac:dyDescent="0.2">
      <c r="B30" s="24" t="s">
        <v>136</v>
      </c>
      <c r="D30" s="50"/>
      <c r="E30" s="50"/>
      <c r="F30" s="50"/>
      <c r="G30" s="50"/>
      <c r="H30" s="43" t="s">
        <v>150</v>
      </c>
      <c r="I30" s="43" t="s">
        <v>150</v>
      </c>
      <c r="J30" s="43" t="s">
        <v>150</v>
      </c>
      <c r="K30" s="43" t="s">
        <v>150</v>
      </c>
      <c r="L30" s="43">
        <f t="shared" ref="L30" si="116">+IFERROR(L29/H29-1,"n/a")</f>
        <v>0.37223974763406797</v>
      </c>
      <c r="M30" s="43">
        <f t="shared" ref="M30" si="117">+IFERROR(M29/I29-1,"n/a")</f>
        <v>4.2042042042041095E-2</v>
      </c>
      <c r="N30" s="43">
        <f t="shared" ref="N30" si="118">+IFERROR(N29/J29-1,"n/a")</f>
        <v>0.12228260869565255</v>
      </c>
      <c r="O30" s="43">
        <f t="shared" ref="O30" si="119">+IFERROR(O29/K29-1,"n/a")</f>
        <v>1.3513513513513375E-2</v>
      </c>
      <c r="P30" s="43">
        <f t="shared" ref="P30" si="120">+IFERROR(P29/L29-1,"n/a")</f>
        <v>0.15402298850574758</v>
      </c>
      <c r="Q30" s="43">
        <f t="shared" ref="Q30" si="121">+IFERROR(Q29/M29-1,"n/a")</f>
        <v>0.54178674351584988</v>
      </c>
      <c r="R30" s="43">
        <f t="shared" ref="R30" si="122">+IFERROR(R29/N29-1,"n/a")</f>
        <v>0.23486682808716686</v>
      </c>
      <c r="S30" s="43">
        <f t="shared" ref="S30" si="123">+IFERROR(S29/O29-1,"n/a")</f>
        <v>0.3822222222222218</v>
      </c>
      <c r="T30" s="43">
        <f t="shared" ref="T30" si="124">+IFERROR(T29/P29-1,"n/a")</f>
        <v>0.24900398406374435</v>
      </c>
      <c r="U30" s="43">
        <f t="shared" ref="U30:X30" si="125">+IFERROR(U29/Q29-1,"n/a")</f>
        <v>0.17196261682243041</v>
      </c>
      <c r="V30" s="43">
        <f t="shared" si="125"/>
        <v>0.66078431372549074</v>
      </c>
      <c r="W30" s="43">
        <f t="shared" si="125"/>
        <v>0.46945337620578909</v>
      </c>
      <c r="X30" s="43">
        <f t="shared" si="125"/>
        <v>0.53907496012759393</v>
      </c>
      <c r="Y30" s="43">
        <f t="shared" ref="Y30" si="126">+IFERROR(Y29/U29-1,"n/a")</f>
        <v>0.57416267942583676</v>
      </c>
      <c r="Z30" s="43">
        <f t="shared" ref="Z30" si="127">+IFERROR(Z29/V29-1,"n/a")</f>
        <v>0.19952774498229031</v>
      </c>
      <c r="AA30" s="43">
        <f t="shared" ref="AA30" si="128">+IFERROR(AA29/W29-1,"n/a")</f>
        <v>0.20787746170678267</v>
      </c>
      <c r="AB30" s="43">
        <f t="shared" ref="AB30" si="129">+IFERROR(AB29/X29-1,"n/a")</f>
        <v>0.24663212435233062</v>
      </c>
      <c r="AC30" s="43">
        <f t="shared" ref="AC30:AD30" si="130">+IFERROR(AC29/Y29-1,"n/a")</f>
        <v>0.27760891590678849</v>
      </c>
      <c r="AD30" s="43">
        <f t="shared" si="130"/>
        <v>0.40846456692913335</v>
      </c>
      <c r="AE30" s="43">
        <f t="shared" ref="AE30" si="131">+IFERROR(AE29/AA29-1,"n/a")</f>
        <v>0.35963883104129368</v>
      </c>
      <c r="AF30" s="43">
        <f t="shared" ref="AF30" si="132">+IFERROR(AF29/AB29-1,"n/a")</f>
        <v>0.3371764532640622</v>
      </c>
      <c r="AG30" s="43">
        <f t="shared" ref="AG30" si="133">+IFERROR(AG29/AC29-1,"n/a")</f>
        <v>0.24071855688078281</v>
      </c>
      <c r="AH30" s="43">
        <f t="shared" ref="AH30" si="134">+IFERROR(AH29/AD29-1,"n/a")</f>
        <v>0.10394744933612898</v>
      </c>
      <c r="AI30" s="43">
        <f t="shared" ref="AI30" si="135">+IFERROR(AI29/AE29-1,"n/a")</f>
        <v>8.7400968743883034E-2</v>
      </c>
      <c r="AK30" s="50"/>
      <c r="AL30" s="50"/>
      <c r="AM30" s="25">
        <f>+IFERROR(AM29/AL29-1,"n/a")</f>
        <v>0.20032840722495893</v>
      </c>
      <c r="AN30" s="25">
        <f t="shared" ref="AN30" si="136">+IFERROR(AN29/AM29-1,"n/a")</f>
        <v>0.12517099863201042</v>
      </c>
      <c r="AO30" s="25">
        <f t="shared" ref="AO30" si="137">+IFERROR(AO29/AN29-1,"n/a")</f>
        <v>0.31854103343465057</v>
      </c>
      <c r="AP30" s="25">
        <f t="shared" ref="AP30" si="138">+IFERROR(AP29/AO29-1,"n/a")</f>
        <v>0.390041493775934</v>
      </c>
      <c r="AQ30" s="25">
        <f t="shared" ref="AQ30" si="139">+IFERROR(AQ29/AP29-1,"n/a")</f>
        <v>0.35058043117744608</v>
      </c>
      <c r="AR30" s="25">
        <f t="shared" ref="AR30:AS30" si="140">+IFERROR(AR29/AQ29-1,"n/a")</f>
        <v>0.32515748267917166</v>
      </c>
      <c r="AS30" s="25">
        <f t="shared" si="140"/>
        <v>0.18330301515220815</v>
      </c>
    </row>
    <row r="31" spans="2:47" ht="10.15" x14ac:dyDescent="0.2">
      <c r="B31" s="24" t="s">
        <v>152</v>
      </c>
      <c r="D31" s="35">
        <f>+IFERROR(D29/D$19,"n/a")</f>
        <v>0.52666083916083917</v>
      </c>
      <c r="E31" s="35">
        <f t="shared" ref="E31:U31" si="141">+IFERROR(E29/E$19,"n/a")</f>
        <v>0.51220472440944842</v>
      </c>
      <c r="F31" s="35">
        <f t="shared" si="141"/>
        <v>0.51641221374045809</v>
      </c>
      <c r="G31" s="35">
        <f t="shared" si="141"/>
        <v>0.45451127819548898</v>
      </c>
      <c r="H31" s="35">
        <f t="shared" si="141"/>
        <v>0.47812971342383148</v>
      </c>
      <c r="I31" s="35">
        <f t="shared" si="141"/>
        <v>0.44223107569721143</v>
      </c>
      <c r="J31" s="35">
        <f t="shared" si="141"/>
        <v>0.46173149309912165</v>
      </c>
      <c r="K31" s="35">
        <f t="shared" si="141"/>
        <v>0.52731591448931148</v>
      </c>
      <c r="L31" s="35">
        <f t="shared" si="141"/>
        <v>0.54993678887484176</v>
      </c>
      <c r="M31" s="35">
        <f t="shared" si="141"/>
        <v>0.51483679525222525</v>
      </c>
      <c r="N31" s="35">
        <f t="shared" si="141"/>
        <v>0.4709236031927026</v>
      </c>
      <c r="O31" s="35">
        <f t="shared" si="141"/>
        <v>0.50675675675675702</v>
      </c>
      <c r="P31" s="35">
        <f t="shared" si="141"/>
        <v>0.51487179487179491</v>
      </c>
      <c r="Q31" s="35">
        <f t="shared" si="141"/>
        <v>0.39251650770359475</v>
      </c>
      <c r="R31" s="35">
        <f t="shared" si="141"/>
        <v>0.34389750505731631</v>
      </c>
      <c r="S31" s="35">
        <f t="shared" si="141"/>
        <v>0.42341729067392786</v>
      </c>
      <c r="T31" s="35">
        <f t="shared" si="141"/>
        <v>0.42137096774193533</v>
      </c>
      <c r="U31" s="35">
        <f t="shared" si="141"/>
        <v>0.34337349397590372</v>
      </c>
      <c r="V31" s="35">
        <f t="shared" ref="V31:W31" si="142">+IFERROR(V29/V$19,"n/a")</f>
        <v>0.43060498220640603</v>
      </c>
      <c r="W31" s="35">
        <f t="shared" si="142"/>
        <v>0.45837512537612873</v>
      </c>
      <c r="X31" s="35">
        <f t="shared" ref="X31" si="143">+IFERROR(X29/X$19,"n/a")</f>
        <v>0.48250000000000037</v>
      </c>
      <c r="Y31" s="35">
        <f t="shared" ref="Y31:AC31" si="144">+IFERROR(Y29/Y$19,"n/a")</f>
        <v>0.43270495396755781</v>
      </c>
      <c r="Z31" s="35">
        <f t="shared" si="144"/>
        <v>0.41810699588477379</v>
      </c>
      <c r="AA31" s="35">
        <f t="shared" si="144"/>
        <v>0.40995172669884905</v>
      </c>
      <c r="AB31" s="35">
        <f t="shared" si="144"/>
        <v>0.4562002275312857</v>
      </c>
      <c r="AC31" s="35">
        <f t="shared" si="144"/>
        <v>0.39332501559575789</v>
      </c>
      <c r="AD31" s="35">
        <f t="shared" ref="AD31" si="145">+IFERROR(AD29/AD$19,"n/a")</f>
        <v>0.39194741166803621</v>
      </c>
      <c r="AE31" s="35">
        <f t="shared" ref="AE31" si="146">+IFERROR(AE29/AE$19,"n/a")</f>
        <v>0.37470293632773521</v>
      </c>
      <c r="AF31" s="35">
        <f t="shared" ref="AF31:AI31" si="147">+IFERROR(AF29/AF$19,"n/a")</f>
        <v>0.42352673281131303</v>
      </c>
      <c r="AG31" s="35">
        <f t="shared" si="147"/>
        <v>0.35629217582792932</v>
      </c>
      <c r="AH31" s="35">
        <f t="shared" si="147"/>
        <v>0.35718942189421904</v>
      </c>
      <c r="AI31" s="35">
        <f t="shared" si="147"/>
        <v>0.34875265724240206</v>
      </c>
      <c r="AK31" s="35" t="str">
        <f>+IFERROR(AK29/AK$19,"n/a")</f>
        <v>n/a</v>
      </c>
      <c r="AL31" s="35">
        <f>+IFERROR(AL29/AL$19,"n/a")</f>
        <v>0.4819944598337953</v>
      </c>
      <c r="AM31" s="35">
        <f t="shared" ref="AM31:AO31" si="148">+IFERROR(AM29/AM$19,"n/a")</f>
        <v>0.47855973813420644</v>
      </c>
      <c r="AN31" s="35">
        <f t="shared" si="148"/>
        <v>0.50928792569659442</v>
      </c>
      <c r="AO31" s="35">
        <f t="shared" si="148"/>
        <v>0.41001890359168242</v>
      </c>
      <c r="AP31" s="35">
        <f t="shared" ref="AP31:AQ31" si="149">+IFERROR(AP29/AP$19,"n/a")</f>
        <v>0.4144329896907219</v>
      </c>
      <c r="AQ31" s="35">
        <f t="shared" si="149"/>
        <v>0.43300723096554672</v>
      </c>
      <c r="AR31" s="35">
        <f t="shared" ref="AR31:AS31" si="150">+IFERROR(AR29/AR$19,"n/a")</f>
        <v>0.39970823780829795</v>
      </c>
      <c r="AS31" s="35">
        <f t="shared" si="150"/>
        <v>0.3692488016709054</v>
      </c>
    </row>
    <row r="32" spans="2:47" ht="10.15" x14ac:dyDescent="0.2">
      <c r="D32" s="19"/>
      <c r="E32" s="19"/>
      <c r="F32" s="19"/>
      <c r="G32" s="19"/>
      <c r="H32" s="19"/>
      <c r="I32" s="19"/>
      <c r="J32" s="19"/>
      <c r="K32" s="19"/>
      <c r="AK32" s="19"/>
      <c r="AL32" s="19"/>
      <c r="AM32" s="19"/>
      <c r="AN32" s="19"/>
      <c r="AO32" s="19"/>
      <c r="AP32" s="19"/>
      <c r="AQ32" s="19"/>
      <c r="AR32" s="19"/>
      <c r="AS32" s="19"/>
    </row>
    <row r="33" spans="2:47" ht="10.15" x14ac:dyDescent="0.2">
      <c r="B33" t="s">
        <v>153</v>
      </c>
      <c r="D33" s="29">
        <f>+D38-D37</f>
        <v>3.9749999999999943</v>
      </c>
      <c r="E33" s="29">
        <f t="shared" ref="E33:U33" si="151">+E38-E37</f>
        <v>5.6750000000000291</v>
      </c>
      <c r="F33" s="29">
        <f t="shared" si="151"/>
        <v>5.0749999999999922</v>
      </c>
      <c r="G33" s="29">
        <f t="shared" si="151"/>
        <v>8.9749999999999943</v>
      </c>
      <c r="H33" s="29">
        <f t="shared" si="151"/>
        <v>5.599999999999973</v>
      </c>
      <c r="I33" s="29">
        <f t="shared" si="151"/>
        <v>8.8999999999999773</v>
      </c>
      <c r="J33" s="29">
        <f t="shared" si="151"/>
        <v>8.5000000000000142</v>
      </c>
      <c r="K33" s="29">
        <f t="shared" si="151"/>
        <v>4.1999999999999709</v>
      </c>
      <c r="L33" s="29">
        <f t="shared" si="151"/>
        <v>-9.9999999999976552E-2</v>
      </c>
      <c r="M33" s="29">
        <f t="shared" si="151"/>
        <v>-3.0999999999999837</v>
      </c>
      <c r="N33" s="29">
        <f t="shared" si="151"/>
        <v>4.4999999999999929</v>
      </c>
      <c r="O33" s="29">
        <f t="shared" si="151"/>
        <v>2.1999999999999673</v>
      </c>
      <c r="P33" s="29">
        <f t="shared" si="151"/>
        <v>-2.9000000000000021</v>
      </c>
      <c r="Q33" s="29">
        <f t="shared" si="151"/>
        <v>19.500000000000039</v>
      </c>
      <c r="R33" s="29">
        <f t="shared" si="151"/>
        <v>29.999999999999982</v>
      </c>
      <c r="S33" s="29">
        <f t="shared" si="151"/>
        <v>16.399999999999999</v>
      </c>
      <c r="T33" s="29">
        <f t="shared" si="151"/>
        <v>14.900000000000013</v>
      </c>
      <c r="U33" s="29">
        <f t="shared" si="151"/>
        <v>35.699999999999967</v>
      </c>
      <c r="V33" s="29">
        <f t="shared" ref="V33:W33" si="152">+V38-V37</f>
        <v>42.799999999999891</v>
      </c>
      <c r="W33" s="29">
        <f t="shared" si="152"/>
        <v>46.899999999999935</v>
      </c>
      <c r="X33" s="29">
        <f t="shared" ref="X33" si="153">+X38-X37</f>
        <v>41.699999999999939</v>
      </c>
      <c r="Y33" s="29">
        <f t="shared" ref="Y33:AC33" si="154">+Y38-Y37</f>
        <v>60.000000000000085</v>
      </c>
      <c r="Z33" s="29">
        <f t="shared" si="154"/>
        <v>69.399999999999949</v>
      </c>
      <c r="AA33" s="29">
        <f t="shared" si="154"/>
        <v>74.199999999999932</v>
      </c>
      <c r="AB33" s="29">
        <f t="shared" si="154"/>
        <v>55.599999999999966</v>
      </c>
      <c r="AC33" s="29">
        <f t="shared" si="154"/>
        <v>92.700000000000031</v>
      </c>
      <c r="AD33" s="29">
        <f t="shared" ref="AD33" si="155">+AD38-AD37</f>
        <v>110.09999999999998</v>
      </c>
      <c r="AE33" s="13">
        <f t="shared" ref="AE33" si="156">+AE38-AE37</f>
        <v>124.30345567399448</v>
      </c>
      <c r="AF33" s="13">
        <f t="shared" ref="AF33:AI33" si="157">+AF38-AF37</f>
        <v>99.311790815999956</v>
      </c>
      <c r="AG33" s="13">
        <f t="shared" si="157"/>
        <v>144.34180128355555</v>
      </c>
      <c r="AH33" s="13">
        <f t="shared" si="157"/>
        <v>144.98144000000005</v>
      </c>
      <c r="AI33" s="13">
        <f t="shared" si="157"/>
        <v>157.3706302326091</v>
      </c>
      <c r="AK33" s="29">
        <f>+AK38-AK37</f>
        <v>23.700000000000017</v>
      </c>
      <c r="AL33" s="29">
        <f>+AL38-AL37</f>
        <v>18.899999999999977</v>
      </c>
      <c r="AM33" s="29">
        <f t="shared" ref="AM33:AO33" si="158">+AM38-AM37</f>
        <v>27.199999999999939</v>
      </c>
      <c r="AN33" s="29">
        <f t="shared" si="158"/>
        <v>3.4999999999999858</v>
      </c>
      <c r="AO33" s="29">
        <f t="shared" si="158"/>
        <v>63.000000000000028</v>
      </c>
      <c r="AP33" s="29">
        <f t="shared" ref="AP33:AQ33" si="159">+AP38-AP37</f>
        <v>140.29999999999981</v>
      </c>
      <c r="AQ33" s="29">
        <f t="shared" si="159"/>
        <v>245.29999999999987</v>
      </c>
      <c r="AR33" s="29">
        <f>+SUM(AB33:AE33)</f>
        <v>382.70345567399443</v>
      </c>
      <c r="AS33" s="29">
        <f>+SUM(AF33:AI33)</f>
        <v>546.00566233216466</v>
      </c>
    </row>
    <row r="34" spans="2:47" ht="10.15" x14ac:dyDescent="0.2">
      <c r="B34" s="24" t="s">
        <v>136</v>
      </c>
      <c r="D34" s="50"/>
      <c r="E34" s="50"/>
      <c r="F34" s="50"/>
      <c r="G34" s="50"/>
      <c r="H34" s="43" t="s">
        <v>150</v>
      </c>
      <c r="I34" s="43" t="s">
        <v>150</v>
      </c>
      <c r="J34" s="43" t="s">
        <v>150</v>
      </c>
      <c r="K34" s="43" t="s">
        <v>150</v>
      </c>
      <c r="L34" s="43">
        <f t="shared" ref="L34" si="160">+IFERROR(L33/H33-1,"n/a")</f>
        <v>-1.0178571428571388</v>
      </c>
      <c r="M34" s="43">
        <f t="shared" ref="M34" si="161">+IFERROR(M33/I33-1,"n/a")</f>
        <v>-1.3483146067415721</v>
      </c>
      <c r="N34" s="43">
        <f t="shared" ref="N34" si="162">+IFERROR(N33/J33-1,"n/a")</f>
        <v>-0.47058823529411942</v>
      </c>
      <c r="O34" s="43">
        <f t="shared" ref="O34" si="163">+IFERROR(O33/K33-1,"n/a")</f>
        <v>-0.47619047619048038</v>
      </c>
      <c r="P34" s="43">
        <f t="shared" ref="P34" si="164">+IFERROR(P33/L33-1,"n/a")</f>
        <v>28.000000000006821</v>
      </c>
      <c r="Q34" s="43">
        <f t="shared" ref="Q34" si="165">+IFERROR(Q33/M33-1,"n/a")</f>
        <v>-7.2903225806452072</v>
      </c>
      <c r="R34" s="43">
        <f t="shared" ref="R34" si="166">+IFERROR(R33/N33-1,"n/a")</f>
        <v>5.6666666666666732</v>
      </c>
      <c r="S34" s="43">
        <f t="shared" ref="S34" si="167">+IFERROR(S33/O33-1,"n/a")</f>
        <v>6.4545454545455643</v>
      </c>
      <c r="T34" s="43">
        <f t="shared" ref="T34" si="168">+IFERROR(T33/P33-1,"n/a")</f>
        <v>-6.1379310344827589</v>
      </c>
      <c r="U34" s="43">
        <f t="shared" ref="U34:X34" si="169">+IFERROR(U33/Q33-1,"n/a")</f>
        <v>0.83076923076922538</v>
      </c>
      <c r="V34" s="43">
        <f t="shared" si="169"/>
        <v>0.42666666666666386</v>
      </c>
      <c r="W34" s="43">
        <f t="shared" si="169"/>
        <v>1.8597560975609717</v>
      </c>
      <c r="X34" s="43">
        <f t="shared" si="169"/>
        <v>1.7986577181207988</v>
      </c>
      <c r="Y34" s="43">
        <f t="shared" ref="Y34" si="170">+IFERROR(Y33/U33-1,"n/a")</f>
        <v>0.68067226890756705</v>
      </c>
      <c r="Z34" s="43">
        <f t="shared" ref="Z34" si="171">+IFERROR(Z33/V33-1,"n/a")</f>
        <v>0.62149532710280675</v>
      </c>
      <c r="AA34" s="43">
        <f t="shared" ref="AA34" si="172">+IFERROR(AA33/W33-1,"n/a")</f>
        <v>0.58208955223880676</v>
      </c>
      <c r="AB34" s="43">
        <f t="shared" ref="AB34" si="173">+IFERROR(AB33/X33-1,"n/a")</f>
        <v>0.33333333333333437</v>
      </c>
      <c r="AC34" s="43">
        <f t="shared" ref="AC34:AD34" si="174">+IFERROR(AC33/Y33-1,"n/a")</f>
        <v>0.54499999999999837</v>
      </c>
      <c r="AD34" s="43">
        <f t="shared" si="174"/>
        <v>0.5864553314121046</v>
      </c>
      <c r="AE34" s="43">
        <f t="shared" ref="AE34" si="175">+IFERROR(AE33/AA33-1,"n/a")</f>
        <v>0.67524872876003483</v>
      </c>
      <c r="AF34" s="43">
        <f t="shared" ref="AF34" si="176">+IFERROR(AF33/AB33-1,"n/a")</f>
        <v>0.78618328805755433</v>
      </c>
      <c r="AG34" s="43">
        <f t="shared" ref="AG34" si="177">+IFERROR(AG33/AC33-1,"n/a")</f>
        <v>0.55708523498981122</v>
      </c>
      <c r="AH34" s="43">
        <f t="shared" ref="AH34" si="178">+IFERROR(AH33/AD33-1,"n/a")</f>
        <v>0.31681598546775724</v>
      </c>
      <c r="AI34" s="43">
        <f t="shared" ref="AI34" si="179">+IFERROR(AI33/AE33-1,"n/a")</f>
        <v>0.26601975286462287</v>
      </c>
      <c r="AK34" s="50"/>
      <c r="AL34" s="50"/>
      <c r="AM34" s="25">
        <f>+IFERROR(AM33/AL33-1,"n/a")</f>
        <v>0.43915343915343774</v>
      </c>
      <c r="AN34" s="25">
        <f t="shared" ref="AN34" si="180">+IFERROR(AN33/AM33-1,"n/a")</f>
        <v>-0.87132352941176494</v>
      </c>
      <c r="AO34" s="25">
        <f t="shared" ref="AO34" si="181">+IFERROR(AO33/AN33-1,"n/a")</f>
        <v>17.000000000000082</v>
      </c>
      <c r="AP34" s="25">
        <f t="shared" ref="AP34" si="182">+IFERROR(AP33/AO33-1,"n/a")</f>
        <v>1.2269841269841231</v>
      </c>
      <c r="AQ34" s="25">
        <f t="shared" ref="AQ34" si="183">+IFERROR(AQ33/AP33-1,"n/a")</f>
        <v>0.74839629365645188</v>
      </c>
      <c r="AR34" s="25">
        <f t="shared" ref="AR34:AS34" si="184">+IFERROR(AR33/AQ33-1,"n/a")</f>
        <v>0.5601445400488978</v>
      </c>
      <c r="AS34" s="25">
        <f t="shared" si="184"/>
        <v>0.42670690383647614</v>
      </c>
    </row>
    <row r="35" spans="2:47" ht="10.15" x14ac:dyDescent="0.2">
      <c r="B35" s="24" t="s">
        <v>146</v>
      </c>
      <c r="D35" s="35">
        <f>+IFERROR(D33/D$19,"n/a")</f>
        <v>6.9493006993006895E-2</v>
      </c>
      <c r="E35" s="35">
        <f t="shared" ref="E35:U35" si="185">+IFERROR(E33/E$19,"n/a")</f>
        <v>8.9370078740157941E-2</v>
      </c>
      <c r="F35" s="35">
        <f t="shared" si="185"/>
        <v>7.7480916030534239E-2</v>
      </c>
      <c r="G35" s="35">
        <f t="shared" si="185"/>
        <v>0.13496240601503748</v>
      </c>
      <c r="H35" s="35">
        <f t="shared" si="185"/>
        <v>8.446455505278995E-2</v>
      </c>
      <c r="I35" s="35">
        <f t="shared" si="185"/>
        <v>0.11819389110225734</v>
      </c>
      <c r="J35" s="35">
        <f t="shared" si="185"/>
        <v>0.10664993726474294</v>
      </c>
      <c r="K35" s="35">
        <f t="shared" si="185"/>
        <v>4.9881235154393959E-2</v>
      </c>
      <c r="L35" s="35">
        <f t="shared" si="185"/>
        <v>-1.2642225031602597E-3</v>
      </c>
      <c r="M35" s="35">
        <f t="shared" si="185"/>
        <v>-4.5994065281898866E-2</v>
      </c>
      <c r="N35" s="35">
        <f t="shared" si="185"/>
        <v>5.1311288483466277E-2</v>
      </c>
      <c r="O35" s="35">
        <f t="shared" si="185"/>
        <v>2.4774774774774411E-2</v>
      </c>
      <c r="P35" s="35">
        <f t="shared" si="185"/>
        <v>-2.9743589743589767E-2</v>
      </c>
      <c r="Q35" s="35">
        <f t="shared" si="185"/>
        <v>0.14306676449009564</v>
      </c>
      <c r="R35" s="35">
        <f t="shared" si="185"/>
        <v>0.2022926500337153</v>
      </c>
      <c r="S35" s="35">
        <f t="shared" si="185"/>
        <v>0.11164057181756297</v>
      </c>
      <c r="T35" s="35">
        <f t="shared" si="185"/>
        <v>0.10013440860215063</v>
      </c>
      <c r="U35" s="35">
        <f t="shared" si="185"/>
        <v>0.19550930996714119</v>
      </c>
      <c r="V35" s="35">
        <f t="shared" ref="V35:W35" si="186">+IFERROR(V33/V$19,"n/a")</f>
        <v>0.21759023894255158</v>
      </c>
      <c r="W35" s="35">
        <f t="shared" si="186"/>
        <v>0.23520561685055133</v>
      </c>
      <c r="X35" s="35">
        <f t="shared" ref="X35" si="187">+IFERROR(X33/X$19,"n/a")</f>
        <v>0.20849999999999966</v>
      </c>
      <c r="Y35" s="35">
        <f t="shared" ref="Y35:AC35" si="188">+IFERROR(Y33/Y$19,"n/a")</f>
        <v>0.26304252520824234</v>
      </c>
      <c r="Z35" s="35">
        <f t="shared" si="188"/>
        <v>0.28559670781892976</v>
      </c>
      <c r="AA35" s="35">
        <f t="shared" si="188"/>
        <v>0.27552914964723335</v>
      </c>
      <c r="AB35" s="35">
        <f t="shared" si="188"/>
        <v>0.21084565794463397</v>
      </c>
      <c r="AC35" s="35">
        <f t="shared" si="188"/>
        <v>0.28914535246412981</v>
      </c>
      <c r="AD35" s="35">
        <f t="shared" ref="AD35" si="189">+IFERROR(AD33/AD$19,"n/a")</f>
        <v>0.30156121610517661</v>
      </c>
      <c r="AE35" s="35">
        <f t="shared" ref="AE35" si="190">+IFERROR(AE33/AE$19,"n/a")</f>
        <v>0.31029706367226478</v>
      </c>
      <c r="AF35" s="35">
        <f t="shared" ref="AF35:AI35" si="191">+IFERROR(AF33/AF$19,"n/a")</f>
        <v>0.26147326718868702</v>
      </c>
      <c r="AG35" s="35">
        <f t="shared" si="191"/>
        <v>0.32870782417207067</v>
      </c>
      <c r="AH35" s="35">
        <f t="shared" si="191"/>
        <v>0.32781057810578107</v>
      </c>
      <c r="AI35" s="35">
        <f t="shared" si="191"/>
        <v>0.33624734275759793</v>
      </c>
      <c r="AK35" s="35">
        <f>+IFERROR(AK33/AK$19,"n/a")</f>
        <v>9.3787099327265602E-2</v>
      </c>
      <c r="AL35" s="35">
        <f>+IFERROR(AL33/AL$19,"n/a")</f>
        <v>7.479224376731293E-2</v>
      </c>
      <c r="AM35" s="35">
        <f t="shared" ref="AM35:AO35" si="192">+IFERROR(AM33/AM$19,"n/a")</f>
        <v>8.903436988543352E-2</v>
      </c>
      <c r="AN35" s="35">
        <f t="shared" si="192"/>
        <v>1.0835913312693455E-2</v>
      </c>
      <c r="AO35" s="35">
        <f t="shared" si="192"/>
        <v>0.11909262759924391</v>
      </c>
      <c r="AP35" s="35">
        <f t="shared" ref="AP35:AQ35" si="193">+IFERROR(AP33/AP$19,"n/a")</f>
        <v>0.19285223367697571</v>
      </c>
      <c r="AQ35" s="35">
        <f t="shared" si="193"/>
        <v>0.2608464483198637</v>
      </c>
      <c r="AR35" s="35">
        <f t="shared" ref="AR35:AS35" si="194">+IFERROR(AR33/AR$19,"n/a")</f>
        <v>0.28348508884854162</v>
      </c>
      <c r="AS35" s="35">
        <f t="shared" si="194"/>
        <v>0.31575119832909465</v>
      </c>
    </row>
    <row r="36" spans="2:47" ht="10.15" x14ac:dyDescent="0.2">
      <c r="D36" s="19"/>
      <c r="E36" s="19"/>
      <c r="F36" s="19"/>
      <c r="G36" s="19"/>
      <c r="H36" s="19"/>
      <c r="I36" s="19"/>
      <c r="J36" s="19"/>
      <c r="K36" s="19"/>
      <c r="AK36" s="19"/>
      <c r="AL36" s="19"/>
      <c r="AM36" s="19"/>
      <c r="AN36" s="19"/>
      <c r="AO36" s="19"/>
      <c r="AP36" s="19"/>
      <c r="AQ36" s="19"/>
      <c r="AR36" s="19"/>
      <c r="AS36" s="19"/>
    </row>
    <row r="37" spans="2:47" ht="12" x14ac:dyDescent="0.35">
      <c r="B37" s="11" t="s">
        <v>154</v>
      </c>
      <c r="D37" s="30">
        <f t="shared" ref="D37:U37" si="195">+D330</f>
        <v>16.600000000000001</v>
      </c>
      <c r="E37" s="30">
        <f t="shared" si="195"/>
        <v>16.2</v>
      </c>
      <c r="F37" s="30">
        <f t="shared" si="195"/>
        <v>16.5</v>
      </c>
      <c r="G37" s="30">
        <f t="shared" si="195"/>
        <v>16.899999999999999</v>
      </c>
      <c r="H37" s="30">
        <f t="shared" si="195"/>
        <v>14.8</v>
      </c>
      <c r="I37" s="30">
        <f t="shared" si="195"/>
        <v>15.2</v>
      </c>
      <c r="J37" s="30">
        <f t="shared" si="195"/>
        <v>16.100000000000001</v>
      </c>
      <c r="K37" s="30">
        <f t="shared" si="195"/>
        <v>16.5</v>
      </c>
      <c r="L37" s="30">
        <f t="shared" si="195"/>
        <v>17.600000000000001</v>
      </c>
      <c r="M37" s="30">
        <f t="shared" si="195"/>
        <v>17.899999999999999</v>
      </c>
      <c r="N37" s="30">
        <f t="shared" si="195"/>
        <v>24.2</v>
      </c>
      <c r="O37" s="30">
        <f t="shared" si="195"/>
        <v>24.5</v>
      </c>
      <c r="P37" s="30">
        <f t="shared" si="195"/>
        <v>25.3</v>
      </c>
      <c r="Q37" s="30">
        <f t="shared" si="195"/>
        <v>25.7</v>
      </c>
      <c r="R37" s="30">
        <f t="shared" si="195"/>
        <v>25.8</v>
      </c>
      <c r="S37" s="30">
        <f t="shared" si="195"/>
        <v>27.6</v>
      </c>
      <c r="T37" s="30">
        <f t="shared" si="195"/>
        <v>29.1</v>
      </c>
      <c r="U37" s="30">
        <f t="shared" si="195"/>
        <v>29.9</v>
      </c>
      <c r="V37" s="30">
        <f t="shared" ref="V37:W37" si="196">+V330</f>
        <v>42.6</v>
      </c>
      <c r="W37" s="30">
        <f t="shared" si="196"/>
        <v>47.5</v>
      </c>
      <c r="X37" s="30">
        <f t="shared" ref="X37" si="197">+X330</f>
        <v>47.6</v>
      </c>
      <c r="Y37" s="30">
        <f t="shared" ref="Y37:AC37" si="198">+Y330</f>
        <v>50</v>
      </c>
      <c r="Z37" s="30">
        <f t="shared" si="198"/>
        <v>55.1</v>
      </c>
      <c r="AA37" s="30">
        <f t="shared" si="198"/>
        <v>61.9</v>
      </c>
      <c r="AB37" s="30">
        <f t="shared" si="198"/>
        <v>66.099999999999994</v>
      </c>
      <c r="AC37" s="30">
        <f t="shared" si="198"/>
        <v>69.7</v>
      </c>
      <c r="AD37" s="30">
        <f t="shared" ref="AD37" si="199">+AD330</f>
        <v>77.3</v>
      </c>
      <c r="AE37" s="60">
        <v>80</v>
      </c>
      <c r="AF37" s="60">
        <f>+AE37+3</f>
        <v>83</v>
      </c>
      <c r="AG37" s="60">
        <f t="shared" ref="AG37" si="200">+AF37+1</f>
        <v>84</v>
      </c>
      <c r="AH37" s="60">
        <f t="shared" ref="AH37" si="201">+AG37+1</f>
        <v>85</v>
      </c>
      <c r="AI37" s="60">
        <f t="shared" ref="AI37" si="202">+AH37+1</f>
        <v>86</v>
      </c>
      <c r="AK37" s="30">
        <f>+AK330</f>
        <v>66.199999999999989</v>
      </c>
      <c r="AL37" s="30">
        <f>+AL330</f>
        <v>71</v>
      </c>
      <c r="AM37" s="30">
        <f t="shared" ref="AM37:AO37" si="203">+AM330</f>
        <v>62.6</v>
      </c>
      <c r="AN37" s="30">
        <f t="shared" si="203"/>
        <v>84.2</v>
      </c>
      <c r="AO37" s="30">
        <f t="shared" si="203"/>
        <v>104.4</v>
      </c>
      <c r="AP37" s="30">
        <f t="shared" ref="AP37:AQ37" si="204">+AP330</f>
        <v>149.1</v>
      </c>
      <c r="AQ37" s="30">
        <f t="shared" si="204"/>
        <v>214.6</v>
      </c>
      <c r="AR37" s="30">
        <f t="shared" ref="AR37:AR38" si="205">+SUM(AB37:AE37)</f>
        <v>293.10000000000002</v>
      </c>
      <c r="AS37" s="30">
        <f>+SUM(AF37:AI37)</f>
        <v>338</v>
      </c>
    </row>
    <row r="38" spans="2:47" s="1" customFormat="1" ht="10.15" x14ac:dyDescent="0.2">
      <c r="B38" s="40" t="s">
        <v>69</v>
      </c>
      <c r="D38" s="32">
        <f>+D341</f>
        <v>20.574999999999996</v>
      </c>
      <c r="E38" s="32">
        <f t="shared" ref="E38:U38" si="206">+E341</f>
        <v>21.875000000000028</v>
      </c>
      <c r="F38" s="32">
        <f t="shared" si="206"/>
        <v>21.574999999999992</v>
      </c>
      <c r="G38" s="32">
        <f t="shared" si="206"/>
        <v>25.874999999999993</v>
      </c>
      <c r="H38" s="32">
        <f t="shared" si="206"/>
        <v>20.399999999999974</v>
      </c>
      <c r="I38" s="32">
        <f t="shared" si="206"/>
        <v>24.099999999999977</v>
      </c>
      <c r="J38" s="32">
        <f t="shared" si="206"/>
        <v>24.600000000000016</v>
      </c>
      <c r="K38" s="32">
        <f t="shared" si="206"/>
        <v>20.699999999999971</v>
      </c>
      <c r="L38" s="32">
        <f t="shared" si="206"/>
        <v>17.500000000000025</v>
      </c>
      <c r="M38" s="32">
        <f t="shared" si="206"/>
        <v>14.800000000000015</v>
      </c>
      <c r="N38" s="32">
        <f t="shared" si="206"/>
        <v>28.699999999999992</v>
      </c>
      <c r="O38" s="32">
        <f t="shared" si="206"/>
        <v>26.699999999999967</v>
      </c>
      <c r="P38" s="32">
        <f t="shared" si="206"/>
        <v>22.4</v>
      </c>
      <c r="Q38" s="32">
        <f t="shared" si="206"/>
        <v>45.200000000000038</v>
      </c>
      <c r="R38" s="32">
        <f t="shared" si="206"/>
        <v>55.799999999999983</v>
      </c>
      <c r="S38" s="32">
        <f t="shared" si="206"/>
        <v>44</v>
      </c>
      <c r="T38" s="32">
        <f t="shared" si="206"/>
        <v>44.000000000000014</v>
      </c>
      <c r="U38" s="32">
        <f t="shared" si="206"/>
        <v>65.599999999999966</v>
      </c>
      <c r="V38" s="32">
        <f t="shared" ref="V38:W38" si="207">+V341</f>
        <v>85.399999999999892</v>
      </c>
      <c r="W38" s="32">
        <f t="shared" si="207"/>
        <v>94.399999999999935</v>
      </c>
      <c r="X38" s="32">
        <f t="shared" ref="X38" si="208">+X341</f>
        <v>89.29999999999994</v>
      </c>
      <c r="Y38" s="32">
        <f t="shared" ref="Y38:AC38" si="209">+Y341</f>
        <v>110.00000000000009</v>
      </c>
      <c r="Z38" s="32">
        <f>+Z341</f>
        <v>124.49999999999994</v>
      </c>
      <c r="AA38" s="32">
        <f t="shared" si="209"/>
        <v>136.09999999999994</v>
      </c>
      <c r="AB38" s="32">
        <f t="shared" si="209"/>
        <v>121.69999999999996</v>
      </c>
      <c r="AC38" s="32">
        <f t="shared" si="209"/>
        <v>162.40000000000003</v>
      </c>
      <c r="AD38" s="32">
        <f t="shared" ref="AD38" si="210">+AD341</f>
        <v>187.39999999999998</v>
      </c>
      <c r="AE38" s="32">
        <f>+AE40*AE19</f>
        <v>204.30345567399448</v>
      </c>
      <c r="AF38" s="32">
        <f>+AF40*AF19</f>
        <v>182.31179081599996</v>
      </c>
      <c r="AG38" s="32">
        <f>+AG40*AG19</f>
        <v>228.34180128355555</v>
      </c>
      <c r="AH38" s="32">
        <f>+AH40*AH19</f>
        <v>229.98144000000005</v>
      </c>
      <c r="AI38" s="32">
        <f>+AI40*AI19</f>
        <v>243.3706302326091</v>
      </c>
      <c r="AK38" s="32">
        <f>+AK341</f>
        <v>89.9</v>
      </c>
      <c r="AL38" s="32">
        <f>+AL341</f>
        <v>89.899999999999977</v>
      </c>
      <c r="AM38" s="32">
        <f t="shared" ref="AM38:AO38" si="211">+AM341</f>
        <v>89.79999999999994</v>
      </c>
      <c r="AN38" s="32">
        <f t="shared" si="211"/>
        <v>87.699999999999989</v>
      </c>
      <c r="AO38" s="32">
        <f t="shared" si="211"/>
        <v>167.40000000000003</v>
      </c>
      <c r="AP38" s="32">
        <f t="shared" ref="AP38:AQ38" si="212">+AP341</f>
        <v>289.39999999999981</v>
      </c>
      <c r="AQ38" s="32">
        <f t="shared" si="212"/>
        <v>459.89999999999986</v>
      </c>
      <c r="AR38" s="32">
        <f t="shared" si="205"/>
        <v>675.80345567399445</v>
      </c>
      <c r="AS38" s="32">
        <f>+SUM(AF38:AI38)</f>
        <v>884.00566233216466</v>
      </c>
      <c r="AU38" s="57"/>
    </row>
    <row r="39" spans="2:47" ht="10.15" x14ac:dyDescent="0.2">
      <c r="B39" s="41" t="s">
        <v>136</v>
      </c>
      <c r="D39" s="50"/>
      <c r="E39" s="50"/>
      <c r="F39" s="50"/>
      <c r="G39" s="50"/>
      <c r="H39" s="43">
        <f t="shared" ref="H39" si="213">+IFERROR(H38/D38-1,"n/a")</f>
        <v>-8.5054678007301376E-3</v>
      </c>
      <c r="I39" s="43">
        <f t="shared" ref="I39" si="214">+IFERROR(I38/E38-1,"n/a")</f>
        <v>0.1017142857142832</v>
      </c>
      <c r="J39" s="43">
        <f t="shared" ref="J39" si="215">+IFERROR(J38/F38-1,"n/a")</f>
        <v>0.14020857473928272</v>
      </c>
      <c r="K39" s="43">
        <f t="shared" ref="K39" si="216">+IFERROR(K38/G38-1,"n/a")</f>
        <v>-0.20000000000000095</v>
      </c>
      <c r="L39" s="43">
        <f t="shared" ref="L39" si="217">+IFERROR(L38/H38-1,"n/a")</f>
        <v>-0.14215686274509576</v>
      </c>
      <c r="M39" s="43">
        <f t="shared" ref="M39" si="218">+IFERROR(M38/I38-1,"n/a")</f>
        <v>-0.38589211618257135</v>
      </c>
      <c r="N39" s="43">
        <f t="shared" ref="N39" si="219">+IFERROR(N38/J38-1,"n/a")</f>
        <v>0.16666666666666563</v>
      </c>
      <c r="O39" s="43">
        <f t="shared" ref="O39" si="220">+IFERROR(O38/K38-1,"n/a")</f>
        <v>0.28985507246376829</v>
      </c>
      <c r="P39" s="43">
        <f t="shared" ref="P39" si="221">+IFERROR(P38/L38-1,"n/a")</f>
        <v>0.27999999999999803</v>
      </c>
      <c r="Q39" s="43">
        <f t="shared" ref="Q39" si="222">+IFERROR(Q38/M38-1,"n/a")</f>
        <v>2.0540540540540535</v>
      </c>
      <c r="R39" s="43">
        <f t="shared" ref="R39" si="223">+IFERROR(R38/N38-1,"n/a")</f>
        <v>0.94425087108013939</v>
      </c>
      <c r="S39" s="43">
        <f t="shared" ref="S39" si="224">+IFERROR(S38/O38-1,"n/a")</f>
        <v>0.64794007490636907</v>
      </c>
      <c r="T39" s="43">
        <f t="shared" ref="T39" si="225">+IFERROR(T38/P38-1,"n/a")</f>
        <v>0.96428571428571508</v>
      </c>
      <c r="U39" s="43">
        <f t="shared" ref="U39:X39" si="226">+IFERROR(U38/Q38-1,"n/a")</f>
        <v>0.45132743362831662</v>
      </c>
      <c r="V39" s="43">
        <f t="shared" si="226"/>
        <v>0.5304659498207871</v>
      </c>
      <c r="W39" s="43">
        <f t="shared" si="226"/>
        <v>1.1454545454545442</v>
      </c>
      <c r="X39" s="43">
        <f t="shared" si="226"/>
        <v>1.0295454545454525</v>
      </c>
      <c r="Y39" s="43">
        <f t="shared" ref="Y39" si="227">+IFERROR(Y38/U38-1,"n/a")</f>
        <v>0.67682926829268508</v>
      </c>
      <c r="Z39" s="43">
        <f t="shared" ref="Z39" si="228">+IFERROR(Z38/V38-1,"n/a")</f>
        <v>0.45784543325527061</v>
      </c>
      <c r="AA39" s="43">
        <f t="shared" ref="AA39" si="229">+IFERROR(AA38/W38-1,"n/a")</f>
        <v>0.44173728813559365</v>
      </c>
      <c r="AB39" s="43">
        <f t="shared" ref="AB39" si="230">+IFERROR(AB38/X38-1,"n/a")</f>
        <v>0.36282194848824245</v>
      </c>
      <c r="AC39" s="43">
        <f t="shared" ref="AC39:AD39" si="231">+IFERROR(AC38/Y38-1,"n/a")</f>
        <v>0.47636363636363543</v>
      </c>
      <c r="AD39" s="43">
        <f t="shared" si="231"/>
        <v>0.50522088353413697</v>
      </c>
      <c r="AE39" s="43">
        <f t="shared" ref="AE39" si="232">+IFERROR(AE38/AA38-1,"n/a")</f>
        <v>0.50112752148416284</v>
      </c>
      <c r="AF39" s="43">
        <f t="shared" ref="AF39" si="233">+IFERROR(AF38/AB38-1,"n/a")</f>
        <v>0.49804265255546443</v>
      </c>
      <c r="AG39" s="43">
        <f t="shared" ref="AG39" si="234">+IFERROR(AG38/AC38-1,"n/a")</f>
        <v>0.40604557440612998</v>
      </c>
      <c r="AH39" s="43">
        <f t="shared" ref="AH39" si="235">+IFERROR(AH38/AD38-1,"n/a")</f>
        <v>0.22722219850587022</v>
      </c>
      <c r="AI39" s="43">
        <f t="shared" ref="AI39" si="236">+IFERROR(AI38/AE38-1,"n/a")</f>
        <v>0.19122131062214542</v>
      </c>
      <c r="AK39" s="50"/>
      <c r="AL39" s="50"/>
      <c r="AM39" s="25">
        <f>+IFERROR(AM38/AL38-1,"n/a")</f>
        <v>-1.1123470522806933E-3</v>
      </c>
      <c r="AN39" s="25">
        <f t="shared" ref="AN39" si="237">+IFERROR(AN38/AM38-1,"n/a")</f>
        <v>-2.3385300668150921E-2</v>
      </c>
      <c r="AO39" s="25">
        <f t="shared" ref="AO39" si="238">+IFERROR(AO38/AN38-1,"n/a")</f>
        <v>0.90877993158494941</v>
      </c>
      <c r="AP39" s="25">
        <f t="shared" ref="AP39" si="239">+IFERROR(AP38/AO38-1,"n/a")</f>
        <v>0.72879330943846932</v>
      </c>
      <c r="AQ39" s="25">
        <f t="shared" ref="AQ39" si="240">+IFERROR(AQ38/AP38-1,"n/a")</f>
        <v>0.58914996544575038</v>
      </c>
      <c r="AR39" s="25">
        <f t="shared" ref="AR39:AS39" si="241">+IFERROR(AR38/AQ38-1,"n/a")</f>
        <v>0.46945739437702683</v>
      </c>
      <c r="AS39" s="25">
        <f t="shared" si="241"/>
        <v>0.30808100330076793</v>
      </c>
    </row>
    <row r="40" spans="2:47" ht="10.15" x14ac:dyDescent="0.2">
      <c r="B40" s="41" t="s">
        <v>146</v>
      </c>
      <c r="D40" s="35">
        <f>+IFERROR(D38/D$19,"n/a")</f>
        <v>0.35970279720279713</v>
      </c>
      <c r="E40" s="35">
        <f t="shared" ref="E40:U40" si="242">+IFERROR(E38/E$19,"n/a")</f>
        <v>0.3444881889763784</v>
      </c>
      <c r="F40" s="35">
        <f t="shared" si="242"/>
        <v>0.32938931297709911</v>
      </c>
      <c r="G40" s="35">
        <f t="shared" si="242"/>
        <v>0.38909774436090205</v>
      </c>
      <c r="H40" s="35">
        <f t="shared" si="242"/>
        <v>0.30769230769230732</v>
      </c>
      <c r="I40" s="35">
        <f t="shared" si="242"/>
        <v>0.32005312084993331</v>
      </c>
      <c r="J40" s="35">
        <f t="shared" si="242"/>
        <v>0.30865746549560868</v>
      </c>
      <c r="K40" s="35">
        <f t="shared" si="242"/>
        <v>0.24584323040380016</v>
      </c>
      <c r="L40" s="35">
        <f t="shared" si="242"/>
        <v>0.22123893805309763</v>
      </c>
      <c r="M40" s="35">
        <f t="shared" si="242"/>
        <v>0.21958456973293788</v>
      </c>
      <c r="N40" s="35">
        <f t="shared" si="242"/>
        <v>0.32725199543899647</v>
      </c>
      <c r="O40" s="35">
        <f t="shared" si="242"/>
        <v>0.30067567567567538</v>
      </c>
      <c r="P40" s="35">
        <f t="shared" si="242"/>
        <v>0.22974358974358972</v>
      </c>
      <c r="Q40" s="35">
        <f t="shared" si="242"/>
        <v>0.33162142333088801</v>
      </c>
      <c r="R40" s="35">
        <f t="shared" si="242"/>
        <v>0.37626432906271057</v>
      </c>
      <c r="S40" s="35">
        <f t="shared" si="242"/>
        <v>0.29952348536419338</v>
      </c>
      <c r="T40" s="35">
        <f t="shared" si="242"/>
        <v>0.29569892473118292</v>
      </c>
      <c r="U40" s="35">
        <f t="shared" si="242"/>
        <v>0.35925520262869653</v>
      </c>
      <c r="V40" s="35">
        <f t="shared" ref="V40:W40" si="243">+IFERROR(V38/V$19,"n/a")</f>
        <v>0.4341637010676152</v>
      </c>
      <c r="W40" s="35">
        <f t="shared" si="243"/>
        <v>0.47342026078234672</v>
      </c>
      <c r="X40" s="35">
        <f t="shared" ref="X40" si="244">+IFERROR(X38/X$19,"n/a")</f>
        <v>0.44649999999999962</v>
      </c>
      <c r="Y40" s="35">
        <f t="shared" ref="Y40:AC40" si="245">+IFERROR(Y38/Y$19,"n/a")</f>
        <v>0.48224462954844394</v>
      </c>
      <c r="Z40" s="35">
        <f t="shared" si="245"/>
        <v>0.51234567901234529</v>
      </c>
      <c r="AA40" s="35">
        <f t="shared" si="245"/>
        <v>0.50538432974378</v>
      </c>
      <c r="AB40" s="35">
        <f t="shared" si="245"/>
        <v>0.46150929086082665</v>
      </c>
      <c r="AC40" s="35">
        <f t="shared" si="245"/>
        <v>0.50655021834061142</v>
      </c>
      <c r="AD40" s="35">
        <f t="shared" ref="AD40" si="246">+IFERROR(AD38/AD$19,"n/a")</f>
        <v>0.51328403177211712</v>
      </c>
      <c r="AE40" s="59">
        <v>0.51</v>
      </c>
      <c r="AF40" s="59">
        <v>0.48</v>
      </c>
      <c r="AG40" s="59">
        <v>0.52</v>
      </c>
      <c r="AH40" s="59">
        <v>0.52</v>
      </c>
      <c r="AI40" s="59">
        <v>0.52</v>
      </c>
      <c r="AK40" s="35">
        <f>+IFERROR(AK38/AK$19,"n/a")</f>
        <v>0.35575781559161063</v>
      </c>
      <c r="AL40" s="35">
        <f>+IFERROR(AL38/AL$19,"n/a")</f>
        <v>0.35575781559161052</v>
      </c>
      <c r="AM40" s="35">
        <f t="shared" ref="AM40:AO40" si="247">+IFERROR(AM38/AM$19,"n/a")</f>
        <v>0.29394435351882142</v>
      </c>
      <c r="AN40" s="35">
        <f t="shared" si="247"/>
        <v>0.27151702786377707</v>
      </c>
      <c r="AO40" s="35">
        <f t="shared" si="247"/>
        <v>0.31644612476370515</v>
      </c>
      <c r="AP40" s="35">
        <f t="shared" ref="AP40:AQ40" si="248">+IFERROR(AP38/AP$19,"n/a")</f>
        <v>0.39780068728522316</v>
      </c>
      <c r="AQ40" s="35">
        <f t="shared" si="248"/>
        <v>0.4890472139515098</v>
      </c>
      <c r="AR40" s="35">
        <f t="shared" ref="AR40:AS40" si="249">+IFERROR(AR38/AR$19,"n/a")</f>
        <v>0.50059700228861059</v>
      </c>
      <c r="AS40" s="35">
        <f t="shared" si="249"/>
        <v>0.51121419880308627</v>
      </c>
    </row>
    <row r="41" spans="2:47" ht="10.15" x14ac:dyDescent="0.2">
      <c r="D41" s="19"/>
      <c r="E41" s="19"/>
      <c r="F41" s="19"/>
      <c r="G41" s="19"/>
      <c r="H41" s="19"/>
      <c r="I41" s="19"/>
      <c r="J41" s="19"/>
      <c r="K41" s="19"/>
      <c r="V41" s="35"/>
      <c r="W41" s="35"/>
      <c r="X41" s="35"/>
      <c r="Y41" s="35"/>
      <c r="Z41" s="35"/>
      <c r="AA41" s="35"/>
      <c r="AB41" s="35"/>
      <c r="AC41" s="35"/>
      <c r="AK41" s="19"/>
      <c r="AL41" s="19"/>
      <c r="AM41" s="19"/>
      <c r="AN41" s="19"/>
      <c r="AO41" s="19"/>
      <c r="AP41" s="19"/>
      <c r="AQ41" s="19"/>
      <c r="AR41" s="19"/>
      <c r="AS41" s="19"/>
    </row>
    <row r="42" spans="2:47" ht="12" x14ac:dyDescent="0.35">
      <c r="B42" t="s">
        <v>155</v>
      </c>
      <c r="D42" s="30">
        <f>-D334</f>
        <v>0</v>
      </c>
      <c r="E42" s="30">
        <f t="shared" ref="E42:U42" si="250">-E334</f>
        <v>0</v>
      </c>
      <c r="F42" s="30">
        <f t="shared" si="250"/>
        <v>0</v>
      </c>
      <c r="G42" s="30">
        <f t="shared" si="250"/>
        <v>0</v>
      </c>
      <c r="H42" s="30">
        <f t="shared" si="250"/>
        <v>0</v>
      </c>
      <c r="I42" s="30">
        <f t="shared" si="250"/>
        <v>0</v>
      </c>
      <c r="J42" s="30">
        <f t="shared" si="250"/>
        <v>0</v>
      </c>
      <c r="K42" s="30">
        <f t="shared" si="250"/>
        <v>0</v>
      </c>
      <c r="L42" s="30">
        <f t="shared" si="250"/>
        <v>0</v>
      </c>
      <c r="M42" s="30">
        <f t="shared" si="250"/>
        <v>-50</v>
      </c>
      <c r="N42" s="30">
        <f t="shared" si="250"/>
        <v>-6.2</v>
      </c>
      <c r="O42" s="30">
        <f t="shared" si="250"/>
        <v>-10.7</v>
      </c>
      <c r="P42" s="30">
        <f t="shared" si="250"/>
        <v>-14.1</v>
      </c>
      <c r="Q42" s="30">
        <f t="shared" si="250"/>
        <v>-11.3</v>
      </c>
      <c r="R42" s="30">
        <f t="shared" si="250"/>
        <v>-6.6</v>
      </c>
      <c r="S42" s="30">
        <f t="shared" si="250"/>
        <v>-15.3</v>
      </c>
      <c r="T42" s="30">
        <f t="shared" si="250"/>
        <v>-17.100000000000001</v>
      </c>
      <c r="U42" s="30">
        <f t="shared" si="250"/>
        <v>-9.6999999999999993</v>
      </c>
      <c r="V42" s="30">
        <f t="shared" ref="V42:W42" si="251">-V334</f>
        <v>-12.3</v>
      </c>
      <c r="W42" s="30">
        <f t="shared" si="251"/>
        <v>-11.3</v>
      </c>
      <c r="X42" s="30">
        <f t="shared" ref="X42" si="252">-X334</f>
        <v>-21.2</v>
      </c>
      <c r="Y42" s="30">
        <f t="shared" ref="Y42:AC42" si="253">-Y334</f>
        <v>-13.7</v>
      </c>
      <c r="Z42" s="30">
        <f t="shared" si="253"/>
        <v>-12.6</v>
      </c>
      <c r="AA42" s="30">
        <f t="shared" si="253"/>
        <v>-11.6</v>
      </c>
      <c r="AB42" s="30">
        <f t="shared" si="253"/>
        <v>-23.2</v>
      </c>
      <c r="AC42" s="30">
        <f t="shared" si="253"/>
        <v>-14.5</v>
      </c>
      <c r="AD42" s="30">
        <f t="shared" ref="AD42" si="254">-AD334</f>
        <v>-14.4</v>
      </c>
      <c r="AE42" s="60">
        <v>-15</v>
      </c>
      <c r="AF42" s="60">
        <v>-25</v>
      </c>
      <c r="AG42" s="60">
        <v>-17</v>
      </c>
      <c r="AH42" s="60">
        <v>-17</v>
      </c>
      <c r="AI42" s="60">
        <v>-17</v>
      </c>
      <c r="AK42" s="30">
        <f>-AK334</f>
        <v>0</v>
      </c>
      <c r="AL42" s="30">
        <f>-AL334</f>
        <v>0</v>
      </c>
      <c r="AM42" s="30">
        <f t="shared" ref="AM42:AO42" si="255">-AM334</f>
        <v>0</v>
      </c>
      <c r="AN42" s="30">
        <f t="shared" si="255"/>
        <v>-66.900000000000006</v>
      </c>
      <c r="AO42" s="30">
        <f t="shared" si="255"/>
        <v>-47.3</v>
      </c>
      <c r="AP42" s="30">
        <f t="shared" ref="AP42:AQ42" si="256">-AP334</f>
        <v>-50.400000000000006</v>
      </c>
      <c r="AQ42" s="30">
        <f t="shared" si="256"/>
        <v>-59.1</v>
      </c>
      <c r="AR42" s="30">
        <f t="shared" ref="AR42:AR43" si="257">+SUM(AB42:AE42)</f>
        <v>-67.099999999999994</v>
      </c>
      <c r="AS42" s="30">
        <f>+SUM(AF42:AI42)</f>
        <v>-76</v>
      </c>
    </row>
    <row r="43" spans="2:47" ht="10.15" x14ac:dyDescent="0.2">
      <c r="B43" s="11" t="s">
        <v>156</v>
      </c>
      <c r="D43" s="29">
        <f>+D33+D42</f>
        <v>3.9749999999999943</v>
      </c>
      <c r="E43" s="29">
        <f t="shared" ref="E43:U43" si="258">+E33+E42</f>
        <v>5.6750000000000291</v>
      </c>
      <c r="F43" s="29">
        <f t="shared" si="258"/>
        <v>5.0749999999999922</v>
      </c>
      <c r="G43" s="29">
        <f t="shared" si="258"/>
        <v>8.9749999999999943</v>
      </c>
      <c r="H43" s="29">
        <f t="shared" si="258"/>
        <v>5.599999999999973</v>
      </c>
      <c r="I43" s="29">
        <f t="shared" si="258"/>
        <v>8.8999999999999773</v>
      </c>
      <c r="J43" s="29">
        <f t="shared" si="258"/>
        <v>8.5000000000000142</v>
      </c>
      <c r="K43" s="29">
        <f t="shared" si="258"/>
        <v>4.1999999999999709</v>
      </c>
      <c r="L43" s="29">
        <f t="shared" si="258"/>
        <v>-9.9999999999976552E-2</v>
      </c>
      <c r="M43" s="29">
        <f t="shared" si="258"/>
        <v>-53.09999999999998</v>
      </c>
      <c r="N43" s="29">
        <f t="shared" si="258"/>
        <v>-1.7000000000000073</v>
      </c>
      <c r="O43" s="29">
        <f t="shared" si="258"/>
        <v>-8.500000000000032</v>
      </c>
      <c r="P43" s="29">
        <f t="shared" si="258"/>
        <v>-17</v>
      </c>
      <c r="Q43" s="29">
        <f t="shared" si="258"/>
        <v>8.2000000000000384</v>
      </c>
      <c r="R43" s="29">
        <f t="shared" si="258"/>
        <v>23.399999999999984</v>
      </c>
      <c r="S43" s="29">
        <f t="shared" si="258"/>
        <v>1.0999999999999979</v>
      </c>
      <c r="T43" s="29">
        <f t="shared" si="258"/>
        <v>-2.1999999999999886</v>
      </c>
      <c r="U43" s="29">
        <f t="shared" si="258"/>
        <v>25.999999999999968</v>
      </c>
      <c r="V43" s="29">
        <f t="shared" ref="V43:W43" si="259">+V33+V42</f>
        <v>30.49999999999989</v>
      </c>
      <c r="W43" s="29">
        <f t="shared" si="259"/>
        <v>35.599999999999937</v>
      </c>
      <c r="X43" s="29">
        <f t="shared" ref="X43" si="260">+X33+X42</f>
        <v>20.49999999999994</v>
      </c>
      <c r="Y43" s="29">
        <f t="shared" ref="Y43:AC43" si="261">+Y33+Y42</f>
        <v>46.300000000000082</v>
      </c>
      <c r="Z43" s="29">
        <f t="shared" si="261"/>
        <v>56.799999999999947</v>
      </c>
      <c r="AA43" s="29">
        <f t="shared" si="261"/>
        <v>62.59999999999993</v>
      </c>
      <c r="AB43" s="29">
        <f t="shared" si="261"/>
        <v>32.399999999999963</v>
      </c>
      <c r="AC43" s="29">
        <f t="shared" si="261"/>
        <v>78.200000000000031</v>
      </c>
      <c r="AD43" s="29">
        <f t="shared" ref="AD43" si="262">+AD33+AD42</f>
        <v>95.699999999999974</v>
      </c>
      <c r="AE43" s="29">
        <f t="shared" ref="AE43" si="263">+AE33+AE42</f>
        <v>109.30345567399448</v>
      </c>
      <c r="AF43" s="29">
        <f t="shared" ref="AF43:AI43" si="264">+AF33+AF42</f>
        <v>74.311790815999956</v>
      </c>
      <c r="AG43" s="29">
        <f t="shared" si="264"/>
        <v>127.34180128355555</v>
      </c>
      <c r="AH43" s="29">
        <f t="shared" si="264"/>
        <v>127.98144000000005</v>
      </c>
      <c r="AI43" s="29">
        <f t="shared" si="264"/>
        <v>140.3706302326091</v>
      </c>
      <c r="AK43" s="29">
        <f>+AK33+AK42</f>
        <v>23.700000000000017</v>
      </c>
      <c r="AL43" s="29">
        <f>+AL33+AL42</f>
        <v>18.899999999999977</v>
      </c>
      <c r="AM43" s="29">
        <f t="shared" ref="AM43:AO43" si="265">+AM33+AM42</f>
        <v>27.199999999999939</v>
      </c>
      <c r="AN43" s="29">
        <f t="shared" si="265"/>
        <v>-63.40000000000002</v>
      </c>
      <c r="AO43" s="29">
        <f t="shared" si="265"/>
        <v>15.700000000000031</v>
      </c>
      <c r="AP43" s="29">
        <f t="shared" ref="AP43:AQ43" si="266">+AP33+AP42</f>
        <v>89.899999999999807</v>
      </c>
      <c r="AQ43" s="29">
        <f t="shared" si="266"/>
        <v>186.19999999999987</v>
      </c>
      <c r="AR43" s="29">
        <f t="shared" si="257"/>
        <v>315.6034556739944</v>
      </c>
      <c r="AS43" s="29">
        <f>+SUM(AF43:AI43)</f>
        <v>470.00566233216466</v>
      </c>
    </row>
    <row r="44" spans="2:47" ht="10.15" x14ac:dyDescent="0.2">
      <c r="B44" s="28" t="s">
        <v>136</v>
      </c>
      <c r="D44" s="50"/>
      <c r="E44" s="50"/>
      <c r="F44" s="50"/>
      <c r="G44" s="50"/>
      <c r="H44" s="43" t="s">
        <v>150</v>
      </c>
      <c r="I44" s="43" t="s">
        <v>150</v>
      </c>
      <c r="J44" s="43" t="s">
        <v>150</v>
      </c>
      <c r="K44" s="43" t="s">
        <v>150</v>
      </c>
      <c r="L44" s="43">
        <f t="shared" ref="L44" si="267">+IFERROR(L43/H43-1,"n/a")</f>
        <v>-1.0178571428571388</v>
      </c>
      <c r="M44" s="43">
        <f t="shared" ref="M44" si="268">+IFERROR(M43/I43-1,"n/a")</f>
        <v>-6.9662921348314732</v>
      </c>
      <c r="N44" s="43">
        <f t="shared" ref="N44" si="269">+IFERROR(N43/J43-1,"n/a")</f>
        <v>-1.2000000000000006</v>
      </c>
      <c r="O44" s="43">
        <f t="shared" ref="O44" si="270">+IFERROR(O43/K43-1,"n/a")</f>
        <v>-3.0238095238095455</v>
      </c>
      <c r="P44" s="43">
        <f t="shared" ref="P44" si="271">+IFERROR(P43/L43-1,"n/a")</f>
        <v>169.00000000003985</v>
      </c>
      <c r="Q44" s="43">
        <f t="shared" ref="Q44" si="272">+IFERROR(Q43/M43-1,"n/a")</f>
        <v>-1.1544256120527314</v>
      </c>
      <c r="R44" s="43">
        <f t="shared" ref="R44" si="273">+IFERROR(R43/N43-1,"n/a")</f>
        <v>-14.764705882352873</v>
      </c>
      <c r="S44" s="43">
        <f t="shared" ref="S44" si="274">+IFERROR(S43/O43-1,"n/a")</f>
        <v>-1.1294117647058817</v>
      </c>
      <c r="T44" s="43">
        <f t="shared" ref="T44" si="275">+IFERROR(T43/P43-1,"n/a")</f>
        <v>-0.87058823529411833</v>
      </c>
      <c r="U44" s="43">
        <f t="shared" ref="U44:X44" si="276">+IFERROR(U43/Q43-1,"n/a")</f>
        <v>2.1707317073170542</v>
      </c>
      <c r="V44" s="43">
        <f t="shared" si="276"/>
        <v>0.30341880341879968</v>
      </c>
      <c r="W44" s="43">
        <f t="shared" si="276"/>
        <v>31.363636363636367</v>
      </c>
      <c r="X44" s="43">
        <f t="shared" si="276"/>
        <v>-10.31818181818184</v>
      </c>
      <c r="Y44" s="43">
        <f t="shared" ref="Y44" si="277">+IFERROR(Y43/U43-1,"n/a")</f>
        <v>0.78076923076923621</v>
      </c>
      <c r="Z44" s="43">
        <f t="shared" ref="Z44" si="278">+IFERROR(Z43/V43-1,"n/a")</f>
        <v>0.86229508196721816</v>
      </c>
      <c r="AA44" s="43">
        <f t="shared" ref="AA44" si="279">+IFERROR(AA43/W43-1,"n/a")</f>
        <v>0.75842696629213591</v>
      </c>
      <c r="AB44" s="43">
        <f t="shared" ref="AB44" si="280">+IFERROR(AB43/X43-1,"n/a")</f>
        <v>0.58048780487805174</v>
      </c>
      <c r="AC44" s="43">
        <f t="shared" ref="AC44:AD44" si="281">+IFERROR(AC43/Y43-1,"n/a")</f>
        <v>0.68898488120950097</v>
      </c>
      <c r="AD44" s="43">
        <f t="shared" si="281"/>
        <v>0.68485915492957861</v>
      </c>
      <c r="AE44" s="43">
        <f t="shared" ref="AE44" si="282">+IFERROR(AE43/AA43-1,"n/a")</f>
        <v>0.74606159223633539</v>
      </c>
      <c r="AF44" s="43">
        <f t="shared" ref="AF44" si="283">+IFERROR(AF43/AB43-1,"n/a")</f>
        <v>1.2935737906172853</v>
      </c>
      <c r="AG44" s="43">
        <f t="shared" ref="AG44" si="284">+IFERROR(AG43/AC43-1,"n/a")</f>
        <v>0.62841178111963569</v>
      </c>
      <c r="AH44" s="43">
        <f t="shared" ref="AH44" si="285">+IFERROR(AH43/AD43-1,"n/a")</f>
        <v>0.33731912225705418</v>
      </c>
      <c r="AI44" s="43">
        <f t="shared" ref="AI44" si="286">+IFERROR(AI43/AE43-1,"n/a")</f>
        <v>0.28422865834429545</v>
      </c>
      <c r="AK44" s="50"/>
      <c r="AL44" s="50"/>
      <c r="AM44" s="25">
        <f>+IFERROR(AM43/AL43-1,"n/a")</f>
        <v>0.43915343915343774</v>
      </c>
      <c r="AN44" s="25">
        <f t="shared" ref="AN44" si="287">+IFERROR(AN43/AM43-1,"n/a")</f>
        <v>-3.3308823529411824</v>
      </c>
      <c r="AO44" s="25">
        <f t="shared" ref="AO44" si="288">+IFERROR(AO43/AN43-1,"n/a")</f>
        <v>-1.2476340694006314</v>
      </c>
      <c r="AP44" s="25">
        <f t="shared" ref="AP44" si="289">+IFERROR(AP43/AO43-1,"n/a")</f>
        <v>4.726114649681505</v>
      </c>
      <c r="AQ44" s="25">
        <f t="shared" ref="AQ44" si="290">+IFERROR(AQ43/AP43-1,"n/a")</f>
        <v>1.0711902113459431</v>
      </c>
      <c r="AR44" s="25">
        <f t="shared" ref="AR44:AS44" si="291">+IFERROR(AR43/AQ43-1,"n/a")</f>
        <v>0.69497022381307527</v>
      </c>
      <c r="AS44" s="25">
        <f t="shared" si="291"/>
        <v>0.48922850457525247</v>
      </c>
    </row>
    <row r="45" spans="2:47" ht="10.15" x14ac:dyDescent="0.2">
      <c r="B45" s="28" t="s">
        <v>146</v>
      </c>
      <c r="D45" s="35">
        <f>+IFERROR(D43/D$19,"n/a")</f>
        <v>6.9493006993006895E-2</v>
      </c>
      <c r="E45" s="35">
        <f t="shared" ref="E45:U45" si="292">+IFERROR(E43/E$19,"n/a")</f>
        <v>8.9370078740157941E-2</v>
      </c>
      <c r="F45" s="35">
        <f t="shared" si="292"/>
        <v>7.7480916030534239E-2</v>
      </c>
      <c r="G45" s="35">
        <f t="shared" si="292"/>
        <v>0.13496240601503748</v>
      </c>
      <c r="H45" s="35">
        <f t="shared" si="292"/>
        <v>8.446455505278995E-2</v>
      </c>
      <c r="I45" s="35">
        <f t="shared" si="292"/>
        <v>0.11819389110225734</v>
      </c>
      <c r="J45" s="35">
        <f t="shared" si="292"/>
        <v>0.10664993726474294</v>
      </c>
      <c r="K45" s="35">
        <f t="shared" si="292"/>
        <v>4.9881235154393959E-2</v>
      </c>
      <c r="L45" s="35">
        <f t="shared" si="292"/>
        <v>-1.2642225031602597E-3</v>
      </c>
      <c r="M45" s="35">
        <f t="shared" si="292"/>
        <v>-0.78783382789317469</v>
      </c>
      <c r="N45" s="35">
        <f t="shared" si="292"/>
        <v>-1.9384264538198488E-2</v>
      </c>
      <c r="O45" s="35">
        <f t="shared" si="292"/>
        <v>-9.5720720720721103E-2</v>
      </c>
      <c r="P45" s="35">
        <f t="shared" si="292"/>
        <v>-0.17435897435897435</v>
      </c>
      <c r="Q45" s="35">
        <f t="shared" si="292"/>
        <v>6.0161408657373718E-2</v>
      </c>
      <c r="R45" s="35">
        <f t="shared" si="292"/>
        <v>0.15778826702629792</v>
      </c>
      <c r="S45" s="35">
        <f t="shared" si="292"/>
        <v>7.4880871341048202E-3</v>
      </c>
      <c r="T45" s="35">
        <f t="shared" si="292"/>
        <v>-1.4784946236559066E-2</v>
      </c>
      <c r="U45" s="35">
        <f t="shared" si="292"/>
        <v>0.1423877327491784</v>
      </c>
      <c r="V45" s="35">
        <f t="shared" ref="V45:W45" si="293">+IFERROR(V43/V$19,"n/a")</f>
        <v>0.15505846466700507</v>
      </c>
      <c r="W45" s="35">
        <f t="shared" si="293"/>
        <v>0.17853560682046107</v>
      </c>
      <c r="X45" s="35">
        <f t="shared" ref="X45" si="294">+IFERROR(X43/X$19,"n/a")</f>
        <v>0.10249999999999969</v>
      </c>
      <c r="Y45" s="35">
        <f t="shared" ref="Y45:AC45" si="295">+IFERROR(Y43/Y$19,"n/a")</f>
        <v>0.20298114861902705</v>
      </c>
      <c r="Z45" s="35">
        <f t="shared" si="295"/>
        <v>0.23374485596707792</v>
      </c>
      <c r="AA45" s="35">
        <f t="shared" si="295"/>
        <v>0.23245451169699199</v>
      </c>
      <c r="AB45" s="35">
        <f t="shared" si="295"/>
        <v>0.1228668941979521</v>
      </c>
      <c r="AC45" s="35">
        <f t="shared" si="295"/>
        <v>0.24391765439800384</v>
      </c>
      <c r="AD45" s="35">
        <f t="shared" ref="AD45" si="296">+IFERROR(AD43/AD$19,"n/a")</f>
        <v>0.26211996713229241</v>
      </c>
      <c r="AE45" s="35">
        <f t="shared" ref="AE45" si="297">+IFERROR(AE43/AE$19,"n/a")</f>
        <v>0.27285276311081441</v>
      </c>
      <c r="AF45" s="35">
        <f t="shared" ref="AF45:AI45" si="298">+IFERROR(AF43/AF$19,"n/a")</f>
        <v>0.19565196212503855</v>
      </c>
      <c r="AG45" s="35">
        <f t="shared" si="298"/>
        <v>0.28999393144498975</v>
      </c>
      <c r="AH45" s="35">
        <f t="shared" si="298"/>
        <v>0.2893726937269373</v>
      </c>
      <c r="AI45" s="35">
        <f t="shared" si="298"/>
        <v>0.29992414307014637</v>
      </c>
      <c r="AK45" s="35">
        <f>+IFERROR(AK43/AK$19,"n/a")</f>
        <v>9.3787099327265602E-2</v>
      </c>
      <c r="AL45" s="35">
        <f>+IFERROR(AL43/AL$19,"n/a")</f>
        <v>7.479224376731293E-2</v>
      </c>
      <c r="AM45" s="35">
        <f t="shared" ref="AM45:AO45" si="299">+IFERROR(AM43/AM$19,"n/a")</f>
        <v>8.903436988543352E-2</v>
      </c>
      <c r="AN45" s="35">
        <f t="shared" si="299"/>
        <v>-0.1962848297213623</v>
      </c>
      <c r="AO45" s="35">
        <f t="shared" si="299"/>
        <v>2.9678638941398924E-2</v>
      </c>
      <c r="AP45" s="35">
        <f t="shared" ref="AP45:AQ45" si="300">+IFERROR(AP43/AP$19,"n/a")</f>
        <v>0.12357388316151179</v>
      </c>
      <c r="AQ45" s="35">
        <f t="shared" si="300"/>
        <v>0.19800085070182885</v>
      </c>
      <c r="AR45" s="35">
        <f t="shared" ref="AR45:AS45" si="301">+IFERROR(AR43/AR$19,"n/a")</f>
        <v>0.23378120146598061</v>
      </c>
      <c r="AS45" s="35">
        <f t="shared" si="301"/>
        <v>0.2718009378674871</v>
      </c>
    </row>
    <row r="46" spans="2:47" ht="10.15" x14ac:dyDescent="0.2">
      <c r="D46" s="19"/>
      <c r="E46" s="19"/>
      <c r="F46" s="19"/>
      <c r="G46" s="19"/>
      <c r="H46" s="19"/>
      <c r="I46" s="19"/>
      <c r="J46" s="19"/>
      <c r="K46" s="19"/>
      <c r="AK46" s="19"/>
      <c r="AL46" s="19"/>
      <c r="AM46" s="19"/>
      <c r="AN46" s="19"/>
      <c r="AO46" s="19"/>
      <c r="AP46" s="19"/>
      <c r="AQ46" s="19"/>
      <c r="AR46" s="19"/>
      <c r="AS46" s="19"/>
    </row>
    <row r="47" spans="2:47" ht="12" x14ac:dyDescent="0.35">
      <c r="B47" s="11" t="s">
        <v>154</v>
      </c>
      <c r="D47" s="30">
        <f>+D37</f>
        <v>16.600000000000001</v>
      </c>
      <c r="E47" s="30">
        <f t="shared" ref="E47:U47" si="302">+E37</f>
        <v>16.2</v>
      </c>
      <c r="F47" s="30">
        <f t="shared" si="302"/>
        <v>16.5</v>
      </c>
      <c r="G47" s="30">
        <f t="shared" si="302"/>
        <v>16.899999999999999</v>
      </c>
      <c r="H47" s="30">
        <f t="shared" si="302"/>
        <v>14.8</v>
      </c>
      <c r="I47" s="30">
        <f t="shared" si="302"/>
        <v>15.2</v>
      </c>
      <c r="J47" s="30">
        <f t="shared" si="302"/>
        <v>16.100000000000001</v>
      </c>
      <c r="K47" s="30">
        <f t="shared" si="302"/>
        <v>16.5</v>
      </c>
      <c r="L47" s="30">
        <f t="shared" si="302"/>
        <v>17.600000000000001</v>
      </c>
      <c r="M47" s="30">
        <f t="shared" si="302"/>
        <v>17.899999999999999</v>
      </c>
      <c r="N47" s="30">
        <f t="shared" si="302"/>
        <v>24.2</v>
      </c>
      <c r="O47" s="30">
        <f t="shared" si="302"/>
        <v>24.5</v>
      </c>
      <c r="P47" s="30">
        <f t="shared" si="302"/>
        <v>25.3</v>
      </c>
      <c r="Q47" s="30">
        <f t="shared" si="302"/>
        <v>25.7</v>
      </c>
      <c r="R47" s="30">
        <f t="shared" si="302"/>
        <v>25.8</v>
      </c>
      <c r="S47" s="30">
        <f t="shared" si="302"/>
        <v>27.6</v>
      </c>
      <c r="T47" s="30">
        <f t="shared" si="302"/>
        <v>29.1</v>
      </c>
      <c r="U47" s="30">
        <f t="shared" si="302"/>
        <v>29.9</v>
      </c>
      <c r="V47" s="30">
        <f t="shared" ref="V47:W47" si="303">+V37</f>
        <v>42.6</v>
      </c>
      <c r="W47" s="30">
        <f t="shared" si="303"/>
        <v>47.5</v>
      </c>
      <c r="X47" s="30">
        <f t="shared" ref="X47" si="304">+X37</f>
        <v>47.6</v>
      </c>
      <c r="Y47" s="30">
        <f t="shared" ref="Y47:AC47" si="305">+Y37</f>
        <v>50</v>
      </c>
      <c r="Z47" s="30">
        <f t="shared" si="305"/>
        <v>55.1</v>
      </c>
      <c r="AA47" s="30">
        <f t="shared" si="305"/>
        <v>61.9</v>
      </c>
      <c r="AB47" s="30">
        <f t="shared" si="305"/>
        <v>66.099999999999994</v>
      </c>
      <c r="AC47" s="30">
        <f t="shared" si="305"/>
        <v>69.7</v>
      </c>
      <c r="AD47" s="30">
        <f t="shared" ref="AD47" si="306">+AD37</f>
        <v>77.3</v>
      </c>
      <c r="AE47" s="30">
        <f t="shared" ref="AE47" si="307">+AE37</f>
        <v>80</v>
      </c>
      <c r="AF47" s="30">
        <f t="shared" ref="AF47:AI47" si="308">+AF37</f>
        <v>83</v>
      </c>
      <c r="AG47" s="30">
        <f t="shared" si="308"/>
        <v>84</v>
      </c>
      <c r="AH47" s="30">
        <f t="shared" si="308"/>
        <v>85</v>
      </c>
      <c r="AI47" s="30">
        <f t="shared" si="308"/>
        <v>86</v>
      </c>
      <c r="AK47" s="30">
        <f>+AK37</f>
        <v>66.199999999999989</v>
      </c>
      <c r="AL47" s="30">
        <f>+AL37</f>
        <v>71</v>
      </c>
      <c r="AM47" s="30">
        <f t="shared" ref="AM47:AO47" si="309">+AM37</f>
        <v>62.6</v>
      </c>
      <c r="AN47" s="30">
        <f t="shared" si="309"/>
        <v>84.2</v>
      </c>
      <c r="AO47" s="30">
        <f t="shared" si="309"/>
        <v>104.4</v>
      </c>
      <c r="AP47" s="30">
        <f t="shared" ref="AP47:AQ47" si="310">+AP37</f>
        <v>149.1</v>
      </c>
      <c r="AQ47" s="30">
        <f t="shared" si="310"/>
        <v>214.6</v>
      </c>
      <c r="AR47" s="30">
        <f t="shared" ref="AR47:AR48" si="311">+SUM(AB47:AE47)</f>
        <v>293.10000000000002</v>
      </c>
      <c r="AS47" s="30">
        <f>+SUM(AF47:AI47)</f>
        <v>338</v>
      </c>
    </row>
    <row r="48" spans="2:47" ht="10.15" x14ac:dyDescent="0.2">
      <c r="B48" s="12" t="s">
        <v>157</v>
      </c>
      <c r="D48" s="29">
        <f>+D43+D47</f>
        <v>20.574999999999996</v>
      </c>
      <c r="E48" s="29">
        <f t="shared" ref="E48:U48" si="312">+E43+E47</f>
        <v>21.875000000000028</v>
      </c>
      <c r="F48" s="29">
        <f t="shared" si="312"/>
        <v>21.574999999999992</v>
      </c>
      <c r="G48" s="29">
        <f t="shared" si="312"/>
        <v>25.874999999999993</v>
      </c>
      <c r="H48" s="29">
        <f t="shared" si="312"/>
        <v>20.399999999999974</v>
      </c>
      <c r="I48" s="29">
        <f t="shared" si="312"/>
        <v>24.099999999999977</v>
      </c>
      <c r="J48" s="29">
        <f t="shared" si="312"/>
        <v>24.600000000000016</v>
      </c>
      <c r="K48" s="29">
        <f t="shared" si="312"/>
        <v>20.699999999999971</v>
      </c>
      <c r="L48" s="29">
        <f t="shared" si="312"/>
        <v>17.500000000000025</v>
      </c>
      <c r="M48" s="29">
        <f t="shared" si="312"/>
        <v>-35.199999999999982</v>
      </c>
      <c r="N48" s="29">
        <f t="shared" si="312"/>
        <v>22.499999999999993</v>
      </c>
      <c r="O48" s="29">
        <f t="shared" si="312"/>
        <v>15.999999999999968</v>
      </c>
      <c r="P48" s="29">
        <f t="shared" si="312"/>
        <v>8.3000000000000007</v>
      </c>
      <c r="Q48" s="29">
        <f t="shared" si="312"/>
        <v>33.900000000000034</v>
      </c>
      <c r="R48" s="29">
        <f t="shared" si="312"/>
        <v>49.199999999999989</v>
      </c>
      <c r="S48" s="29">
        <f t="shared" si="312"/>
        <v>28.7</v>
      </c>
      <c r="T48" s="29">
        <f t="shared" si="312"/>
        <v>26.900000000000013</v>
      </c>
      <c r="U48" s="29">
        <f t="shared" si="312"/>
        <v>55.899999999999963</v>
      </c>
      <c r="V48" s="29">
        <f t="shared" ref="V48:W48" si="313">+V43+V47</f>
        <v>73.099999999999895</v>
      </c>
      <c r="W48" s="29">
        <f t="shared" si="313"/>
        <v>83.099999999999937</v>
      </c>
      <c r="X48" s="29">
        <f t="shared" ref="X48" si="314">+X43+X47</f>
        <v>68.099999999999937</v>
      </c>
      <c r="Y48" s="29">
        <f t="shared" ref="Y48:AC48" si="315">+Y43+Y47</f>
        <v>96.300000000000082</v>
      </c>
      <c r="Z48" s="29">
        <f t="shared" si="315"/>
        <v>111.89999999999995</v>
      </c>
      <c r="AA48" s="29">
        <f t="shared" si="315"/>
        <v>124.49999999999993</v>
      </c>
      <c r="AB48" s="29">
        <f t="shared" si="315"/>
        <v>98.499999999999957</v>
      </c>
      <c r="AC48" s="29">
        <f t="shared" si="315"/>
        <v>147.90000000000003</v>
      </c>
      <c r="AD48" s="29">
        <f t="shared" ref="AD48" si="316">+AD43+AD47</f>
        <v>172.99999999999997</v>
      </c>
      <c r="AE48" s="29">
        <f t="shared" ref="AE48" si="317">+AE43+AE47</f>
        <v>189.30345567399448</v>
      </c>
      <c r="AF48" s="29">
        <f t="shared" ref="AF48:AI48" si="318">+AF43+AF47</f>
        <v>157.31179081599996</v>
      </c>
      <c r="AG48" s="29">
        <f t="shared" si="318"/>
        <v>211.34180128355555</v>
      </c>
      <c r="AH48" s="29">
        <f t="shared" si="318"/>
        <v>212.98144000000005</v>
      </c>
      <c r="AI48" s="29">
        <f t="shared" si="318"/>
        <v>226.3706302326091</v>
      </c>
      <c r="AK48" s="29">
        <f>+AK43+AK47</f>
        <v>89.9</v>
      </c>
      <c r="AL48" s="29">
        <f>+AL43+AL47</f>
        <v>89.899999999999977</v>
      </c>
      <c r="AM48" s="29">
        <f t="shared" ref="AM48:AO48" si="319">+AM43+AM47</f>
        <v>89.79999999999994</v>
      </c>
      <c r="AN48" s="29">
        <f t="shared" si="319"/>
        <v>20.799999999999983</v>
      </c>
      <c r="AO48" s="29">
        <f t="shared" si="319"/>
        <v>120.10000000000004</v>
      </c>
      <c r="AP48" s="29">
        <f t="shared" ref="AP48:AQ48" si="320">+AP43+AP47</f>
        <v>238.9999999999998</v>
      </c>
      <c r="AQ48" s="29">
        <f t="shared" si="320"/>
        <v>400.79999999999984</v>
      </c>
      <c r="AR48" s="29">
        <f t="shared" si="311"/>
        <v>608.70345567399443</v>
      </c>
      <c r="AS48" s="29">
        <f>+SUM(AF48:AI48)</f>
        <v>808.00566233216466</v>
      </c>
    </row>
    <row r="49" spans="2:46" ht="10.15" x14ac:dyDescent="0.2">
      <c r="B49" s="41" t="s">
        <v>136</v>
      </c>
      <c r="D49" s="50"/>
      <c r="E49" s="50"/>
      <c r="F49" s="50"/>
      <c r="G49" s="50"/>
      <c r="H49" s="43">
        <f t="shared" ref="H49" si="321">+IFERROR(H48/D48-1,"n/a")</f>
        <v>-8.5054678007301376E-3</v>
      </c>
      <c r="I49" s="43">
        <f t="shared" ref="I49" si="322">+IFERROR(I48/E48-1,"n/a")</f>
        <v>0.1017142857142832</v>
      </c>
      <c r="J49" s="43">
        <f t="shared" ref="J49" si="323">+IFERROR(J48/F48-1,"n/a")</f>
        <v>0.14020857473928272</v>
      </c>
      <c r="K49" s="43">
        <f t="shared" ref="K49" si="324">+IFERROR(K48/G48-1,"n/a")</f>
        <v>-0.20000000000000095</v>
      </c>
      <c r="L49" s="43">
        <f t="shared" ref="L49" si="325">+IFERROR(L48/H48-1,"n/a")</f>
        <v>-0.14215686274509576</v>
      </c>
      <c r="M49" s="43">
        <f t="shared" ref="M49" si="326">+IFERROR(M48/I48-1,"n/a")</f>
        <v>-2.4605809128630711</v>
      </c>
      <c r="N49" s="43">
        <f t="shared" ref="N49" si="327">+IFERROR(N48/J48-1,"n/a")</f>
        <v>-8.5365853658537438E-2</v>
      </c>
      <c r="O49" s="43">
        <f t="shared" ref="O49" si="328">+IFERROR(O48/K48-1,"n/a")</f>
        <v>-0.22705314009661881</v>
      </c>
      <c r="P49" s="43">
        <f t="shared" ref="P49" si="329">+IFERROR(P48/L48-1,"n/a")</f>
        <v>-0.52571428571428636</v>
      </c>
      <c r="Q49" s="43">
        <f t="shared" ref="Q49" si="330">+IFERROR(Q48/M48-1,"n/a")</f>
        <v>-1.9630681818181834</v>
      </c>
      <c r="R49" s="43">
        <f t="shared" ref="R49" si="331">+IFERROR(R48/N48-1,"n/a")</f>
        <v>1.186666666666667</v>
      </c>
      <c r="S49" s="43">
        <f t="shared" ref="S49" si="332">+IFERROR(S48/O48-1,"n/a")</f>
        <v>0.79375000000000351</v>
      </c>
      <c r="T49" s="43">
        <f t="shared" ref="T49" si="333">+IFERROR(T48/P48-1,"n/a")</f>
        <v>2.240963855421688</v>
      </c>
      <c r="U49" s="43">
        <f t="shared" ref="U49:X49" si="334">+IFERROR(U48/Q48-1,"n/a")</f>
        <v>0.64896755162241604</v>
      </c>
      <c r="V49" s="43">
        <f t="shared" si="334"/>
        <v>0.48577235772357552</v>
      </c>
      <c r="W49" s="43">
        <f t="shared" si="334"/>
        <v>1.8954703832752591</v>
      </c>
      <c r="X49" s="43">
        <f t="shared" si="334"/>
        <v>1.5315985130111489</v>
      </c>
      <c r="Y49" s="43">
        <f t="shared" ref="Y49" si="335">+IFERROR(Y48/U48-1,"n/a")</f>
        <v>0.722719141323795</v>
      </c>
      <c r="Z49" s="43">
        <f t="shared" ref="Z49" si="336">+IFERROR(Z48/V48-1,"n/a")</f>
        <v>0.5307797537619714</v>
      </c>
      <c r="AA49" s="43">
        <f t="shared" ref="AA49" si="337">+IFERROR(AA48/W48-1,"n/a")</f>
        <v>0.49819494584837565</v>
      </c>
      <c r="AB49" s="43">
        <f t="shared" ref="AB49" si="338">+IFERROR(AB48/X48-1,"n/a")</f>
        <v>0.44640234948605073</v>
      </c>
      <c r="AC49" s="43">
        <f t="shared" ref="AC49:AD49" si="339">+IFERROR(AC48/Y48-1,"n/a")</f>
        <v>0.53582554517133851</v>
      </c>
      <c r="AD49" s="43">
        <f t="shared" si="339"/>
        <v>0.54602323503127836</v>
      </c>
      <c r="AE49" s="43">
        <f t="shared" ref="AE49" si="340">+IFERROR(AE48/AA48-1,"n/a")</f>
        <v>0.52050968412847065</v>
      </c>
      <c r="AF49" s="43">
        <f t="shared" ref="AF49" si="341">+IFERROR(AF48/AB48-1,"n/a")</f>
        <v>0.59707401843654839</v>
      </c>
      <c r="AG49" s="43">
        <f t="shared" ref="AG49" si="342">+IFERROR(AG48/AC48-1,"n/a")</f>
        <v>0.42895065100443208</v>
      </c>
      <c r="AH49" s="43">
        <f t="shared" ref="AH49" si="343">+IFERROR(AH48/AD48-1,"n/a")</f>
        <v>0.23110658959537611</v>
      </c>
      <c r="AI49" s="43">
        <f t="shared" ref="AI49" si="344">+IFERROR(AI48/AE48-1,"n/a")</f>
        <v>0.19580822984261403</v>
      </c>
      <c r="AK49" s="50"/>
      <c r="AL49" s="50"/>
      <c r="AM49" s="25">
        <f>+IFERROR(AM48/AL48-1,"n/a")</f>
        <v>-1.1123470522806933E-3</v>
      </c>
      <c r="AN49" s="25">
        <f t="shared" ref="AN49" si="345">+IFERROR(AN48/AM48-1,"n/a")</f>
        <v>-0.76837416481069043</v>
      </c>
      <c r="AO49" s="25">
        <f t="shared" ref="AO49" si="346">+IFERROR(AO48/AN48-1,"n/a")</f>
        <v>4.7740384615384679</v>
      </c>
      <c r="AP49" s="25">
        <f t="shared" ref="AP49" si="347">+IFERROR(AP48/AO48-1,"n/a")</f>
        <v>0.99000832639466885</v>
      </c>
      <c r="AQ49" s="25">
        <f t="shared" ref="AQ49" si="348">+IFERROR(AQ48/AP48-1,"n/a")</f>
        <v>0.67698744769874541</v>
      </c>
      <c r="AR49" s="25">
        <f t="shared" ref="AR49:AS49" si="349">+IFERROR(AR48/AQ48-1,"n/a")</f>
        <v>0.51872119679140383</v>
      </c>
      <c r="AS49" s="25">
        <f t="shared" si="349"/>
        <v>0.32742085624845085</v>
      </c>
    </row>
    <row r="50" spans="2:46" ht="10.15" x14ac:dyDescent="0.2">
      <c r="B50" s="41" t="s">
        <v>146</v>
      </c>
      <c r="D50" s="35">
        <f>+IFERROR(D48/D$19,"n/a")</f>
        <v>0.35970279720279713</v>
      </c>
      <c r="E50" s="35">
        <f t="shared" ref="E50:U50" si="350">+IFERROR(E48/E$19,"n/a")</f>
        <v>0.3444881889763784</v>
      </c>
      <c r="F50" s="35">
        <f t="shared" si="350"/>
        <v>0.32938931297709911</v>
      </c>
      <c r="G50" s="35">
        <f t="shared" si="350"/>
        <v>0.38909774436090205</v>
      </c>
      <c r="H50" s="35">
        <f t="shared" si="350"/>
        <v>0.30769230769230732</v>
      </c>
      <c r="I50" s="35">
        <f t="shared" si="350"/>
        <v>0.32005312084993331</v>
      </c>
      <c r="J50" s="35">
        <f t="shared" si="350"/>
        <v>0.30865746549560868</v>
      </c>
      <c r="K50" s="35">
        <f t="shared" si="350"/>
        <v>0.24584323040380016</v>
      </c>
      <c r="L50" s="35">
        <f t="shared" si="350"/>
        <v>0.22123893805309763</v>
      </c>
      <c r="M50" s="35">
        <f t="shared" si="350"/>
        <v>-0.52225519287833799</v>
      </c>
      <c r="N50" s="35">
        <f t="shared" si="350"/>
        <v>0.25655644241733172</v>
      </c>
      <c r="O50" s="35">
        <f t="shared" si="350"/>
        <v>0.18018018018017987</v>
      </c>
      <c r="P50" s="35">
        <f t="shared" si="350"/>
        <v>8.5128205128205139E-2</v>
      </c>
      <c r="Q50" s="35">
        <f t="shared" si="350"/>
        <v>0.24871606749816605</v>
      </c>
      <c r="R50" s="35">
        <f t="shared" si="350"/>
        <v>0.33175994605529324</v>
      </c>
      <c r="S50" s="35">
        <f t="shared" si="350"/>
        <v>0.19537100068073521</v>
      </c>
      <c r="T50" s="35">
        <f t="shared" si="350"/>
        <v>0.18077956989247324</v>
      </c>
      <c r="U50" s="35">
        <f t="shared" si="350"/>
        <v>0.30613362541073375</v>
      </c>
      <c r="V50" s="35">
        <f t="shared" ref="V50:W50" si="351">+IFERROR(V48/V$19,"n/a")</f>
        <v>0.37163192679206869</v>
      </c>
      <c r="W50" s="35">
        <f t="shared" si="351"/>
        <v>0.41675025075225647</v>
      </c>
      <c r="X50" s="35">
        <f t="shared" ref="X50" si="352">+IFERROR(X48/X$19,"n/a")</f>
        <v>0.34049999999999964</v>
      </c>
      <c r="Y50" s="35">
        <f t="shared" ref="Y50:AC50" si="353">+IFERROR(Y48/Y$19,"n/a")</f>
        <v>0.42218325295922865</v>
      </c>
      <c r="Z50" s="35">
        <f t="shared" si="353"/>
        <v>0.46049382716049353</v>
      </c>
      <c r="AA50" s="35">
        <f t="shared" si="353"/>
        <v>0.46230969179353865</v>
      </c>
      <c r="AB50" s="35">
        <f t="shared" si="353"/>
        <v>0.37353052711414481</v>
      </c>
      <c r="AC50" s="35">
        <f t="shared" si="353"/>
        <v>0.46132252027448539</v>
      </c>
      <c r="AD50" s="35">
        <f t="shared" ref="AD50" si="354">+IFERROR(AD48/AD$19,"n/a")</f>
        <v>0.47384278279923298</v>
      </c>
      <c r="AE50" s="35">
        <f t="shared" ref="AE50" si="355">+IFERROR(AE48/AE$19,"n/a")</f>
        <v>0.47255569943854969</v>
      </c>
      <c r="AF50" s="35">
        <f t="shared" ref="AF50:AI50" si="356">+IFERROR(AF48/AF$19,"n/a")</f>
        <v>0.41417869493635145</v>
      </c>
      <c r="AG50" s="35">
        <f t="shared" si="356"/>
        <v>0.48128610727291904</v>
      </c>
      <c r="AH50" s="35">
        <f t="shared" si="356"/>
        <v>0.48156211562115619</v>
      </c>
      <c r="AI50" s="35">
        <f t="shared" si="356"/>
        <v>0.48367680031254845</v>
      </c>
      <c r="AK50" s="35">
        <f>+IFERROR(AK48/AK$19,"n/a")</f>
        <v>0.35575781559161063</v>
      </c>
      <c r="AL50" s="35">
        <f>+IFERROR(AL48/AL$19,"n/a")</f>
        <v>0.35575781559161052</v>
      </c>
      <c r="AM50" s="35">
        <f t="shared" ref="AM50:AO50" si="357">+IFERROR(AM48/AM$19,"n/a")</f>
        <v>0.29394435351882142</v>
      </c>
      <c r="AN50" s="35">
        <f t="shared" si="357"/>
        <v>6.4396284829721304E-2</v>
      </c>
      <c r="AO50" s="35">
        <f t="shared" si="357"/>
        <v>0.22703213610586018</v>
      </c>
      <c r="AP50" s="35">
        <f t="shared" ref="AP50:AQ50" si="358">+IFERROR(AP48/AP$19,"n/a")</f>
        <v>0.32852233676975923</v>
      </c>
      <c r="AQ50" s="35">
        <f t="shared" si="358"/>
        <v>0.42620161633347492</v>
      </c>
      <c r="AR50" s="35">
        <f t="shared" ref="AR50:AS50" si="359">+IFERROR(AR48/AR$19,"n/a")</f>
        <v>0.45089311490604955</v>
      </c>
      <c r="AS50" s="35">
        <f t="shared" si="359"/>
        <v>0.46726393834147872</v>
      </c>
    </row>
    <row r="51" spans="2:46" ht="10.15" x14ac:dyDescent="0.2">
      <c r="D51" s="19"/>
      <c r="E51" s="19"/>
      <c r="F51" s="19"/>
      <c r="G51" s="19"/>
      <c r="H51" s="19"/>
      <c r="I51" s="19"/>
      <c r="J51" s="19"/>
      <c r="K51" s="19"/>
      <c r="AK51" s="19"/>
      <c r="AL51" s="19"/>
      <c r="AM51" s="19"/>
      <c r="AN51" s="19"/>
      <c r="AO51" s="19"/>
      <c r="AP51" s="19"/>
      <c r="AQ51" s="19"/>
      <c r="AR51" s="19"/>
      <c r="AS51" s="19"/>
    </row>
    <row r="52" spans="2:46" ht="12" x14ac:dyDescent="0.35">
      <c r="B52" t="s">
        <v>158</v>
      </c>
      <c r="D52" s="30">
        <f>+SUM(D279,D283)</f>
        <v>-10.9</v>
      </c>
      <c r="E52" s="30">
        <f t="shared" ref="E52:U52" si="360">+SUM(E279,E283)</f>
        <v>-11.4</v>
      </c>
      <c r="F52" s="30">
        <f t="shared" si="360"/>
        <v>-12.2</v>
      </c>
      <c r="G52" s="30">
        <f t="shared" si="360"/>
        <v>-12.5</v>
      </c>
      <c r="H52" s="30">
        <f t="shared" si="360"/>
        <v>-12.5</v>
      </c>
      <c r="I52" s="30">
        <f t="shared" si="360"/>
        <v>-12.7</v>
      </c>
      <c r="J52" s="30">
        <f t="shared" si="360"/>
        <v>-12.9</v>
      </c>
      <c r="K52" s="30">
        <f t="shared" si="360"/>
        <v>-13.4</v>
      </c>
      <c r="L52" s="30">
        <f t="shared" si="360"/>
        <v>-13.3</v>
      </c>
      <c r="M52" s="30">
        <f t="shared" si="360"/>
        <v>-11.7</v>
      </c>
      <c r="N52" s="30">
        <f t="shared" si="360"/>
        <v>-7.1</v>
      </c>
      <c r="O52" s="30">
        <f t="shared" si="360"/>
        <v>-8.1</v>
      </c>
      <c r="P52" s="30">
        <f t="shared" si="360"/>
        <v>-6.5</v>
      </c>
      <c r="Q52" s="30">
        <f t="shared" si="360"/>
        <v>-6.3</v>
      </c>
      <c r="R52" s="30">
        <f t="shared" si="360"/>
        <v>-7.4</v>
      </c>
      <c r="S52" s="30">
        <f t="shared" si="360"/>
        <v>-7.8</v>
      </c>
      <c r="T52" s="30">
        <f t="shared" si="360"/>
        <v>-7.9</v>
      </c>
      <c r="U52" s="30">
        <f t="shared" si="360"/>
        <v>-7</v>
      </c>
      <c r="V52" s="30">
        <f t="shared" ref="V52:W52" si="361">+SUM(V279,V283)</f>
        <v>-4.8000000000000007</v>
      </c>
      <c r="W52" s="30">
        <f t="shared" si="361"/>
        <v>-2</v>
      </c>
      <c r="X52" s="30">
        <f t="shared" ref="X52" si="362">+SUM(X279,X283)</f>
        <v>-0.5</v>
      </c>
      <c r="Y52" s="30">
        <f t="shared" ref="Y52:AC52" si="363">+SUM(Y279,Y283)</f>
        <v>0.80000000000000071</v>
      </c>
      <c r="Z52" s="30">
        <f t="shared" si="363"/>
        <v>1.5999999999999996</v>
      </c>
      <c r="AA52" s="30">
        <f t="shared" si="363"/>
        <v>-2.1000000000000014</v>
      </c>
      <c r="AB52" s="30">
        <f t="shared" si="363"/>
        <v>-2.6999999999999993</v>
      </c>
      <c r="AC52" s="30">
        <f t="shared" si="363"/>
        <v>-3.0999999999999996</v>
      </c>
      <c r="AD52" s="30">
        <f t="shared" ref="AD52" si="364">+SUM(AD279,AD283)</f>
        <v>-8.6000000000000014</v>
      </c>
      <c r="AE52" s="201">
        <f t="shared" ref="AE52:AI52" ca="1" si="365">+AE645-AE639</f>
        <v>-13.220699120514135</v>
      </c>
      <c r="AF52" s="201">
        <f t="shared" ca="1" si="365"/>
        <v>-13.279676671966838</v>
      </c>
      <c r="AG52" s="201">
        <f t="shared" ca="1" si="365"/>
        <v>-12.369370092992686</v>
      </c>
      <c r="AH52" s="201">
        <f t="shared" ca="1" si="365"/>
        <v>-11.278347065990626</v>
      </c>
      <c r="AI52" s="201">
        <f t="shared" ca="1" si="365"/>
        <v>-13.603494963256924</v>
      </c>
      <c r="AK52" s="30">
        <f>+SUM(AK279,AK283)</f>
        <v>-47</v>
      </c>
      <c r="AL52" s="30">
        <f t="shared" ref="AL52:AO52" si="366">+SUM(AL279,AL283)</f>
        <v>-47</v>
      </c>
      <c r="AM52" s="30">
        <f t="shared" si="366"/>
        <v>-51.5</v>
      </c>
      <c r="AN52" s="30">
        <f t="shared" si="366"/>
        <v>-40.200000000000003</v>
      </c>
      <c r="AO52" s="30">
        <f t="shared" si="366"/>
        <v>-28.000000000000004</v>
      </c>
      <c r="AP52" s="30">
        <f t="shared" ref="AP52:AQ52" si="367">+SUM(AP279,AP283)</f>
        <v>-21.7</v>
      </c>
      <c r="AQ52" s="30">
        <f t="shared" si="367"/>
        <v>-0.20000000000000284</v>
      </c>
      <c r="AR52" s="30">
        <f t="shared" ref="AR52:AR55" ca="1" si="368">+SUM(AB52:AE52)</f>
        <v>-27.620699120514136</v>
      </c>
      <c r="AS52" s="30">
        <f ca="1">+SUM(AF52:AI52)</f>
        <v>-50.530888794207073</v>
      </c>
    </row>
    <row r="53" spans="2:46" ht="10.15" x14ac:dyDescent="0.2">
      <c r="B53" s="11" t="s">
        <v>159</v>
      </c>
      <c r="D53" s="29">
        <f>+D43+D52</f>
        <v>-6.925000000000006</v>
      </c>
      <c r="E53" s="29">
        <f t="shared" ref="E53:U53" si="369">+E43+E52</f>
        <v>-5.7249999999999712</v>
      </c>
      <c r="F53" s="29">
        <f t="shared" si="369"/>
        <v>-7.1250000000000071</v>
      </c>
      <c r="G53" s="29">
        <f t="shared" si="369"/>
        <v>-3.5250000000000057</v>
      </c>
      <c r="H53" s="29">
        <f t="shared" si="369"/>
        <v>-6.900000000000027</v>
      </c>
      <c r="I53" s="29">
        <f t="shared" si="369"/>
        <v>-3.800000000000022</v>
      </c>
      <c r="J53" s="29">
        <f t="shared" si="369"/>
        <v>-4.3999999999999861</v>
      </c>
      <c r="K53" s="29">
        <f t="shared" si="369"/>
        <v>-9.2000000000000295</v>
      </c>
      <c r="L53" s="29">
        <f t="shared" si="369"/>
        <v>-13.399999999999977</v>
      </c>
      <c r="M53" s="29">
        <f t="shared" si="369"/>
        <v>-64.799999999999983</v>
      </c>
      <c r="N53" s="29">
        <f t="shared" si="369"/>
        <v>-8.8000000000000078</v>
      </c>
      <c r="O53" s="29">
        <f t="shared" si="369"/>
        <v>-16.60000000000003</v>
      </c>
      <c r="P53" s="29">
        <f t="shared" si="369"/>
        <v>-23.5</v>
      </c>
      <c r="Q53" s="29">
        <f t="shared" si="369"/>
        <v>1.9000000000000385</v>
      </c>
      <c r="R53" s="29">
        <f t="shared" si="369"/>
        <v>15.999999999999984</v>
      </c>
      <c r="S53" s="29">
        <f t="shared" si="369"/>
        <v>-6.700000000000002</v>
      </c>
      <c r="T53" s="29">
        <f t="shared" si="369"/>
        <v>-10.099999999999989</v>
      </c>
      <c r="U53" s="29">
        <f t="shared" si="369"/>
        <v>18.999999999999968</v>
      </c>
      <c r="V53" s="29">
        <f t="shared" ref="V53:W53" si="370">+V43+V52</f>
        <v>25.699999999999889</v>
      </c>
      <c r="W53" s="29">
        <f t="shared" si="370"/>
        <v>33.599999999999937</v>
      </c>
      <c r="X53" s="29">
        <f t="shared" ref="X53" si="371">+X43+X52</f>
        <v>19.99999999999994</v>
      </c>
      <c r="Y53" s="29">
        <f t="shared" ref="Y53:AC53" si="372">+Y43+Y52</f>
        <v>47.10000000000008</v>
      </c>
      <c r="Z53" s="29">
        <f t="shared" si="372"/>
        <v>58.399999999999949</v>
      </c>
      <c r="AA53" s="29">
        <f t="shared" si="372"/>
        <v>60.499999999999929</v>
      </c>
      <c r="AB53" s="29">
        <f t="shared" si="372"/>
        <v>29.699999999999964</v>
      </c>
      <c r="AC53" s="29">
        <f t="shared" si="372"/>
        <v>75.100000000000037</v>
      </c>
      <c r="AD53" s="29">
        <f t="shared" ref="AD53" si="373">+AD43+AD52</f>
        <v>87.099999999999966</v>
      </c>
      <c r="AE53" s="29">
        <f t="shared" ref="AE53" ca="1" si="374">+AE43+AE52</f>
        <v>96.082756553480337</v>
      </c>
      <c r="AF53" s="29">
        <f t="shared" ref="AF53:AI53" ca="1" si="375">+AF43+AF52</f>
        <v>61.032114144033116</v>
      </c>
      <c r="AG53" s="29">
        <f t="shared" ca="1" si="375"/>
        <v>114.97243119056287</v>
      </c>
      <c r="AH53" s="29">
        <f t="shared" ca="1" si="375"/>
        <v>116.70309293400942</v>
      </c>
      <c r="AI53" s="29">
        <f t="shared" ca="1" si="375"/>
        <v>126.76713526935218</v>
      </c>
      <c r="AK53" s="29">
        <f>+AK43+AK52</f>
        <v>-23.299999999999983</v>
      </c>
      <c r="AL53" s="29">
        <f t="shared" ref="AL53" si="376">+AL43+AL52</f>
        <v>-28.100000000000023</v>
      </c>
      <c r="AM53" s="29">
        <f t="shared" ref="AM53" si="377">+AM43+AM52</f>
        <v>-24.300000000000061</v>
      </c>
      <c r="AN53" s="29">
        <f t="shared" ref="AN53" si="378">+AN43+AN52</f>
        <v>-103.60000000000002</v>
      </c>
      <c r="AO53" s="29">
        <f t="shared" ref="AO53:AQ53" si="379">+AO43+AO52</f>
        <v>-12.299999999999972</v>
      </c>
      <c r="AP53" s="29">
        <f t="shared" si="379"/>
        <v>68.199999999999804</v>
      </c>
      <c r="AQ53" s="29">
        <f t="shared" si="379"/>
        <v>185.99999999999989</v>
      </c>
      <c r="AR53" s="29">
        <f t="shared" ca="1" si="368"/>
        <v>287.98275655348033</v>
      </c>
      <c r="AS53" s="29">
        <f ca="1">+SUM(AF53:AI53)</f>
        <v>419.47477353795762</v>
      </c>
    </row>
    <row r="54" spans="2:46" ht="12" x14ac:dyDescent="0.35">
      <c r="B54" t="s">
        <v>160</v>
      </c>
      <c r="D54" s="30">
        <f>MIN(-0.21*D53,0)</f>
        <v>0</v>
      </c>
      <c r="E54" s="30">
        <f t="shared" ref="E54:U54" si="380">MIN(-0.21*E53,0)</f>
        <v>0</v>
      </c>
      <c r="F54" s="30">
        <f t="shared" si="380"/>
        <v>0</v>
      </c>
      <c r="G54" s="30">
        <f t="shared" si="380"/>
        <v>0</v>
      </c>
      <c r="H54" s="30">
        <f t="shared" si="380"/>
        <v>0</v>
      </c>
      <c r="I54" s="30">
        <f t="shared" si="380"/>
        <v>0</v>
      </c>
      <c r="J54" s="30">
        <f t="shared" si="380"/>
        <v>0</v>
      </c>
      <c r="K54" s="30">
        <f t="shared" si="380"/>
        <v>0</v>
      </c>
      <c r="L54" s="30">
        <f t="shared" si="380"/>
        <v>0</v>
      </c>
      <c r="M54" s="30">
        <f t="shared" si="380"/>
        <v>0</v>
      </c>
      <c r="N54" s="30">
        <f t="shared" si="380"/>
        <v>0</v>
      </c>
      <c r="O54" s="30">
        <f t="shared" si="380"/>
        <v>0</v>
      </c>
      <c r="P54" s="30">
        <f t="shared" si="380"/>
        <v>0</v>
      </c>
      <c r="Q54" s="30">
        <f t="shared" si="380"/>
        <v>-0.39900000000000807</v>
      </c>
      <c r="R54" s="30">
        <f t="shared" si="380"/>
        <v>-3.3599999999999963</v>
      </c>
      <c r="S54" s="30">
        <f t="shared" si="380"/>
        <v>0</v>
      </c>
      <c r="T54" s="30">
        <f t="shared" si="380"/>
        <v>0</v>
      </c>
      <c r="U54" s="30">
        <f t="shared" si="380"/>
        <v>-3.9899999999999931</v>
      </c>
      <c r="V54" s="30">
        <f t="shared" ref="V54:W54" si="381">MIN(-0.21*V53,0)</f>
        <v>-5.3969999999999763</v>
      </c>
      <c r="W54" s="30">
        <f t="shared" si="381"/>
        <v>-7.0559999999999867</v>
      </c>
      <c r="X54" s="30">
        <f t="shared" ref="X54" si="382">MIN(-0.21*X53,0)</f>
        <v>-4.1999999999999869</v>
      </c>
      <c r="Y54" s="30">
        <f t="shared" ref="Y54:AC54" si="383">MIN(-0.21*Y53,0)</f>
        <v>-9.891000000000016</v>
      </c>
      <c r="Z54" s="30">
        <f t="shared" si="383"/>
        <v>-12.263999999999989</v>
      </c>
      <c r="AA54" s="30">
        <f t="shared" si="383"/>
        <v>-12.704999999999984</v>
      </c>
      <c r="AB54" s="30">
        <f t="shared" si="383"/>
        <v>-6.2369999999999921</v>
      </c>
      <c r="AC54" s="30">
        <f t="shared" si="383"/>
        <v>-15.771000000000008</v>
      </c>
      <c r="AD54" s="30">
        <f t="shared" ref="AD54" si="384">MIN(-0.21*AD53,0)</f>
        <v>-18.290999999999993</v>
      </c>
      <c r="AE54" s="30">
        <f t="shared" ref="AE54" ca="1" si="385">MIN(-0.21*AE53,0)</f>
        <v>-20.177378876230868</v>
      </c>
      <c r="AF54" s="30">
        <f t="shared" ref="AF54:AI54" ca="1" si="386">MIN(-0.21*AF53,0)</f>
        <v>-12.816743970246954</v>
      </c>
      <c r="AG54" s="30">
        <f t="shared" ca="1" si="386"/>
        <v>-24.144210550018201</v>
      </c>
      <c r="AH54" s="30">
        <f t="shared" ca="1" si="386"/>
        <v>-24.507649516141978</v>
      </c>
      <c r="AI54" s="30">
        <f t="shared" ca="1" si="386"/>
        <v>-26.621098406563956</v>
      </c>
      <c r="AK54" s="30">
        <f>MIN(-0.21*AK53,0)</f>
        <v>0</v>
      </c>
      <c r="AL54" s="30">
        <f t="shared" ref="AL54" si="387">MIN(-0.21*AL53,0)</f>
        <v>0</v>
      </c>
      <c r="AM54" s="30">
        <f t="shared" ref="AM54" si="388">MIN(-0.21*AM53,0)</f>
        <v>0</v>
      </c>
      <c r="AN54" s="30">
        <f t="shared" ref="AN54" si="389">MIN(-0.21*AN53,0)</f>
        <v>0</v>
      </c>
      <c r="AO54" s="30">
        <f t="shared" ref="AO54:AQ54" si="390">MIN(-0.21*AO53,0)</f>
        <v>0</v>
      </c>
      <c r="AP54" s="30">
        <f t="shared" si="390"/>
        <v>-14.321999999999958</v>
      </c>
      <c r="AQ54" s="30">
        <f t="shared" si="390"/>
        <v>-39.059999999999974</v>
      </c>
      <c r="AR54" s="30">
        <f t="shared" ca="1" si="368"/>
        <v>-60.476378876230861</v>
      </c>
      <c r="AS54" s="30">
        <f ca="1">+SUM(AF54:AI54)</f>
        <v>-88.089702442971088</v>
      </c>
    </row>
    <row r="55" spans="2:46" ht="10.15" x14ac:dyDescent="0.2">
      <c r="B55" s="11" t="s">
        <v>161</v>
      </c>
      <c r="D55" s="29">
        <f>+SUM(D53:D54)</f>
        <v>-6.925000000000006</v>
      </c>
      <c r="E55" s="29">
        <f t="shared" ref="E55:U55" si="391">+SUM(E53:E54)</f>
        <v>-5.7249999999999712</v>
      </c>
      <c r="F55" s="29">
        <f t="shared" si="391"/>
        <v>-7.1250000000000071</v>
      </c>
      <c r="G55" s="29">
        <f t="shared" si="391"/>
        <v>-3.5250000000000057</v>
      </c>
      <c r="H55" s="29">
        <f t="shared" si="391"/>
        <v>-6.900000000000027</v>
      </c>
      <c r="I55" s="29">
        <f t="shared" si="391"/>
        <v>-3.800000000000022</v>
      </c>
      <c r="J55" s="29">
        <f t="shared" si="391"/>
        <v>-4.3999999999999861</v>
      </c>
      <c r="K55" s="29">
        <f t="shared" si="391"/>
        <v>-9.2000000000000295</v>
      </c>
      <c r="L55" s="29">
        <f t="shared" si="391"/>
        <v>-13.399999999999977</v>
      </c>
      <c r="M55" s="29">
        <f t="shared" si="391"/>
        <v>-64.799999999999983</v>
      </c>
      <c r="N55" s="29">
        <f t="shared" si="391"/>
        <v>-8.8000000000000078</v>
      </c>
      <c r="O55" s="29">
        <f t="shared" si="391"/>
        <v>-16.60000000000003</v>
      </c>
      <c r="P55" s="29">
        <f t="shared" si="391"/>
        <v>-23.5</v>
      </c>
      <c r="Q55" s="29">
        <f t="shared" si="391"/>
        <v>1.5010000000000305</v>
      </c>
      <c r="R55" s="29">
        <f t="shared" si="391"/>
        <v>12.639999999999988</v>
      </c>
      <c r="S55" s="29">
        <f t="shared" si="391"/>
        <v>-6.700000000000002</v>
      </c>
      <c r="T55" s="29">
        <f t="shared" si="391"/>
        <v>-10.099999999999989</v>
      </c>
      <c r="U55" s="29">
        <f t="shared" si="391"/>
        <v>15.009999999999975</v>
      </c>
      <c r="V55" s="29">
        <f t="shared" ref="V55:W55" si="392">+SUM(V53:V54)</f>
        <v>20.302999999999912</v>
      </c>
      <c r="W55" s="29">
        <f t="shared" si="392"/>
        <v>26.543999999999951</v>
      </c>
      <c r="X55" s="29">
        <f t="shared" ref="X55" si="393">+SUM(X53:X54)</f>
        <v>15.799999999999953</v>
      </c>
      <c r="Y55" s="29">
        <f t="shared" ref="Y55:AC55" si="394">+SUM(Y53:Y54)</f>
        <v>37.20900000000006</v>
      </c>
      <c r="Z55" s="29">
        <f t="shared" si="394"/>
        <v>46.13599999999996</v>
      </c>
      <c r="AA55" s="29">
        <f t="shared" si="394"/>
        <v>47.794999999999945</v>
      </c>
      <c r="AB55" s="29">
        <f t="shared" si="394"/>
        <v>23.462999999999973</v>
      </c>
      <c r="AC55" s="29">
        <f t="shared" si="394"/>
        <v>59.329000000000029</v>
      </c>
      <c r="AD55" s="29">
        <f t="shared" ref="AD55" si="395">+SUM(AD53:AD54)</f>
        <v>68.808999999999969</v>
      </c>
      <c r="AE55" s="29">
        <f t="shared" ref="AE55" ca="1" si="396">+SUM(AE53:AE54)</f>
        <v>75.905377677249476</v>
      </c>
      <c r="AF55" s="29">
        <f t="shared" ref="AF55:AI55" ca="1" si="397">+SUM(AF53:AF54)</f>
        <v>48.215370173786162</v>
      </c>
      <c r="AG55" s="29">
        <f t="shared" ca="1" si="397"/>
        <v>90.828220640544671</v>
      </c>
      <c r="AH55" s="29">
        <f t="shared" ca="1" si="397"/>
        <v>92.195443417867438</v>
      </c>
      <c r="AI55" s="29">
        <f t="shared" ca="1" si="397"/>
        <v>100.14603686278822</v>
      </c>
      <c r="AK55" s="29">
        <f>+SUM(AK53:AK54)</f>
        <v>-23.299999999999983</v>
      </c>
      <c r="AL55" s="29">
        <f t="shared" ref="AL55" si="398">+SUM(AL53:AL54)</f>
        <v>-28.100000000000023</v>
      </c>
      <c r="AM55" s="29">
        <f t="shared" ref="AM55" si="399">+SUM(AM53:AM54)</f>
        <v>-24.300000000000061</v>
      </c>
      <c r="AN55" s="29">
        <f t="shared" ref="AN55" si="400">+SUM(AN53:AN54)</f>
        <v>-103.60000000000002</v>
      </c>
      <c r="AO55" s="29">
        <f t="shared" ref="AO55:AQ55" si="401">+SUM(AO53:AO54)</f>
        <v>-12.299999999999972</v>
      </c>
      <c r="AP55" s="29">
        <f t="shared" si="401"/>
        <v>53.877999999999844</v>
      </c>
      <c r="AQ55" s="29">
        <f t="shared" si="401"/>
        <v>146.93999999999991</v>
      </c>
      <c r="AR55" s="29">
        <f t="shared" ca="1" si="368"/>
        <v>227.50637767724945</v>
      </c>
      <c r="AS55" s="29">
        <f ca="1">+SUM(AF55:AI55)</f>
        <v>331.38507109498647</v>
      </c>
    </row>
    <row r="56" spans="2:46" ht="12" x14ac:dyDescent="0.35">
      <c r="B56" s="47" t="s">
        <v>233</v>
      </c>
      <c r="D56" s="29"/>
      <c r="E56" s="29"/>
      <c r="F56" s="29"/>
      <c r="G56" s="29"/>
      <c r="H56" s="29"/>
      <c r="I56" s="29"/>
      <c r="J56" s="29"/>
      <c r="K56" s="30"/>
      <c r="L56" s="30"/>
      <c r="M56" s="30">
        <f>SUM(M312,-M311,M315,M318,M319)</f>
        <v>80.577002999999991</v>
      </c>
      <c r="N56" s="30">
        <f t="shared" ref="N56:X56" si="402">SUM(N312,-N311,N315,N318,N319)</f>
        <v>80.316581999999997</v>
      </c>
      <c r="O56" s="30">
        <f t="shared" si="402"/>
        <v>84.135372499999988</v>
      </c>
      <c r="P56" s="30">
        <f t="shared" si="402"/>
        <v>84.779571000000004</v>
      </c>
      <c r="Q56" s="30">
        <f t="shared" si="402"/>
        <v>85.045366000000001</v>
      </c>
      <c r="R56" s="30">
        <f t="shared" si="402"/>
        <v>84.652302999999989</v>
      </c>
      <c r="S56" s="30">
        <f t="shared" si="402"/>
        <v>85.572091</v>
      </c>
      <c r="T56" s="30">
        <f t="shared" si="402"/>
        <v>85.622078999999985</v>
      </c>
      <c r="U56" s="30">
        <f t="shared" si="402"/>
        <v>83.531255999999999</v>
      </c>
      <c r="V56" s="30">
        <f t="shared" si="402"/>
        <v>82.374057999999991</v>
      </c>
      <c r="W56" s="30">
        <f t="shared" si="402"/>
        <v>84.419151999999997</v>
      </c>
      <c r="X56" s="30">
        <f t="shared" si="402"/>
        <v>84.487259999999992</v>
      </c>
      <c r="Y56" s="30">
        <f t="shared" ref="Y56:AC56" si="403">SUM(Y312,-Y311,Y315,Y318,Y319)</f>
        <v>84.148409999999998</v>
      </c>
      <c r="Z56" s="30">
        <f t="shared" si="403"/>
        <v>83.316203999999999</v>
      </c>
      <c r="AA56" s="30">
        <f t="shared" si="403"/>
        <v>88.625708500000002</v>
      </c>
      <c r="AB56" s="30">
        <f t="shared" si="403"/>
        <v>91.489027000000007</v>
      </c>
      <c r="AC56" s="30">
        <f t="shared" si="403"/>
        <v>91.309633000000019</v>
      </c>
      <c r="AD56" s="30">
        <f t="shared" ref="AD56" si="404">SUM(AD312,-AD311,AD315,AD318,AD319)</f>
        <v>91.016251999999994</v>
      </c>
      <c r="AE56" s="60">
        <v>91</v>
      </c>
      <c r="AF56" s="60">
        <v>91</v>
      </c>
      <c r="AG56" s="60">
        <v>91</v>
      </c>
      <c r="AH56" s="60">
        <v>91</v>
      </c>
      <c r="AI56" s="60">
        <v>91</v>
      </c>
      <c r="AK56" s="29"/>
      <c r="AL56" s="29"/>
      <c r="AM56" s="30"/>
      <c r="AN56" s="30">
        <f>SUM(AN312,-AN311,AN315,AN318,AN319)</f>
        <v>78.033283999999995</v>
      </c>
      <c r="AO56" s="30">
        <f>SUM(AO312,-AO311,AO315,AO318,AO319)</f>
        <v>83.599721000000002</v>
      </c>
      <c r="AP56" s="30">
        <f t="shared" ref="AP56:AQ56" si="405">SUM(AP312,-AP311,AP315,AP318,AP319)</f>
        <v>82.787858000000014</v>
      </c>
      <c r="AQ56" s="30">
        <f t="shared" si="405"/>
        <v>85.287824999999998</v>
      </c>
      <c r="AR56" s="30">
        <f>+AVERAGE(AB56:AE56)</f>
        <v>91.203728000000012</v>
      </c>
      <c r="AS56" s="30">
        <f>+AVERAGE(AF56:AI56)</f>
        <v>91</v>
      </c>
      <c r="AT56" s="20"/>
    </row>
    <row r="57" spans="2:46" ht="10.15" x14ac:dyDescent="0.2">
      <c r="B57" s="11" t="s">
        <v>234</v>
      </c>
      <c r="D57" s="19"/>
      <c r="E57" s="19"/>
      <c r="F57" s="19"/>
      <c r="G57" s="19"/>
      <c r="H57" s="19"/>
      <c r="I57" s="19"/>
      <c r="J57" s="19"/>
      <c r="K57" s="20"/>
      <c r="L57" s="20"/>
      <c r="M57" s="20">
        <f t="shared" ref="M57:W57" si="406">+M55/M56</f>
        <v>-0.80419967965301453</v>
      </c>
      <c r="N57" s="20">
        <f t="shared" si="406"/>
        <v>-0.10956641556285361</v>
      </c>
      <c r="O57" s="20">
        <f t="shared" si="406"/>
        <v>-0.19730108165860955</v>
      </c>
      <c r="P57" s="20">
        <f t="shared" si="406"/>
        <v>-0.27718941866313523</v>
      </c>
      <c r="Q57" s="20">
        <f t="shared" si="406"/>
        <v>1.7649403731180728E-2</v>
      </c>
      <c r="R57" s="20">
        <f t="shared" si="406"/>
        <v>0.14931667009697291</v>
      </c>
      <c r="S57" s="20">
        <f t="shared" si="406"/>
        <v>-7.8296555824491909E-2</v>
      </c>
      <c r="T57" s="20">
        <f t="shared" si="406"/>
        <v>-0.11796022845929717</v>
      </c>
      <c r="U57" s="20">
        <f t="shared" si="406"/>
        <v>0.17969321567486038</v>
      </c>
      <c r="V57" s="20">
        <f t="shared" si="406"/>
        <v>0.24647322825834214</v>
      </c>
      <c r="W57" s="20">
        <f t="shared" si="406"/>
        <v>0.31443101916020139</v>
      </c>
      <c r="X57" s="20">
        <f t="shared" ref="X57" si="407">+X55/X56</f>
        <v>0.18701044394148839</v>
      </c>
      <c r="Y57" s="20">
        <f t="shared" ref="Y57:AC57" si="408">+Y55/Y56</f>
        <v>0.44218304303076028</v>
      </c>
      <c r="Z57" s="20">
        <f t="shared" si="408"/>
        <v>0.55374582356152424</v>
      </c>
      <c r="AA57" s="20">
        <f t="shared" si="408"/>
        <v>0.5392904701010085</v>
      </c>
      <c r="AB57" s="20">
        <f t="shared" si="408"/>
        <v>0.25645698472670359</v>
      </c>
      <c r="AC57" s="20">
        <f t="shared" si="408"/>
        <v>0.64975619823157116</v>
      </c>
      <c r="AD57" s="20">
        <f t="shared" ref="AD57" si="409">+AD55/AD56</f>
        <v>0.75600783912745573</v>
      </c>
      <c r="AE57" s="20">
        <f t="shared" ref="AE57" ca="1" si="410">+AE55/AE56</f>
        <v>0.83412502942032396</v>
      </c>
      <c r="AF57" s="20">
        <f t="shared" ref="AF57:AI57" ca="1" si="411">+AF55/AF56</f>
        <v>0.52983923267896882</v>
      </c>
      <c r="AG57" s="20">
        <f t="shared" ca="1" si="411"/>
        <v>0.99811231473126016</v>
      </c>
      <c r="AH57" s="20">
        <f t="shared" ca="1" si="411"/>
        <v>1.0131367408556862</v>
      </c>
      <c r="AI57" s="20">
        <f t="shared" ca="1" si="411"/>
        <v>1.1005058995910793</v>
      </c>
      <c r="AK57" s="19"/>
      <c r="AL57" s="19"/>
      <c r="AM57" s="20"/>
      <c r="AN57" s="20">
        <f t="shared" ref="AN57:AO57" si="412">+AN55/AN56</f>
        <v>-1.3276386009846777</v>
      </c>
      <c r="AO57" s="20">
        <f t="shared" si="412"/>
        <v>-0.14712967762177068</v>
      </c>
      <c r="AP57" s="20">
        <f t="shared" ref="AP57:AQ57" si="413">+AP55/AP56</f>
        <v>0.65079591743996845</v>
      </c>
      <c r="AQ57" s="20">
        <f t="shared" si="413"/>
        <v>1.7228719339483674</v>
      </c>
      <c r="AR57" s="20">
        <f t="shared" ref="AR57" ca="1" si="414">+AR55/AR56</f>
        <v>2.4944855069657832</v>
      </c>
      <c r="AS57" s="20">
        <f ca="1">+SUM(AF57:AI57)</f>
        <v>3.6415941878569944</v>
      </c>
      <c r="AT57" s="20"/>
    </row>
    <row r="58" spans="2:46" ht="10.15" x14ac:dyDescent="0.2">
      <c r="B58" s="28" t="s">
        <v>136</v>
      </c>
      <c r="D58" s="50"/>
      <c r="E58" s="50"/>
      <c r="F58" s="50"/>
      <c r="G58" s="50"/>
      <c r="H58" s="43" t="str">
        <f t="shared" ref="H58" si="415">+IFERROR(H57/D57-1,"n/a")</f>
        <v>n/a</v>
      </c>
      <c r="I58" s="43" t="str">
        <f t="shared" ref="I58" si="416">+IFERROR(I57/E57-1,"n/a")</f>
        <v>n/a</v>
      </c>
      <c r="J58" s="43" t="str">
        <f t="shared" ref="J58" si="417">+IFERROR(J57/F57-1,"n/a")</f>
        <v>n/a</v>
      </c>
      <c r="K58" s="43" t="str">
        <f t="shared" ref="K58" si="418">+IFERROR(K57/G57-1,"n/a")</f>
        <v>n/a</v>
      </c>
      <c r="L58" s="43" t="str">
        <f t="shared" ref="L58" si="419">+IFERROR(L57/H57-1,"n/a")</f>
        <v>n/a</v>
      </c>
      <c r="M58" s="43" t="str">
        <f t="shared" ref="M58" si="420">+IFERROR(M57/I57-1,"n/a")</f>
        <v>n/a</v>
      </c>
      <c r="N58" s="43" t="str">
        <f t="shared" ref="N58" si="421">+IFERROR(N57/J57-1,"n/a")</f>
        <v>n/a</v>
      </c>
      <c r="O58" s="43" t="str">
        <f t="shared" ref="O58" si="422">+IFERROR(O57/K57-1,"n/a")</f>
        <v>n/a</v>
      </c>
      <c r="P58" s="43" t="str">
        <f t="shared" ref="P58" si="423">+IFERROR(P57/L57-1,"n/a")</f>
        <v>n/a</v>
      </c>
      <c r="Q58" s="43">
        <f t="shared" ref="Q58" si="424">+IFERROR(Q57/M57-1,"n/a")</f>
        <v>-1.0219465440956106</v>
      </c>
      <c r="R58" s="43">
        <f t="shared" ref="R58" si="425">+IFERROR(R57/N57-1,"n/a")</f>
        <v>-2.3627959747511889</v>
      </c>
      <c r="S58" s="43">
        <f t="shared" ref="S58" si="426">+IFERROR(S57/O57-1,"n/a")</f>
        <v>-0.60316205483369534</v>
      </c>
      <c r="T58" s="43">
        <f t="shared" ref="T58" si="427">+IFERROR(T57/P57-1,"n/a")</f>
        <v>-0.57444180579399129</v>
      </c>
      <c r="U58" s="43">
        <f t="shared" ref="U58" si="428">+IFERROR(U57/Q57-1,"n/a")</f>
        <v>9.1812626880647077</v>
      </c>
      <c r="V58" s="43">
        <f t="shared" ref="V58" si="429">+IFERROR(V57/R57-1,"n/a")</f>
        <v>0.65067455695517062</v>
      </c>
      <c r="W58" s="43">
        <f t="shared" ref="W58" si="430">+IFERROR(W57/S57-1,"n/a")</f>
        <v>-5.0158984753432074</v>
      </c>
      <c r="X58" s="43">
        <f t="shared" ref="X58" si="431">+IFERROR(X57/T57-1,"n/a")</f>
        <v>-2.5853686143547727</v>
      </c>
      <c r="Y58" s="43">
        <f t="shared" ref="Y58" si="432">+IFERROR(Y57/U57-1,"n/a")</f>
        <v>1.4607664867595944</v>
      </c>
      <c r="Z58" s="43">
        <f t="shared" ref="Z58" si="433">+IFERROR(Z57/V57-1,"n/a")</f>
        <v>1.2466773672518818</v>
      </c>
      <c r="AA58" s="43">
        <f t="shared" ref="AA58" si="434">+IFERROR(AA57/W57-1,"n/a")</f>
        <v>0.71513126008169725</v>
      </c>
      <c r="AB58" s="43">
        <f t="shared" ref="AB58" si="435">+IFERROR(AB57/X57-1,"n/a")</f>
        <v>0.37135113591272773</v>
      </c>
      <c r="AC58" s="43">
        <f t="shared" ref="AC58:AD58" si="436">+IFERROR(AC57/Y57-1,"n/a")</f>
        <v>0.46942812139083112</v>
      </c>
      <c r="AD58" s="43">
        <f t="shared" si="436"/>
        <v>0.36526147369391238</v>
      </c>
      <c r="AE58" s="43">
        <f t="shared" ref="AE58" ca="1" si="437">+IFERROR(AE57/AA57-1,"n/a")</f>
        <v>0.54670826885573054</v>
      </c>
      <c r="AF58" s="43">
        <f t="shared" ref="AF58" ca="1" si="438">+IFERROR(AF57/AB57-1,"n/a")</f>
        <v>1.065996499348997</v>
      </c>
      <c r="AG58" s="43">
        <f t="shared" ref="AG58" ca="1" si="439">+IFERROR(AG57/AC57-1,"n/a")</f>
        <v>0.53613357971467313</v>
      </c>
      <c r="AH58" s="43">
        <f t="shared" ref="AH58" ca="1" si="440">+IFERROR(AH57/AD57-1,"n/a")</f>
        <v>0.3401140681623025</v>
      </c>
      <c r="AI58" s="43">
        <f t="shared" ref="AI58" ca="1" si="441">+IFERROR(AI57/AE57-1,"n/a")</f>
        <v>0.31935364696570367</v>
      </c>
      <c r="AK58" s="50"/>
      <c r="AL58" s="50"/>
      <c r="AM58" s="25"/>
      <c r="AN58" s="25"/>
      <c r="AO58" s="25">
        <f t="shared" ref="AO58" si="442">+IFERROR(AO57/AN57-1,"n/a")</f>
        <v>-0.88917942163428498</v>
      </c>
      <c r="AP58" s="25">
        <f t="shared" ref="AP58" si="443">+IFERROR(AP57/AO57-1,"n/a")</f>
        <v>-5.4232810671480101</v>
      </c>
      <c r="AQ58" s="25">
        <f t="shared" ref="AQ58" si="444">+IFERROR(AQ57/AP57-1,"n/a")</f>
        <v>1.6473305805691241</v>
      </c>
      <c r="AR58" s="25">
        <f t="shared" ref="AR58" ca="1" si="445">+IFERROR(AR57/AQ57-1,"n/a")</f>
        <v>0.44786472970691515</v>
      </c>
      <c r="AS58" s="25">
        <f t="shared" ref="AS58" ca="1" si="446">+IFERROR(AS57/AR57-1,"n/a")</f>
        <v>0.45985782546659082</v>
      </c>
    </row>
    <row r="59" spans="2:46" ht="10.15" x14ac:dyDescent="0.2">
      <c r="B59" s="11"/>
      <c r="D59" s="19"/>
      <c r="E59" s="19"/>
      <c r="F59" s="19"/>
      <c r="G59" s="19"/>
      <c r="H59" s="19"/>
      <c r="I59" s="19"/>
      <c r="J59" s="19"/>
      <c r="K59" s="19"/>
      <c r="AK59" s="19"/>
      <c r="AL59" s="19"/>
      <c r="AM59" s="19"/>
      <c r="AN59" s="19"/>
      <c r="AO59" s="19"/>
      <c r="AP59" s="19"/>
      <c r="AQ59" s="19"/>
      <c r="AR59" s="19"/>
      <c r="AS59" s="19"/>
    </row>
    <row r="60" spans="2:46" ht="10.15" x14ac:dyDescent="0.2">
      <c r="B60" s="23" t="s">
        <v>162</v>
      </c>
      <c r="D60" s="19"/>
      <c r="E60" s="19"/>
      <c r="F60" s="19"/>
      <c r="G60" s="19"/>
      <c r="H60" s="19"/>
      <c r="I60" s="19"/>
      <c r="J60" s="19"/>
      <c r="K60" s="19"/>
      <c r="AK60" s="19"/>
      <c r="AL60" s="19"/>
      <c r="AM60" s="19"/>
      <c r="AN60" s="19"/>
      <c r="AO60" s="19"/>
      <c r="AP60" s="19"/>
      <c r="AQ60" s="19"/>
      <c r="AR60" s="19"/>
      <c r="AS60" s="19"/>
    </row>
    <row r="61" spans="2:46" ht="10.15" x14ac:dyDescent="0.2">
      <c r="B61" t="s">
        <v>157</v>
      </c>
      <c r="D61" s="29">
        <f t="shared" ref="D61:X61" si="447">+D48</f>
        <v>20.574999999999996</v>
      </c>
      <c r="E61" s="29">
        <f t="shared" si="447"/>
        <v>21.875000000000028</v>
      </c>
      <c r="F61" s="29">
        <f t="shared" si="447"/>
        <v>21.574999999999992</v>
      </c>
      <c r="G61" s="29">
        <f t="shared" si="447"/>
        <v>25.874999999999993</v>
      </c>
      <c r="H61" s="29">
        <f t="shared" si="447"/>
        <v>20.399999999999974</v>
      </c>
      <c r="I61" s="29">
        <f t="shared" si="447"/>
        <v>24.099999999999977</v>
      </c>
      <c r="J61" s="29">
        <f t="shared" si="447"/>
        <v>24.600000000000016</v>
      </c>
      <c r="K61" s="29">
        <f t="shared" si="447"/>
        <v>20.699999999999971</v>
      </c>
      <c r="L61" s="29">
        <f t="shared" si="447"/>
        <v>17.500000000000025</v>
      </c>
      <c r="M61" s="29">
        <f t="shared" si="447"/>
        <v>-35.199999999999982</v>
      </c>
      <c r="N61" s="29">
        <f t="shared" si="447"/>
        <v>22.499999999999993</v>
      </c>
      <c r="O61" s="29">
        <f t="shared" si="447"/>
        <v>15.999999999999968</v>
      </c>
      <c r="P61" s="29">
        <f t="shared" si="447"/>
        <v>8.3000000000000007</v>
      </c>
      <c r="Q61" s="29">
        <f t="shared" si="447"/>
        <v>33.900000000000034</v>
      </c>
      <c r="R61" s="29">
        <f t="shared" si="447"/>
        <v>49.199999999999989</v>
      </c>
      <c r="S61" s="29">
        <f t="shared" si="447"/>
        <v>28.7</v>
      </c>
      <c r="T61" s="29">
        <f t="shared" si="447"/>
        <v>26.900000000000013</v>
      </c>
      <c r="U61" s="29">
        <f t="shared" si="447"/>
        <v>55.899999999999963</v>
      </c>
      <c r="V61" s="29">
        <f t="shared" si="447"/>
        <v>73.099999999999895</v>
      </c>
      <c r="W61" s="29">
        <f t="shared" si="447"/>
        <v>83.099999999999937</v>
      </c>
      <c r="X61" s="29">
        <f t="shared" si="447"/>
        <v>68.099999999999937</v>
      </c>
      <c r="Y61" s="29">
        <f t="shared" ref="Y61:AC61" si="448">+Y48</f>
        <v>96.300000000000082</v>
      </c>
      <c r="Z61" s="29">
        <f t="shared" si="448"/>
        <v>111.89999999999995</v>
      </c>
      <c r="AA61" s="29">
        <f t="shared" si="448"/>
        <v>124.49999999999993</v>
      </c>
      <c r="AB61" s="29">
        <f t="shared" si="448"/>
        <v>98.499999999999957</v>
      </c>
      <c r="AC61" s="29">
        <f t="shared" si="448"/>
        <v>147.90000000000003</v>
      </c>
      <c r="AD61" s="29">
        <f t="shared" ref="AD61" si="449">+AD48</f>
        <v>172.99999999999997</v>
      </c>
      <c r="AE61" s="29">
        <f t="shared" ref="AE61" si="450">+AE48</f>
        <v>189.30345567399448</v>
      </c>
      <c r="AF61" s="29">
        <f t="shared" ref="AF61:AI61" si="451">+AF48</f>
        <v>157.31179081599996</v>
      </c>
      <c r="AG61" s="29">
        <f t="shared" si="451"/>
        <v>211.34180128355555</v>
      </c>
      <c r="AH61" s="29">
        <f t="shared" si="451"/>
        <v>212.98144000000005</v>
      </c>
      <c r="AI61" s="29">
        <f t="shared" si="451"/>
        <v>226.3706302326091</v>
      </c>
      <c r="AK61" s="29">
        <f>+AK48</f>
        <v>89.9</v>
      </c>
      <c r="AL61" s="29">
        <f>+AL48</f>
        <v>89.899999999999977</v>
      </c>
      <c r="AM61" s="29">
        <f>+AM48</f>
        <v>89.79999999999994</v>
      </c>
      <c r="AN61" s="29">
        <f>+AN48</f>
        <v>20.799999999999983</v>
      </c>
      <c r="AO61" s="29">
        <f>+AO48</f>
        <v>120.10000000000004</v>
      </c>
      <c r="AP61" s="29">
        <f t="shared" ref="AP61:AQ61" si="452">+AP48</f>
        <v>238.9999999999998</v>
      </c>
      <c r="AQ61" s="29">
        <f t="shared" si="452"/>
        <v>400.79999999999984</v>
      </c>
      <c r="AR61" s="29">
        <f t="shared" ref="AR61" si="453">+SUM(AB61:AE61)</f>
        <v>608.70345567399443</v>
      </c>
      <c r="AS61" s="29">
        <f>+SUM(AF61:AI61)</f>
        <v>808.00566233216466</v>
      </c>
    </row>
    <row r="62" spans="2:46" ht="10.15" x14ac:dyDescent="0.2">
      <c r="B62" t="s">
        <v>166</v>
      </c>
      <c r="D62" s="29">
        <f>+D439</f>
        <v>-0.22101999999999999</v>
      </c>
      <c r="E62" s="29">
        <f t="shared" ref="E62:U62" si="454">+E439</f>
        <v>-0.650003</v>
      </c>
      <c r="F62" s="29">
        <f t="shared" si="454"/>
        <v>-0.29122900000000002</v>
      </c>
      <c r="G62" s="29">
        <f t="shared" si="454"/>
        <v>-0.47245500000000001</v>
      </c>
      <c r="H62" s="29">
        <f t="shared" si="454"/>
        <v>-2</v>
      </c>
      <c r="I62" s="29">
        <f t="shared" si="454"/>
        <v>-4.2</v>
      </c>
      <c r="J62" s="29">
        <f t="shared" si="454"/>
        <v>-1.5</v>
      </c>
      <c r="K62" s="29">
        <f t="shared" si="454"/>
        <v>-0.49999999999999911</v>
      </c>
      <c r="L62" s="29">
        <f t="shared" si="454"/>
        <v>-1.4</v>
      </c>
      <c r="M62" s="29">
        <f t="shared" si="454"/>
        <v>0</v>
      </c>
      <c r="N62" s="29">
        <f t="shared" si="454"/>
        <v>-1.2000000000000002</v>
      </c>
      <c r="O62" s="29">
        <f t="shared" si="454"/>
        <v>-2.1999999999999997</v>
      </c>
      <c r="P62" s="29">
        <f t="shared" si="454"/>
        <v>-0.7</v>
      </c>
      <c r="Q62" s="29">
        <f t="shared" si="454"/>
        <v>-4.3</v>
      </c>
      <c r="R62" s="29">
        <f t="shared" si="454"/>
        <v>-1.2999999999999998</v>
      </c>
      <c r="S62" s="29">
        <f t="shared" si="454"/>
        <v>-1.8999999999999995</v>
      </c>
      <c r="T62" s="29">
        <f t="shared" si="454"/>
        <v>-1</v>
      </c>
      <c r="U62" s="29">
        <f t="shared" si="454"/>
        <v>-0.8</v>
      </c>
      <c r="V62" s="29">
        <f t="shared" ref="V62:W62" si="455">+V439</f>
        <v>-5</v>
      </c>
      <c r="W62" s="29">
        <f t="shared" si="455"/>
        <v>-1.2000000000000002</v>
      </c>
      <c r="X62" s="29">
        <f t="shared" ref="X62" si="456">+X439</f>
        <v>-2.7</v>
      </c>
      <c r="Y62" s="29">
        <f t="shared" ref="Y62:AC62" si="457">+Y439</f>
        <v>-3.3999999999999995</v>
      </c>
      <c r="Z62" s="29">
        <f t="shared" si="457"/>
        <v>-5.2000000000000011</v>
      </c>
      <c r="AA62" s="29">
        <f t="shared" si="457"/>
        <v>-2.3999999999999986</v>
      </c>
      <c r="AB62" s="29">
        <f t="shared" si="457"/>
        <v>-1.3</v>
      </c>
      <c r="AC62" s="29">
        <f t="shared" si="457"/>
        <v>-2.2000000000000002</v>
      </c>
      <c r="AD62" s="29">
        <f t="shared" ref="AD62" si="458">+AD439</f>
        <v>-2</v>
      </c>
      <c r="AK62" s="29">
        <f>+AK439</f>
        <v>-1.6</v>
      </c>
      <c r="AL62" s="29">
        <f>+AL439</f>
        <v>-1.6</v>
      </c>
      <c r="AM62" s="29">
        <f>+AM439</f>
        <v>-8.1999999999999993</v>
      </c>
      <c r="AN62" s="29">
        <f>+AN439</f>
        <v>-4.8</v>
      </c>
      <c r="AO62" s="29">
        <f>+AO439</f>
        <v>-8.1999999999999993</v>
      </c>
      <c r="AP62" s="29">
        <f t="shared" ref="AP62:AQ62" si="459">+AP439</f>
        <v>-8</v>
      </c>
      <c r="AQ62" s="29">
        <f t="shared" si="459"/>
        <v>-13.7</v>
      </c>
      <c r="AR62" s="29"/>
      <c r="AS62" s="29"/>
    </row>
    <row r="63" spans="2:46" ht="10.15" x14ac:dyDescent="0.2">
      <c r="B63" t="s">
        <v>250</v>
      </c>
      <c r="D63" s="29">
        <f t="shared" ref="D63:G63" si="460">+D438</f>
        <v>0</v>
      </c>
      <c r="E63" s="29">
        <f t="shared" si="460"/>
        <v>0</v>
      </c>
      <c r="F63" s="29">
        <f t="shared" si="460"/>
        <v>0</v>
      </c>
      <c r="G63" s="29">
        <f t="shared" si="460"/>
        <v>0</v>
      </c>
      <c r="H63" s="29">
        <f>+H438</f>
        <v>0</v>
      </c>
      <c r="I63" s="29">
        <f t="shared" ref="I63:X63" si="461">+I438</f>
        <v>0</v>
      </c>
      <c r="J63" s="29">
        <f t="shared" si="461"/>
        <v>0</v>
      </c>
      <c r="K63" s="29">
        <f t="shared" si="461"/>
        <v>0</v>
      </c>
      <c r="L63" s="29">
        <f t="shared" si="461"/>
        <v>0</v>
      </c>
      <c r="M63" s="29">
        <f t="shared" si="461"/>
        <v>0</v>
      </c>
      <c r="N63" s="29">
        <f t="shared" si="461"/>
        <v>0</v>
      </c>
      <c r="O63" s="29">
        <f t="shared" si="461"/>
        <v>0</v>
      </c>
      <c r="P63" s="29">
        <f t="shared" si="461"/>
        <v>0</v>
      </c>
      <c r="Q63" s="29">
        <f t="shared" si="461"/>
        <v>0</v>
      </c>
      <c r="R63" s="29">
        <f t="shared" si="461"/>
        <v>0</v>
      </c>
      <c r="S63" s="29">
        <f t="shared" si="461"/>
        <v>0</v>
      </c>
      <c r="T63" s="29">
        <f t="shared" si="461"/>
        <v>0</v>
      </c>
      <c r="U63" s="29">
        <f t="shared" si="461"/>
        <v>0</v>
      </c>
      <c r="V63" s="29">
        <f t="shared" si="461"/>
        <v>0</v>
      </c>
      <c r="W63" s="29">
        <f t="shared" si="461"/>
        <v>0</v>
      </c>
      <c r="X63" s="29">
        <f t="shared" si="461"/>
        <v>0</v>
      </c>
      <c r="Y63" s="29">
        <f t="shared" ref="Y63:AC63" si="462">+Y438</f>
        <v>-2</v>
      </c>
      <c r="Z63" s="29">
        <f t="shared" si="462"/>
        <v>0</v>
      </c>
      <c r="AA63" s="29">
        <f t="shared" si="462"/>
        <v>0</v>
      </c>
      <c r="AB63" s="29">
        <f t="shared" si="462"/>
        <v>0</v>
      </c>
      <c r="AC63" s="29">
        <f t="shared" si="462"/>
        <v>0</v>
      </c>
      <c r="AD63" s="29">
        <f t="shared" ref="AD63" si="463">+AD438</f>
        <v>0</v>
      </c>
      <c r="AK63" s="29"/>
      <c r="AL63" s="29">
        <f>+AL438</f>
        <v>0</v>
      </c>
      <c r="AM63" s="29">
        <f>+AM438</f>
        <v>0</v>
      </c>
      <c r="AN63" s="29">
        <f>+AN438</f>
        <v>0</v>
      </c>
      <c r="AO63" s="29">
        <f>+AO438</f>
        <v>0</v>
      </c>
      <c r="AP63" s="29">
        <f t="shared" ref="AP63:AQ63" si="464">+AP438</f>
        <v>0</v>
      </c>
      <c r="AQ63" s="29">
        <f t="shared" si="464"/>
        <v>-2</v>
      </c>
      <c r="AR63" s="29"/>
      <c r="AS63" s="29"/>
    </row>
    <row r="64" spans="2:46" ht="10.15" x14ac:dyDescent="0.2">
      <c r="B64" t="s">
        <v>165</v>
      </c>
      <c r="D64" s="29">
        <f>+D436</f>
        <v>-0.91719899999999999</v>
      </c>
      <c r="E64" s="29">
        <f t="shared" ref="E64:U64" si="465">+E436</f>
        <v>-1.0087390000000001</v>
      </c>
      <c r="F64" s="29">
        <f t="shared" si="465"/>
        <v>-0.953592</v>
      </c>
      <c r="G64" s="29">
        <f t="shared" si="465"/>
        <v>-1.168283</v>
      </c>
      <c r="H64" s="29">
        <f t="shared" si="465"/>
        <v>-1</v>
      </c>
      <c r="I64" s="29">
        <f t="shared" si="465"/>
        <v>-1.2000000000000002</v>
      </c>
      <c r="J64" s="29">
        <f t="shared" si="465"/>
        <v>-1.5</v>
      </c>
      <c r="K64" s="29">
        <f t="shared" si="465"/>
        <v>-4.7</v>
      </c>
      <c r="L64" s="29">
        <f t="shared" si="465"/>
        <v>-2.2000000000000002</v>
      </c>
      <c r="M64" s="29">
        <f t="shared" si="465"/>
        <v>-2.8999999999999995</v>
      </c>
      <c r="N64" s="29">
        <f t="shared" si="465"/>
        <v>-1.9000000000000004</v>
      </c>
      <c r="O64" s="29">
        <f t="shared" si="465"/>
        <v>-2.6999999999999993</v>
      </c>
      <c r="P64" s="29">
        <f t="shared" si="465"/>
        <v>-3.6</v>
      </c>
      <c r="Q64" s="29">
        <f t="shared" si="465"/>
        <v>-4.7000000000000011</v>
      </c>
      <c r="R64" s="29">
        <f t="shared" si="465"/>
        <v>-4.6999999999999993</v>
      </c>
      <c r="S64" s="29">
        <f t="shared" si="465"/>
        <v>-8</v>
      </c>
      <c r="T64" s="29">
        <f t="shared" si="465"/>
        <v>-8</v>
      </c>
      <c r="U64" s="29">
        <f t="shared" si="465"/>
        <v>-12.3</v>
      </c>
      <c r="V64" s="29">
        <f t="shared" ref="V64:W64" si="466">+V436</f>
        <v>-11.399999999999999</v>
      </c>
      <c r="W64" s="29">
        <f t="shared" si="466"/>
        <v>-11.000000000000004</v>
      </c>
      <c r="X64" s="29">
        <f t="shared" ref="X64" si="467">+X436</f>
        <v>-10.7</v>
      </c>
      <c r="Y64" s="29">
        <f t="shared" ref="Y64:AC64" si="468">+Y436</f>
        <v>-7.1999999999999993</v>
      </c>
      <c r="Z64" s="29">
        <f t="shared" si="468"/>
        <v>-11.400000000000002</v>
      </c>
      <c r="AA64" s="29">
        <f t="shared" si="468"/>
        <v>-14.8</v>
      </c>
      <c r="AB64" s="29">
        <f t="shared" si="468"/>
        <v>-14.7</v>
      </c>
      <c r="AC64" s="29">
        <f t="shared" si="468"/>
        <v>-16.8</v>
      </c>
      <c r="AD64" s="29">
        <f t="shared" ref="AD64" si="469">+AD436</f>
        <v>-16.899999999999999</v>
      </c>
      <c r="AK64" s="29">
        <f>+AK436</f>
        <v>-4</v>
      </c>
      <c r="AL64" s="29">
        <f>+AL436</f>
        <v>-4</v>
      </c>
      <c r="AM64" s="29">
        <f>+AM436</f>
        <v>-8.4</v>
      </c>
      <c r="AN64" s="29">
        <f>+AN436</f>
        <v>-9.6999999999999993</v>
      </c>
      <c r="AO64" s="29">
        <f>+AO436</f>
        <v>-21</v>
      </c>
      <c r="AP64" s="29">
        <f t="shared" ref="AP64:AQ64" si="470">+AP436</f>
        <v>-42.7</v>
      </c>
      <c r="AQ64" s="29">
        <f t="shared" si="470"/>
        <v>-44.1</v>
      </c>
      <c r="AR64" s="29"/>
      <c r="AS64" s="29"/>
    </row>
    <row r="65" spans="2:48" ht="10.15" x14ac:dyDescent="0.2">
      <c r="B65" t="s">
        <v>164</v>
      </c>
      <c r="D65" s="29">
        <f>+D428</f>
        <v>-5.5240030000000004</v>
      </c>
      <c r="E65" s="29">
        <f t="shared" ref="E65:V65" si="471">+E428</f>
        <v>-8.0675310000000007</v>
      </c>
      <c r="F65" s="29">
        <f t="shared" si="471"/>
        <v>-9.6812470000000008</v>
      </c>
      <c r="G65" s="29">
        <f t="shared" si="471"/>
        <v>-7.3225220000000002</v>
      </c>
      <c r="H65" s="29">
        <f t="shared" si="471"/>
        <v>-3.7</v>
      </c>
      <c r="I65" s="29">
        <f t="shared" si="471"/>
        <v>-5.1000000000000005</v>
      </c>
      <c r="J65" s="29">
        <f t="shared" si="471"/>
        <v>-4.7999999999999989</v>
      </c>
      <c r="K65" s="29">
        <f t="shared" si="471"/>
        <v>-5.0999999999999996</v>
      </c>
      <c r="L65" s="29">
        <f t="shared" si="471"/>
        <v>-5.6</v>
      </c>
      <c r="M65" s="29">
        <f t="shared" si="471"/>
        <v>-4.2000000000000011</v>
      </c>
      <c r="N65" s="29">
        <f t="shared" si="471"/>
        <v>-4.5999999999999996</v>
      </c>
      <c r="O65" s="29">
        <f t="shared" si="471"/>
        <v>-4.9999999999999982</v>
      </c>
      <c r="P65" s="29">
        <f t="shared" si="471"/>
        <v>-5.4</v>
      </c>
      <c r="Q65" s="29">
        <f t="shared" si="471"/>
        <v>-7.2999999999999989</v>
      </c>
      <c r="R65" s="29">
        <f t="shared" si="471"/>
        <v>-6.6000000000000014</v>
      </c>
      <c r="S65" s="29">
        <f t="shared" si="471"/>
        <v>-6.8999999999999986</v>
      </c>
      <c r="T65" s="29">
        <f t="shared" si="471"/>
        <v>-6.3</v>
      </c>
      <c r="U65" s="29">
        <f t="shared" si="471"/>
        <v>-7.8999999999999995</v>
      </c>
      <c r="V65" s="29">
        <f t="shared" si="471"/>
        <v>-5.1999999999999993</v>
      </c>
      <c r="W65" s="29">
        <f t="shared" ref="W65:X65" si="472">+W428</f>
        <v>-5.8000000000000007</v>
      </c>
      <c r="X65" s="29">
        <f t="shared" si="472"/>
        <v>-7.3</v>
      </c>
      <c r="Y65" s="29">
        <f t="shared" ref="Y65:AC65" si="473">+Y428</f>
        <v>-9</v>
      </c>
      <c r="Z65" s="29">
        <f t="shared" si="473"/>
        <v>-9.3000000000000007</v>
      </c>
      <c r="AA65" s="29">
        <f t="shared" si="473"/>
        <v>-8.6000000000000014</v>
      </c>
      <c r="AB65" s="29">
        <f t="shared" si="473"/>
        <v>-9.5</v>
      </c>
      <c r="AC65" s="29">
        <f t="shared" si="473"/>
        <v>-9.6000000000000014</v>
      </c>
      <c r="AD65" s="29">
        <f t="shared" ref="AD65" si="474">+AD428</f>
        <v>-10.899999999999999</v>
      </c>
      <c r="AK65" s="29" t="e">
        <f>+#REF!</f>
        <v>#REF!</v>
      </c>
      <c r="AL65" s="29">
        <f>+AL428</f>
        <v>-30.6</v>
      </c>
      <c r="AM65" s="29">
        <f t="shared" ref="AM65:AO65" si="475">+AM428</f>
        <v>-18.7</v>
      </c>
      <c r="AN65" s="29">
        <f t="shared" si="475"/>
        <v>-19.399999999999999</v>
      </c>
      <c r="AO65" s="29">
        <f t="shared" si="475"/>
        <v>-26.2</v>
      </c>
      <c r="AP65" s="29">
        <f t="shared" ref="AP65:AQ65" si="476">+AP428</f>
        <v>-25.2</v>
      </c>
      <c r="AQ65" s="29">
        <f t="shared" si="476"/>
        <v>-34.200000000000003</v>
      </c>
      <c r="AR65" s="29"/>
      <c r="AS65" s="29"/>
    </row>
    <row r="66" spans="2:48" ht="12" x14ac:dyDescent="0.35">
      <c r="B66" t="s">
        <v>163</v>
      </c>
      <c r="D66" s="30">
        <f>+D433</f>
        <v>0</v>
      </c>
      <c r="E66" s="30">
        <f t="shared" ref="E66:U66" si="477">+E433</f>
        <v>0</v>
      </c>
      <c r="F66" s="30">
        <f t="shared" si="477"/>
        <v>0</v>
      </c>
      <c r="G66" s="30">
        <f t="shared" si="477"/>
        <v>0</v>
      </c>
      <c r="H66" s="30">
        <f t="shared" si="477"/>
        <v>0</v>
      </c>
      <c r="I66" s="30">
        <f t="shared" si="477"/>
        <v>0</v>
      </c>
      <c r="J66" s="30">
        <f t="shared" si="477"/>
        <v>0</v>
      </c>
      <c r="K66" s="30">
        <f t="shared" si="477"/>
        <v>0</v>
      </c>
      <c r="L66" s="30">
        <f t="shared" si="477"/>
        <v>0</v>
      </c>
      <c r="M66" s="30">
        <f t="shared" si="477"/>
        <v>0</v>
      </c>
      <c r="N66" s="30">
        <f t="shared" si="477"/>
        <v>-5.8</v>
      </c>
      <c r="O66" s="30">
        <f t="shared" si="477"/>
        <v>-8.6999999999999993</v>
      </c>
      <c r="P66" s="30">
        <f t="shared" si="477"/>
        <v>-10.4</v>
      </c>
      <c r="Q66" s="30">
        <f t="shared" si="477"/>
        <v>-8.4999999999999982</v>
      </c>
      <c r="R66" s="30">
        <f t="shared" si="477"/>
        <v>-16.399999999999999</v>
      </c>
      <c r="S66" s="30">
        <f t="shared" si="477"/>
        <v>-10.600000000000001</v>
      </c>
      <c r="T66" s="30">
        <f t="shared" si="477"/>
        <v>-9.9</v>
      </c>
      <c r="U66" s="30">
        <f t="shared" si="477"/>
        <v>-14.999999999999998</v>
      </c>
      <c r="V66" s="30">
        <f t="shared" ref="V66:W66" si="478">+V433</f>
        <v>-14.700000000000003</v>
      </c>
      <c r="W66" s="30">
        <f t="shared" si="478"/>
        <v>-14.199999999999996</v>
      </c>
      <c r="X66" s="30">
        <f t="shared" ref="X66" si="479">+X433</f>
        <v>-14.7</v>
      </c>
      <c r="Y66" s="30">
        <f t="shared" ref="Y66:AC66" si="480">+Y433</f>
        <v>-22.3</v>
      </c>
      <c r="Z66" s="30">
        <f t="shared" si="480"/>
        <v>-25.700000000000003</v>
      </c>
      <c r="AA66" s="30">
        <f t="shared" si="480"/>
        <v>-15.099999999999994</v>
      </c>
      <c r="AB66" s="30">
        <f t="shared" si="480"/>
        <v>-24.4</v>
      </c>
      <c r="AC66" s="30">
        <f t="shared" si="480"/>
        <v>-22</v>
      </c>
      <c r="AD66" s="30">
        <f t="shared" ref="AD66" si="481">+AD433</f>
        <v>-29.500000000000007</v>
      </c>
      <c r="AK66" s="30">
        <f>+AK433</f>
        <v>0</v>
      </c>
      <c r="AL66" s="30">
        <f>+AL433</f>
        <v>0</v>
      </c>
      <c r="AM66" s="30">
        <f>+AM433</f>
        <v>0</v>
      </c>
      <c r="AN66" s="30">
        <f>+AN433</f>
        <v>-14.5</v>
      </c>
      <c r="AO66" s="30">
        <f>+AO433</f>
        <v>-45.9</v>
      </c>
      <c r="AP66" s="30">
        <f t="shared" ref="AP66:AQ66" si="482">+AP433</f>
        <v>-53.8</v>
      </c>
      <c r="AQ66" s="30">
        <f t="shared" si="482"/>
        <v>-77.8</v>
      </c>
      <c r="AR66" s="30"/>
      <c r="AS66" s="30"/>
    </row>
    <row r="67" spans="2:48" ht="12" x14ac:dyDescent="0.35">
      <c r="B67" s="11" t="s">
        <v>167</v>
      </c>
      <c r="D67" s="30">
        <f>SUM(D62:D66)</f>
        <v>-6.6622219999999999</v>
      </c>
      <c r="E67" s="30">
        <f t="shared" ref="E67:U67" si="483">SUM(E62:E66)</f>
        <v>-9.7262730000000008</v>
      </c>
      <c r="F67" s="30">
        <f t="shared" si="483"/>
        <v>-10.926068000000001</v>
      </c>
      <c r="G67" s="30">
        <f t="shared" si="483"/>
        <v>-8.96326</v>
      </c>
      <c r="H67" s="30">
        <f t="shared" si="483"/>
        <v>-6.7</v>
      </c>
      <c r="I67" s="30">
        <f t="shared" si="483"/>
        <v>-10.5</v>
      </c>
      <c r="J67" s="30">
        <f t="shared" si="483"/>
        <v>-7.7999999999999989</v>
      </c>
      <c r="K67" s="30">
        <f t="shared" si="483"/>
        <v>-10.299999999999999</v>
      </c>
      <c r="L67" s="30">
        <f t="shared" si="483"/>
        <v>-9.1999999999999993</v>
      </c>
      <c r="M67" s="30">
        <f t="shared" si="483"/>
        <v>-7.1000000000000005</v>
      </c>
      <c r="N67" s="30">
        <f t="shared" si="483"/>
        <v>-13.5</v>
      </c>
      <c r="O67" s="30">
        <f t="shared" si="483"/>
        <v>-18.599999999999994</v>
      </c>
      <c r="P67" s="30">
        <f t="shared" si="483"/>
        <v>-20.100000000000001</v>
      </c>
      <c r="Q67" s="30">
        <f t="shared" si="483"/>
        <v>-24.799999999999997</v>
      </c>
      <c r="R67" s="30">
        <f t="shared" si="483"/>
        <v>-29</v>
      </c>
      <c r="S67" s="30">
        <f t="shared" si="483"/>
        <v>-27.4</v>
      </c>
      <c r="T67" s="30">
        <f t="shared" si="483"/>
        <v>-25.200000000000003</v>
      </c>
      <c r="U67" s="30">
        <f t="shared" si="483"/>
        <v>-36</v>
      </c>
      <c r="V67" s="30">
        <f t="shared" ref="V67:W67" si="484">SUM(V62:V66)</f>
        <v>-36.299999999999997</v>
      </c>
      <c r="W67" s="30">
        <f t="shared" si="484"/>
        <v>-32.200000000000003</v>
      </c>
      <c r="X67" s="30">
        <f t="shared" ref="X67" si="485">SUM(X62:X66)</f>
        <v>-35.4</v>
      </c>
      <c r="Y67" s="30">
        <f t="shared" ref="Y67:AC67" si="486">SUM(Y62:Y66)</f>
        <v>-43.9</v>
      </c>
      <c r="Z67" s="30">
        <f t="shared" si="486"/>
        <v>-51.600000000000009</v>
      </c>
      <c r="AA67" s="30">
        <f t="shared" si="486"/>
        <v>-40.899999999999991</v>
      </c>
      <c r="AB67" s="30">
        <f t="shared" si="486"/>
        <v>-49.9</v>
      </c>
      <c r="AC67" s="30">
        <f t="shared" si="486"/>
        <v>-50.6</v>
      </c>
      <c r="AD67" s="30">
        <f t="shared" ref="AD67" si="487">SUM(AD62:AD66)</f>
        <v>-59.300000000000004</v>
      </c>
      <c r="AE67" s="30">
        <f>-AE72*AE19</f>
        <v>-64.095201780076692</v>
      </c>
      <c r="AF67" s="30">
        <f>-AF72*AF19</f>
        <v>-59.821056361499991</v>
      </c>
      <c r="AG67" s="30">
        <f>-AG72*AG19</f>
        <v>-69.161218657999996</v>
      </c>
      <c r="AH67" s="30">
        <f>-AH72*AH19</f>
        <v>-69.657840000000022</v>
      </c>
      <c r="AI67" s="30">
        <f>-AI72*AI19</f>
        <v>-73.713219733915253</v>
      </c>
      <c r="AK67" s="30" t="e">
        <f t="shared" ref="AK67:AO67" si="488">SUM(AK62:AK66)</f>
        <v>#REF!</v>
      </c>
      <c r="AL67" s="30">
        <f t="shared" si="488"/>
        <v>-36.200000000000003</v>
      </c>
      <c r="AM67" s="30">
        <f t="shared" si="488"/>
        <v>-35.299999999999997</v>
      </c>
      <c r="AN67" s="30">
        <f t="shared" si="488"/>
        <v>-48.4</v>
      </c>
      <c r="AO67" s="30">
        <f t="shared" si="488"/>
        <v>-101.3</v>
      </c>
      <c r="AP67" s="30">
        <f t="shared" ref="AP67:AQ67" si="489">SUM(AP62:AP66)</f>
        <v>-129.69999999999999</v>
      </c>
      <c r="AQ67" s="30">
        <f t="shared" si="489"/>
        <v>-171.8</v>
      </c>
      <c r="AR67" s="30">
        <f t="shared" ref="AR67:AR68" si="490">+SUM(AB67:AE67)</f>
        <v>-223.89520178007672</v>
      </c>
      <c r="AS67" s="30">
        <f t="shared" ref="AS67:AS68" si="491">+SUM(AF67:AI67)</f>
        <v>-272.35333475341525</v>
      </c>
    </row>
    <row r="68" spans="2:48" s="1" customFormat="1" ht="10.15" x14ac:dyDescent="0.2">
      <c r="B68" s="40" t="s">
        <v>168</v>
      </c>
      <c r="D68" s="32">
        <f>+D61+D67</f>
        <v>13.912777999999996</v>
      </c>
      <c r="E68" s="32">
        <f t="shared" ref="E68:U68" si="492">+E61+E67</f>
        <v>12.148727000000028</v>
      </c>
      <c r="F68" s="32">
        <f t="shared" si="492"/>
        <v>10.648931999999991</v>
      </c>
      <c r="G68" s="32">
        <f t="shared" si="492"/>
        <v>16.911739999999995</v>
      </c>
      <c r="H68" s="32">
        <f t="shared" si="492"/>
        <v>13.699999999999974</v>
      </c>
      <c r="I68" s="32">
        <f t="shared" si="492"/>
        <v>13.599999999999977</v>
      </c>
      <c r="J68" s="32">
        <f t="shared" si="492"/>
        <v>16.800000000000018</v>
      </c>
      <c r="K68" s="32">
        <f t="shared" si="492"/>
        <v>10.399999999999972</v>
      </c>
      <c r="L68" s="32">
        <f t="shared" si="492"/>
        <v>8.3000000000000256</v>
      </c>
      <c r="M68" s="32">
        <f t="shared" si="492"/>
        <v>-42.299999999999983</v>
      </c>
      <c r="N68" s="32">
        <f t="shared" si="492"/>
        <v>8.9999999999999929</v>
      </c>
      <c r="O68" s="32">
        <f t="shared" si="492"/>
        <v>-2.6000000000000263</v>
      </c>
      <c r="P68" s="32">
        <f t="shared" si="492"/>
        <v>-11.8</v>
      </c>
      <c r="Q68" s="32">
        <f t="shared" si="492"/>
        <v>9.1000000000000369</v>
      </c>
      <c r="R68" s="32">
        <f t="shared" si="492"/>
        <v>20.199999999999989</v>
      </c>
      <c r="S68" s="32">
        <f t="shared" si="492"/>
        <v>1.3000000000000007</v>
      </c>
      <c r="T68" s="32">
        <f t="shared" si="492"/>
        <v>1.7000000000000099</v>
      </c>
      <c r="U68" s="32">
        <f t="shared" si="492"/>
        <v>19.899999999999963</v>
      </c>
      <c r="V68" s="32">
        <f t="shared" ref="V68:W68" si="493">+V61+V67</f>
        <v>36.799999999999898</v>
      </c>
      <c r="W68" s="32">
        <f t="shared" si="493"/>
        <v>50.899999999999935</v>
      </c>
      <c r="X68" s="32">
        <f t="shared" ref="X68" si="494">+X61+X67</f>
        <v>32.699999999999939</v>
      </c>
      <c r="Y68" s="32">
        <f t="shared" ref="Y68:AC68" si="495">+Y61+Y67</f>
        <v>52.400000000000084</v>
      </c>
      <c r="Z68" s="32">
        <f t="shared" si="495"/>
        <v>60.29999999999994</v>
      </c>
      <c r="AA68" s="32">
        <f t="shared" si="495"/>
        <v>83.599999999999937</v>
      </c>
      <c r="AB68" s="32">
        <f t="shared" si="495"/>
        <v>48.599999999999959</v>
      </c>
      <c r="AC68" s="32">
        <f t="shared" si="495"/>
        <v>97.30000000000004</v>
      </c>
      <c r="AD68" s="32">
        <f t="shared" ref="AD68" si="496">+AD61+AD67</f>
        <v>113.69999999999996</v>
      </c>
      <c r="AE68" s="32">
        <f t="shared" ref="AE68" si="497">+AE61+AE67</f>
        <v>125.20825389391779</v>
      </c>
      <c r="AF68" s="32">
        <f t="shared" ref="AF68:AI68" si="498">+AF61+AF67</f>
        <v>97.490734454499972</v>
      </c>
      <c r="AG68" s="32">
        <f t="shared" si="498"/>
        <v>142.18058262555556</v>
      </c>
      <c r="AH68" s="32">
        <f t="shared" si="498"/>
        <v>143.32360000000003</v>
      </c>
      <c r="AI68" s="32">
        <f t="shared" si="498"/>
        <v>152.65741049869385</v>
      </c>
      <c r="AK68" s="32" t="e">
        <f t="shared" ref="AK68:AO68" si="499">+AK61+AK67</f>
        <v>#REF!</v>
      </c>
      <c r="AL68" s="32">
        <f t="shared" si="499"/>
        <v>53.699999999999974</v>
      </c>
      <c r="AM68" s="32">
        <f t="shared" si="499"/>
        <v>54.499999999999943</v>
      </c>
      <c r="AN68" s="32">
        <f t="shared" si="499"/>
        <v>-27.600000000000016</v>
      </c>
      <c r="AO68" s="32">
        <f t="shared" si="499"/>
        <v>18.80000000000004</v>
      </c>
      <c r="AP68" s="32">
        <f t="shared" ref="AP68:AQ68" si="500">+AP61+AP67</f>
        <v>109.29999999999981</v>
      </c>
      <c r="AQ68" s="32">
        <f t="shared" si="500"/>
        <v>228.99999999999983</v>
      </c>
      <c r="AR68" s="32">
        <f t="shared" si="490"/>
        <v>384.80825389391777</v>
      </c>
      <c r="AS68" s="32">
        <f t="shared" si="491"/>
        <v>535.65232757874935</v>
      </c>
      <c r="AV68" s="57"/>
    </row>
    <row r="69" spans="2:48" ht="10.15" x14ac:dyDescent="0.2">
      <c r="B69" s="41" t="s">
        <v>136</v>
      </c>
      <c r="D69" s="50"/>
      <c r="E69" s="50"/>
      <c r="F69" s="50"/>
      <c r="G69" s="50"/>
      <c r="H69" s="43">
        <f t="shared" ref="H69" si="501">+IFERROR(H68/D68-1,"n/a")</f>
        <v>-1.5293710573116459E-2</v>
      </c>
      <c r="I69" s="43">
        <f t="shared" ref="I69" si="502">+IFERROR(I68/E68-1,"n/a")</f>
        <v>0.11945885359016994</v>
      </c>
      <c r="J69" s="43">
        <f t="shared" ref="J69" si="503">+IFERROR(J68/F68-1,"n/a")</f>
        <v>0.5776229954327845</v>
      </c>
      <c r="K69" s="43">
        <f t="shared" ref="K69" si="504">+IFERROR(K68/G68-1,"n/a")</f>
        <v>-0.38504257988829205</v>
      </c>
      <c r="L69" s="43">
        <f t="shared" ref="L69" si="505">+IFERROR(L68/H68-1,"n/a")</f>
        <v>-0.3941605839416028</v>
      </c>
      <c r="M69" s="43">
        <f t="shared" ref="M69" si="506">+IFERROR(M68/I68-1,"n/a")</f>
        <v>-4.1102941176470633</v>
      </c>
      <c r="N69" s="43">
        <f t="shared" ref="N69" si="507">+IFERROR(N68/J68-1,"n/a")</f>
        <v>-0.4642857142857153</v>
      </c>
      <c r="O69" s="43">
        <f t="shared" ref="O69" si="508">+IFERROR(O68/K68-1,"n/a")</f>
        <v>-1.2500000000000031</v>
      </c>
      <c r="P69" s="43">
        <f t="shared" ref="P69" si="509">+IFERROR(P68/L68-1,"n/a")</f>
        <v>-2.4216867469879473</v>
      </c>
      <c r="Q69" s="43">
        <f t="shared" ref="Q69" si="510">+IFERROR(Q68/M68-1,"n/a")</f>
        <v>-1.2151300236406628</v>
      </c>
      <c r="R69" s="43">
        <f t="shared" ref="R69" si="511">+IFERROR(R68/N68-1,"n/a")</f>
        <v>1.2444444444444449</v>
      </c>
      <c r="S69" s="43">
        <f t="shared" ref="S69" si="512">+IFERROR(S68/O68-1,"n/a")</f>
        <v>-1.4999999999999951</v>
      </c>
      <c r="T69" s="43">
        <f t="shared" ref="T69" si="513">+IFERROR(T68/P68-1,"n/a")</f>
        <v>-1.1440677966101704</v>
      </c>
      <c r="U69" s="43">
        <f t="shared" ref="U69:X69" si="514">+IFERROR(U68/Q68-1,"n/a")</f>
        <v>1.1868131868131737</v>
      </c>
      <c r="V69" s="43">
        <f t="shared" si="514"/>
        <v>0.82178217821781785</v>
      </c>
      <c r="W69" s="43">
        <f t="shared" si="514"/>
        <v>38.153846153846082</v>
      </c>
      <c r="X69" s="43">
        <f t="shared" si="514"/>
        <v>18.235294117646909</v>
      </c>
      <c r="Y69" s="43">
        <f t="shared" ref="Y69" si="515">+IFERROR(Y68/U68-1,"n/a")</f>
        <v>1.6331658291457378</v>
      </c>
      <c r="Z69" s="43">
        <f t="shared" ref="Z69" si="516">+IFERROR(Z68/V68-1,"n/a")</f>
        <v>0.63858695652174213</v>
      </c>
      <c r="AA69" s="43">
        <f t="shared" ref="AA69" si="517">+IFERROR(AA68/W68-1,"n/a")</f>
        <v>0.64243614931237802</v>
      </c>
      <c r="AB69" s="43">
        <f t="shared" ref="AB69" si="518">+IFERROR(AB68/X68-1,"n/a")</f>
        <v>0.48623853211009327</v>
      </c>
      <c r="AC69" s="43">
        <f t="shared" ref="AC69:AD69" si="519">+IFERROR(AC68/Y68-1,"n/a")</f>
        <v>0.85687022900763132</v>
      </c>
      <c r="AD69" s="43">
        <f t="shared" si="519"/>
        <v>0.88557213930348389</v>
      </c>
      <c r="AE69" s="43">
        <f t="shared" ref="AE69" si="520">+IFERROR(AE68/AA68-1,"n/a")</f>
        <v>0.49770638629088371</v>
      </c>
      <c r="AF69" s="43">
        <f t="shared" ref="AF69" si="521">+IFERROR(AF68/AB68-1,"n/a")</f>
        <v>1.005982190421812</v>
      </c>
      <c r="AG69" s="43">
        <f t="shared" ref="AG69" si="522">+IFERROR(AG68/AC68-1,"n/a")</f>
        <v>0.46125984198926506</v>
      </c>
      <c r="AH69" s="43">
        <f t="shared" ref="AH69" si="523">+IFERROR(AH68/AD68-1,"n/a")</f>
        <v>0.26054177660510192</v>
      </c>
      <c r="AI69" s="43">
        <f t="shared" ref="AI69" si="524">+IFERROR(AI68/AE68-1,"n/a")</f>
        <v>0.21922801214073528</v>
      </c>
      <c r="AK69" s="50"/>
      <c r="AL69" s="50"/>
      <c r="AM69" s="25">
        <f>+IFERROR(AM68/AL68-1,"n/a")</f>
        <v>1.4897579143388517E-2</v>
      </c>
      <c r="AN69" s="25">
        <f t="shared" ref="AN69" si="525">+IFERROR(AN68/AM68-1,"n/a")</f>
        <v>-1.5064220183486245</v>
      </c>
      <c r="AO69" s="25">
        <f t="shared" ref="AO69" si="526">+IFERROR(AO68/AN68-1,"n/a")</f>
        <v>-1.6811594202898561</v>
      </c>
      <c r="AP69" s="25">
        <f t="shared" ref="AP69" si="527">+IFERROR(AP68/AO68-1,"n/a")</f>
        <v>4.8138297872340203</v>
      </c>
      <c r="AQ69" s="25">
        <f t="shared" ref="AQ69" si="528">+IFERROR(AQ68/AP68-1,"n/a")</f>
        <v>1.0951509606587395</v>
      </c>
      <c r="AR69" s="25">
        <f t="shared" ref="AR69:AS69" si="529">+IFERROR(AR68/AQ68-1,"n/a")</f>
        <v>0.68038538818304817</v>
      </c>
      <c r="AS69" s="25">
        <f t="shared" si="529"/>
        <v>0.39199802020466956</v>
      </c>
    </row>
    <row r="70" spans="2:48" ht="10.15" x14ac:dyDescent="0.2">
      <c r="B70" s="41" t="s">
        <v>146</v>
      </c>
      <c r="D70" s="35">
        <f>+IFERROR(D68/D$19,"n/a")</f>
        <v>0.24323038461538457</v>
      </c>
      <c r="E70" s="35">
        <f t="shared" ref="E70:U70" si="530">+IFERROR(E68/E$19,"n/a")</f>
        <v>0.19131853543307131</v>
      </c>
      <c r="F70" s="35">
        <f t="shared" si="530"/>
        <v>0.16257911450381665</v>
      </c>
      <c r="G70" s="35">
        <f t="shared" si="530"/>
        <v>0.25431187969924801</v>
      </c>
      <c r="H70" s="35">
        <f t="shared" si="530"/>
        <v>0.20663650075414744</v>
      </c>
      <c r="I70" s="35">
        <f t="shared" si="530"/>
        <v>0.18061088977423609</v>
      </c>
      <c r="J70" s="35">
        <f t="shared" si="530"/>
        <v>0.21079046424090359</v>
      </c>
      <c r="K70" s="35">
        <f t="shared" si="530"/>
        <v>0.12351543942992843</v>
      </c>
      <c r="L70" s="35">
        <f t="shared" si="530"/>
        <v>0.10493046776232648</v>
      </c>
      <c r="M70" s="35">
        <f t="shared" si="530"/>
        <v>-0.62759643916913921</v>
      </c>
      <c r="N70" s="35">
        <f t="shared" si="530"/>
        <v>0.10262257696693264</v>
      </c>
      <c r="O70" s="35">
        <f t="shared" si="530"/>
        <v>-2.927927927927958E-2</v>
      </c>
      <c r="P70" s="35">
        <f t="shared" si="530"/>
        <v>-0.12102564102564103</v>
      </c>
      <c r="Q70" s="35">
        <f t="shared" si="530"/>
        <v>6.6764490095378104E-2</v>
      </c>
      <c r="R70" s="35">
        <f t="shared" si="530"/>
        <v>0.13621038435603497</v>
      </c>
      <c r="S70" s="35">
        <f t="shared" si="530"/>
        <v>8.8495575221239006E-3</v>
      </c>
      <c r="T70" s="35">
        <f t="shared" si="530"/>
        <v>1.1424731182795767E-2</v>
      </c>
      <c r="U70" s="35">
        <f t="shared" si="530"/>
        <v>0.10898138006571725</v>
      </c>
      <c r="V70" s="35">
        <f t="shared" ref="V70:W70" si="531">+IFERROR(V68/V$19,"n/a")</f>
        <v>0.18708693441789478</v>
      </c>
      <c r="W70" s="35">
        <f t="shared" si="531"/>
        <v>0.2552657973921762</v>
      </c>
      <c r="X70" s="35">
        <f t="shared" ref="X70" si="532">+IFERROR(X68/X$19,"n/a")</f>
        <v>0.16349999999999967</v>
      </c>
      <c r="Y70" s="35">
        <f t="shared" ref="Y70:AC70" si="533">+IFERROR(Y68/Y$19,"n/a")</f>
        <v>0.22972380534853165</v>
      </c>
      <c r="Z70" s="35">
        <f t="shared" si="533"/>
        <v>0.24814814814814784</v>
      </c>
      <c r="AA70" s="35">
        <f t="shared" si="533"/>
        <v>0.31043445971035999</v>
      </c>
      <c r="AB70" s="35">
        <f t="shared" si="533"/>
        <v>0.18430034129692821</v>
      </c>
      <c r="AC70" s="35">
        <f t="shared" si="533"/>
        <v>0.30349344978165949</v>
      </c>
      <c r="AD70" s="35">
        <f t="shared" ref="AD70" si="534">+IFERROR(AD68/AD$19,"n/a")</f>
        <v>0.31142152834839759</v>
      </c>
      <c r="AE70" s="35">
        <f t="shared" ref="AE70" si="535">+IFERROR(AE68/AE$19,"n/a")</f>
        <v>0.31255569943854966</v>
      </c>
      <c r="AF70" s="35">
        <f t="shared" ref="AF70:AI70" si="536">+IFERROR(AF68/AF$19,"n/a")</f>
        <v>0.25667869493635148</v>
      </c>
      <c r="AG70" s="35">
        <f t="shared" si="536"/>
        <v>0.32378610727291907</v>
      </c>
      <c r="AH70" s="35">
        <f t="shared" si="536"/>
        <v>0.32406211562115622</v>
      </c>
      <c r="AI70" s="35">
        <f t="shared" si="536"/>
        <v>0.32617680031254842</v>
      </c>
      <c r="AK70" s="35" t="str">
        <f t="shared" ref="AK70:AO70" si="537">+IFERROR(AK68/AK$19,"n/a")</f>
        <v>n/a</v>
      </c>
      <c r="AL70" s="35">
        <f t="shared" si="537"/>
        <v>0.21250494657696864</v>
      </c>
      <c r="AM70" s="35">
        <f t="shared" si="537"/>
        <v>0.1783960720130931</v>
      </c>
      <c r="AN70" s="35">
        <f t="shared" si="537"/>
        <v>-8.5448916408668779E-2</v>
      </c>
      <c r="AO70" s="35">
        <f t="shared" si="537"/>
        <v>3.5538752362949039E-2</v>
      </c>
      <c r="AP70" s="35">
        <f t="shared" ref="AP70:AQ70" si="538">+IFERROR(AP68/AP$19,"n/a")</f>
        <v>0.15024054982817847</v>
      </c>
      <c r="AQ70" s="35">
        <f t="shared" si="538"/>
        <v>0.24351339855380669</v>
      </c>
      <c r="AR70" s="35">
        <f t="shared" ref="AR70" si="539">+IFERROR(AR68/AR$19,"n/a")</f>
        <v>0.28504420440273065</v>
      </c>
      <c r="AS70" s="35">
        <f t="shared" ref="AS70" si="540">+IFERROR(AS68/AS$19,"n/a")</f>
        <v>0.3097639383414787</v>
      </c>
    </row>
    <row r="71" spans="2:48" ht="10.15" x14ac:dyDescent="0.2">
      <c r="D71" s="19"/>
      <c r="E71" s="19"/>
      <c r="F71" s="19"/>
      <c r="G71" s="19"/>
      <c r="H71" s="19"/>
      <c r="I71" s="19"/>
      <c r="J71" s="19"/>
      <c r="K71" s="19"/>
      <c r="U71" s="20"/>
      <c r="V71" s="35"/>
      <c r="W71" s="35"/>
      <c r="AK71" s="19"/>
      <c r="AL71" s="19"/>
      <c r="AM71" s="19"/>
      <c r="AN71" s="19"/>
      <c r="AO71" s="19"/>
      <c r="AP71" s="19"/>
      <c r="AQ71" s="19"/>
      <c r="AR71" s="19"/>
      <c r="AS71" s="19"/>
    </row>
    <row r="72" spans="2:48" ht="10.15" x14ac:dyDescent="0.2">
      <c r="B72" s="24" t="s">
        <v>169</v>
      </c>
      <c r="D72" s="35">
        <f t="shared" ref="D72:AD72" si="541">+IFERROR(-D67/D19,"n/a")</f>
        <v>0.11647241258741259</v>
      </c>
      <c r="E72" s="35">
        <f t="shared" si="541"/>
        <v>0.15316965354330711</v>
      </c>
      <c r="F72" s="35">
        <f t="shared" si="541"/>
        <v>0.16681019847328246</v>
      </c>
      <c r="G72" s="35">
        <f t="shared" si="541"/>
        <v>0.1347858646616541</v>
      </c>
      <c r="H72" s="35">
        <f t="shared" si="541"/>
        <v>0.10105580693815988</v>
      </c>
      <c r="I72" s="35">
        <f t="shared" si="541"/>
        <v>0.13944223107569723</v>
      </c>
      <c r="J72" s="35">
        <f t="shared" si="541"/>
        <v>9.7867001254705113E-2</v>
      </c>
      <c r="K72" s="35">
        <f t="shared" si="541"/>
        <v>0.12232779097387174</v>
      </c>
      <c r="L72" s="35">
        <f t="shared" si="541"/>
        <v>0.11630847029077115</v>
      </c>
      <c r="M72" s="35">
        <f t="shared" si="541"/>
        <v>0.10534124629080119</v>
      </c>
      <c r="N72" s="35">
        <f t="shared" si="541"/>
        <v>0.15393386545039908</v>
      </c>
      <c r="O72" s="35">
        <f t="shared" si="541"/>
        <v>0.20945945945945943</v>
      </c>
      <c r="P72" s="35">
        <f t="shared" si="541"/>
        <v>0.20615384615384616</v>
      </c>
      <c r="Q72" s="35">
        <f t="shared" si="541"/>
        <v>0.18195157740278795</v>
      </c>
      <c r="R72" s="35">
        <f t="shared" si="541"/>
        <v>0.19554956169925825</v>
      </c>
      <c r="S72" s="35">
        <f t="shared" si="541"/>
        <v>0.18652144315861133</v>
      </c>
      <c r="T72" s="35">
        <f t="shared" si="541"/>
        <v>0.16935483870967746</v>
      </c>
      <c r="U72" s="35">
        <f t="shared" si="541"/>
        <v>0.19715224534501649</v>
      </c>
      <c r="V72" s="35">
        <f t="shared" si="541"/>
        <v>0.18454499237417391</v>
      </c>
      <c r="W72" s="35">
        <f t="shared" si="541"/>
        <v>0.16148445336008024</v>
      </c>
      <c r="X72" s="35">
        <f t="shared" si="541"/>
        <v>0.17699999999999996</v>
      </c>
      <c r="Y72" s="35">
        <f t="shared" si="541"/>
        <v>0.19245944761069703</v>
      </c>
      <c r="Z72" s="35">
        <f t="shared" si="541"/>
        <v>0.21234567901234566</v>
      </c>
      <c r="AA72" s="35">
        <f t="shared" si="541"/>
        <v>0.1518752320831786</v>
      </c>
      <c r="AB72" s="35">
        <f t="shared" si="541"/>
        <v>0.18923018581721657</v>
      </c>
      <c r="AC72" s="35">
        <f t="shared" si="541"/>
        <v>0.15782907049282593</v>
      </c>
      <c r="AD72" s="35">
        <f t="shared" si="541"/>
        <v>0.16242125445083538</v>
      </c>
      <c r="AE72" s="59">
        <v>0.16</v>
      </c>
      <c r="AF72" s="59">
        <v>0.1575</v>
      </c>
      <c r="AG72" s="59">
        <v>0.1575</v>
      </c>
      <c r="AH72" s="59">
        <v>0.1575</v>
      </c>
      <c r="AI72" s="59">
        <v>0.1575</v>
      </c>
      <c r="AK72" s="35" t="str">
        <f t="shared" ref="AK72:AS72" si="542">+IFERROR(-AK67/AK19,"n/a")</f>
        <v>n/a</v>
      </c>
      <c r="AL72" s="35">
        <f t="shared" si="542"/>
        <v>0.14325286901464188</v>
      </c>
      <c r="AM72" s="35">
        <f t="shared" si="542"/>
        <v>0.11554828150572831</v>
      </c>
      <c r="AN72" s="35">
        <f t="shared" si="542"/>
        <v>0.1498452012383901</v>
      </c>
      <c r="AO72" s="35">
        <f t="shared" si="542"/>
        <v>0.19149338374291114</v>
      </c>
      <c r="AP72" s="35">
        <f t="shared" si="542"/>
        <v>0.17828178694158076</v>
      </c>
      <c r="AQ72" s="35">
        <f t="shared" si="542"/>
        <v>0.18268821777966823</v>
      </c>
      <c r="AR72" s="35">
        <f t="shared" si="542"/>
        <v>0.16584891050331896</v>
      </c>
      <c r="AS72" s="35">
        <f t="shared" si="542"/>
        <v>0.1575</v>
      </c>
    </row>
    <row r="73" spans="2:48" ht="10.15" x14ac:dyDescent="0.2">
      <c r="D73" s="19"/>
      <c r="E73" s="19"/>
      <c r="F73" s="19"/>
      <c r="G73" s="19"/>
      <c r="H73" s="19"/>
      <c r="I73" s="19"/>
      <c r="J73" s="19"/>
      <c r="K73" s="19"/>
      <c r="AK73" s="19"/>
      <c r="AL73" s="19"/>
      <c r="AM73" s="19"/>
      <c r="AN73" s="19"/>
      <c r="AO73" s="19"/>
      <c r="AP73" s="19"/>
      <c r="AQ73" s="19"/>
      <c r="AR73" s="19"/>
      <c r="AS73" s="19"/>
    </row>
    <row r="74" spans="2:48" ht="10.15" x14ac:dyDescent="0.2">
      <c r="B74" t="s">
        <v>172</v>
      </c>
      <c r="D74" s="29">
        <f t="shared" ref="D74:Y74" si="543">+D52</f>
        <v>-10.9</v>
      </c>
      <c r="E74" s="29">
        <f t="shared" si="543"/>
        <v>-11.4</v>
      </c>
      <c r="F74" s="29">
        <f t="shared" si="543"/>
        <v>-12.2</v>
      </c>
      <c r="G74" s="29">
        <f t="shared" si="543"/>
        <v>-12.5</v>
      </c>
      <c r="H74" s="29">
        <f t="shared" si="543"/>
        <v>-12.5</v>
      </c>
      <c r="I74" s="29">
        <f t="shared" si="543"/>
        <v>-12.7</v>
      </c>
      <c r="J74" s="29">
        <f t="shared" si="543"/>
        <v>-12.9</v>
      </c>
      <c r="K74" s="29">
        <f t="shared" si="543"/>
        <v>-13.4</v>
      </c>
      <c r="L74" s="29">
        <f t="shared" si="543"/>
        <v>-13.3</v>
      </c>
      <c r="M74" s="29">
        <f t="shared" si="543"/>
        <v>-11.7</v>
      </c>
      <c r="N74" s="29">
        <f t="shared" si="543"/>
        <v>-7.1</v>
      </c>
      <c r="O74" s="29">
        <f t="shared" si="543"/>
        <v>-8.1</v>
      </c>
      <c r="P74" s="29">
        <f t="shared" si="543"/>
        <v>-6.5</v>
      </c>
      <c r="Q74" s="29">
        <f t="shared" si="543"/>
        <v>-6.3</v>
      </c>
      <c r="R74" s="29">
        <f t="shared" si="543"/>
        <v>-7.4</v>
      </c>
      <c r="S74" s="29">
        <f t="shared" si="543"/>
        <v>-7.8</v>
      </c>
      <c r="T74" s="29">
        <f t="shared" si="543"/>
        <v>-7.9</v>
      </c>
      <c r="U74" s="29">
        <f t="shared" si="543"/>
        <v>-7</v>
      </c>
      <c r="V74" s="29">
        <f t="shared" si="543"/>
        <v>-4.8000000000000007</v>
      </c>
      <c r="W74" s="29">
        <f t="shared" si="543"/>
        <v>-2</v>
      </c>
      <c r="X74" s="29">
        <f t="shared" si="543"/>
        <v>-0.5</v>
      </c>
      <c r="Y74" s="29">
        <f t="shared" si="543"/>
        <v>0.80000000000000071</v>
      </c>
      <c r="Z74" s="29">
        <f t="shared" ref="Z74:AC74" si="544">+Z52</f>
        <v>1.5999999999999996</v>
      </c>
      <c r="AA74" s="29">
        <f t="shared" si="544"/>
        <v>-2.1000000000000014</v>
      </c>
      <c r="AB74" s="29">
        <f t="shared" si="544"/>
        <v>-2.6999999999999993</v>
      </c>
      <c r="AC74" s="29">
        <f t="shared" si="544"/>
        <v>-3.0999999999999996</v>
      </c>
      <c r="AD74" s="29">
        <f t="shared" ref="AD74:AE74" si="545">+AD52</f>
        <v>-8.6000000000000014</v>
      </c>
      <c r="AE74" s="29">
        <f t="shared" ca="1" si="545"/>
        <v>-13.220699120514135</v>
      </c>
      <c r="AF74" s="29">
        <f t="shared" ref="AF74:AI74" ca="1" si="546">+AF52</f>
        <v>-13.279676671966838</v>
      </c>
      <c r="AG74" s="29">
        <f t="shared" ca="1" si="546"/>
        <v>-12.369370092992686</v>
      </c>
      <c r="AH74" s="29">
        <f t="shared" ca="1" si="546"/>
        <v>-11.278347065990626</v>
      </c>
      <c r="AI74" s="29">
        <f t="shared" ca="1" si="546"/>
        <v>-13.603494963256924</v>
      </c>
      <c r="AK74" s="29">
        <f>+AK52</f>
        <v>-47</v>
      </c>
      <c r="AL74" s="29">
        <f>+AL52</f>
        <v>-47</v>
      </c>
      <c r="AM74" s="29">
        <f>+AM52</f>
        <v>-51.5</v>
      </c>
      <c r="AN74" s="29">
        <f>+AN52</f>
        <v>-40.200000000000003</v>
      </c>
      <c r="AO74" s="29">
        <f>+AO52</f>
        <v>-28.000000000000004</v>
      </c>
      <c r="AP74" s="29">
        <f t="shared" ref="AP74:AQ74" si="547">+AP52</f>
        <v>-21.7</v>
      </c>
      <c r="AQ74" s="29">
        <f t="shared" si="547"/>
        <v>-0.20000000000000284</v>
      </c>
      <c r="AR74" s="29">
        <f t="shared" ref="AR74:AR90" ca="1" si="548">+SUM(AB74:AE74)</f>
        <v>-27.620699120514136</v>
      </c>
      <c r="AS74" s="29">
        <f ca="1">+SUM(AF74:AI74)</f>
        <v>-50.530888794207073</v>
      </c>
      <c r="AT74" s="29"/>
    </row>
    <row r="75" spans="2:48" ht="12" x14ac:dyDescent="0.35">
      <c r="B75" t="s">
        <v>173</v>
      </c>
      <c r="D75" s="30">
        <f t="shared" ref="D75:Y75" si="549">+D54</f>
        <v>0</v>
      </c>
      <c r="E75" s="30">
        <f t="shared" si="549"/>
        <v>0</v>
      </c>
      <c r="F75" s="30">
        <f t="shared" si="549"/>
        <v>0</v>
      </c>
      <c r="G75" s="30">
        <f t="shared" si="549"/>
        <v>0</v>
      </c>
      <c r="H75" s="30">
        <f t="shared" si="549"/>
        <v>0</v>
      </c>
      <c r="I75" s="30">
        <f t="shared" si="549"/>
        <v>0</v>
      </c>
      <c r="J75" s="30">
        <f t="shared" si="549"/>
        <v>0</v>
      </c>
      <c r="K75" s="30">
        <f t="shared" si="549"/>
        <v>0</v>
      </c>
      <c r="L75" s="30">
        <f t="shared" si="549"/>
        <v>0</v>
      </c>
      <c r="M75" s="30">
        <f t="shared" si="549"/>
        <v>0</v>
      </c>
      <c r="N75" s="30">
        <f t="shared" si="549"/>
        <v>0</v>
      </c>
      <c r="O75" s="30">
        <f t="shared" si="549"/>
        <v>0</v>
      </c>
      <c r="P75" s="30">
        <f t="shared" si="549"/>
        <v>0</v>
      </c>
      <c r="Q75" s="30">
        <f t="shared" si="549"/>
        <v>-0.39900000000000807</v>
      </c>
      <c r="R75" s="30">
        <f t="shared" si="549"/>
        <v>-3.3599999999999963</v>
      </c>
      <c r="S75" s="30">
        <f t="shared" si="549"/>
        <v>0</v>
      </c>
      <c r="T75" s="30">
        <f t="shared" si="549"/>
        <v>0</v>
      </c>
      <c r="U75" s="30">
        <f t="shared" si="549"/>
        <v>-3.9899999999999931</v>
      </c>
      <c r="V75" s="30">
        <f t="shared" si="549"/>
        <v>-5.3969999999999763</v>
      </c>
      <c r="W75" s="30">
        <f t="shared" si="549"/>
        <v>-7.0559999999999867</v>
      </c>
      <c r="X75" s="30">
        <f t="shared" si="549"/>
        <v>-4.1999999999999869</v>
      </c>
      <c r="Y75" s="30">
        <f t="shared" si="549"/>
        <v>-9.891000000000016</v>
      </c>
      <c r="Z75" s="30">
        <f t="shared" ref="Z75:AC75" si="550">+Z54</f>
        <v>-12.263999999999989</v>
      </c>
      <c r="AA75" s="30">
        <f t="shared" si="550"/>
        <v>-12.704999999999984</v>
      </c>
      <c r="AB75" s="30">
        <f t="shared" si="550"/>
        <v>-6.2369999999999921</v>
      </c>
      <c r="AC75" s="30">
        <f t="shared" si="550"/>
        <v>-15.771000000000008</v>
      </c>
      <c r="AD75" s="30">
        <f t="shared" ref="AD75:AE75" si="551">+AD54</f>
        <v>-18.290999999999993</v>
      </c>
      <c r="AE75" s="30">
        <f t="shared" ca="1" si="551"/>
        <v>-20.177378876230868</v>
      </c>
      <c r="AF75" s="30">
        <f t="shared" ref="AF75:AI75" ca="1" si="552">+AF54</f>
        <v>-12.816743970246954</v>
      </c>
      <c r="AG75" s="30">
        <f t="shared" ca="1" si="552"/>
        <v>-24.144210550018201</v>
      </c>
      <c r="AH75" s="30">
        <f t="shared" ca="1" si="552"/>
        <v>-24.507649516141978</v>
      </c>
      <c r="AI75" s="30">
        <f t="shared" ca="1" si="552"/>
        <v>-26.621098406563956</v>
      </c>
      <c r="AK75" s="30">
        <f>+AK54</f>
        <v>0</v>
      </c>
      <c r="AL75" s="30">
        <f>+AL54</f>
        <v>0</v>
      </c>
      <c r="AM75" s="30">
        <f>+AM54</f>
        <v>0</v>
      </c>
      <c r="AN75" s="30">
        <f>+AN54</f>
        <v>0</v>
      </c>
      <c r="AO75" s="30">
        <f>+AO54</f>
        <v>0</v>
      </c>
      <c r="AP75" s="30">
        <f t="shared" ref="AP75:AQ75" si="553">+AP54</f>
        <v>-14.321999999999958</v>
      </c>
      <c r="AQ75" s="30">
        <f t="shared" si="553"/>
        <v>-39.059999999999974</v>
      </c>
      <c r="AR75" s="30">
        <f t="shared" ca="1" si="548"/>
        <v>-60.476378876230861</v>
      </c>
      <c r="AS75" s="30">
        <f ca="1">+SUM(AF75:AI75)</f>
        <v>-88.089702442971088</v>
      </c>
    </row>
    <row r="76" spans="2:48" s="1" customFormat="1" ht="10.15" x14ac:dyDescent="0.2">
      <c r="B76" s="31" t="s">
        <v>174</v>
      </c>
      <c r="D76" s="32">
        <f>+D68+SUM(D74:D75)</f>
        <v>3.0127779999999955</v>
      </c>
      <c r="E76" s="32">
        <f t="shared" ref="E76:U76" si="554">+E68+SUM(E74:E75)</f>
        <v>0.74872700000002723</v>
      </c>
      <c r="F76" s="32">
        <f t="shared" si="554"/>
        <v>-1.5510680000000079</v>
      </c>
      <c r="G76" s="32">
        <f t="shared" si="554"/>
        <v>4.4117399999999947</v>
      </c>
      <c r="H76" s="32">
        <f t="shared" si="554"/>
        <v>1.1999999999999744</v>
      </c>
      <c r="I76" s="32">
        <f t="shared" si="554"/>
        <v>0.89999999999997726</v>
      </c>
      <c r="J76" s="32">
        <f t="shared" si="554"/>
        <v>3.9000000000000181</v>
      </c>
      <c r="K76" s="32">
        <f t="shared" si="554"/>
        <v>-3.0000000000000284</v>
      </c>
      <c r="L76" s="32">
        <f t="shared" si="554"/>
        <v>-4.9999999999999751</v>
      </c>
      <c r="M76" s="32">
        <f t="shared" si="554"/>
        <v>-53.999999999999986</v>
      </c>
      <c r="N76" s="32">
        <f t="shared" si="554"/>
        <v>1.8999999999999932</v>
      </c>
      <c r="O76" s="32">
        <f t="shared" si="554"/>
        <v>-10.700000000000026</v>
      </c>
      <c r="P76" s="32">
        <f t="shared" si="554"/>
        <v>-18.3</v>
      </c>
      <c r="Q76" s="32">
        <f t="shared" si="554"/>
        <v>2.4010000000000291</v>
      </c>
      <c r="R76" s="32">
        <f t="shared" si="554"/>
        <v>9.4399999999999924</v>
      </c>
      <c r="S76" s="32">
        <f t="shared" si="554"/>
        <v>-6.4999999999999991</v>
      </c>
      <c r="T76" s="32">
        <f t="shared" si="554"/>
        <v>-6.1999999999999904</v>
      </c>
      <c r="U76" s="32">
        <f t="shared" si="554"/>
        <v>8.9099999999999699</v>
      </c>
      <c r="V76" s="32">
        <f t="shared" ref="V76:W76" si="555">+V68+SUM(V74:V75)</f>
        <v>26.60299999999992</v>
      </c>
      <c r="W76" s="32">
        <f t="shared" si="555"/>
        <v>41.843999999999951</v>
      </c>
      <c r="X76" s="32">
        <f t="shared" ref="X76:Y76" si="556">+X68+SUM(X74:X75)</f>
        <v>27.99999999999995</v>
      </c>
      <c r="Y76" s="32">
        <f t="shared" si="556"/>
        <v>43.309000000000069</v>
      </c>
      <c r="Z76" s="32">
        <f t="shared" ref="Z76:AC76" si="557">+Z68+SUM(Z74:Z75)</f>
        <v>49.635999999999953</v>
      </c>
      <c r="AA76" s="32">
        <f t="shared" si="557"/>
        <v>68.794999999999959</v>
      </c>
      <c r="AB76" s="32">
        <f t="shared" si="557"/>
        <v>39.662999999999968</v>
      </c>
      <c r="AC76" s="32">
        <f t="shared" si="557"/>
        <v>78.42900000000003</v>
      </c>
      <c r="AD76" s="32">
        <f t="shared" ref="AD76:AE76" si="558">+AD68+SUM(AD74:AD75)</f>
        <v>86.808999999999969</v>
      </c>
      <c r="AE76" s="32">
        <f t="shared" ca="1" si="558"/>
        <v>91.810175897172783</v>
      </c>
      <c r="AF76" s="32">
        <f t="shared" ref="AF76:AI76" ca="1" si="559">+AF68+SUM(AF74:AF75)</f>
        <v>71.394313812286185</v>
      </c>
      <c r="AG76" s="32">
        <f t="shared" ca="1" si="559"/>
        <v>105.66700198254468</v>
      </c>
      <c r="AH76" s="32">
        <f t="shared" ca="1" si="559"/>
        <v>107.53760341786742</v>
      </c>
      <c r="AI76" s="32">
        <f t="shared" ca="1" si="559"/>
        <v>112.43281712887297</v>
      </c>
      <c r="AK76" s="32" t="e">
        <f t="shared" ref="AK76" si="560">+AK68+SUM(AK74:AK75)</f>
        <v>#REF!</v>
      </c>
      <c r="AL76" s="32">
        <f t="shared" ref="AL76" si="561">+AL68+SUM(AL74:AL75)</f>
        <v>6.6999999999999744</v>
      </c>
      <c r="AM76" s="32">
        <f t="shared" ref="AM76" si="562">+AM68+SUM(AM74:AM75)</f>
        <v>2.9999999999999432</v>
      </c>
      <c r="AN76" s="32">
        <f t="shared" ref="AN76" si="563">+AN68+SUM(AN74:AN75)</f>
        <v>-67.800000000000011</v>
      </c>
      <c r="AO76" s="32">
        <f t="shared" ref="AO76:AQ76" si="564">+AO68+SUM(AO74:AO75)</f>
        <v>-9.1999999999999638</v>
      </c>
      <c r="AP76" s="32">
        <f t="shared" si="564"/>
        <v>73.277999999999849</v>
      </c>
      <c r="AQ76" s="32">
        <f t="shared" si="564"/>
        <v>189.73999999999984</v>
      </c>
      <c r="AR76" s="32">
        <f t="shared" ca="1" si="548"/>
        <v>296.71117589717272</v>
      </c>
      <c r="AS76" s="32">
        <f ca="1">+SUM(AF76:AI76)</f>
        <v>397.03173634157127</v>
      </c>
    </row>
    <row r="77" spans="2:48" ht="10.15" x14ac:dyDescent="0.2">
      <c r="B77" s="28" t="s">
        <v>136</v>
      </c>
      <c r="D77" s="50"/>
      <c r="E77" s="50"/>
      <c r="F77" s="50"/>
      <c r="G77" s="50"/>
      <c r="H77" s="43">
        <f t="shared" ref="H77" si="565">+IFERROR(H76/D76-1,"n/a")</f>
        <v>-0.60169650734306468</v>
      </c>
      <c r="I77" s="43">
        <f t="shared" ref="I77" si="566">+IFERROR(I76/E76-1,"n/a")</f>
        <v>0.20204026300633537</v>
      </c>
      <c r="J77" s="43">
        <f t="shared" ref="J77" si="567">+IFERROR(J76/F76-1,"n/a")</f>
        <v>-3.5143965319379924</v>
      </c>
      <c r="K77" s="43">
        <f t="shared" ref="K77" si="568">+IFERROR(K76/G76-1,"n/a")</f>
        <v>-1.6800038080213322</v>
      </c>
      <c r="L77" s="43">
        <f t="shared" ref="L77" si="569">+IFERROR(L76/H76-1,"n/a")</f>
        <v>-5.1666666666667345</v>
      </c>
      <c r="M77" s="43">
        <f t="shared" ref="M77" si="570">+IFERROR(M76/I76-1,"n/a")</f>
        <v>-61.000000000001499</v>
      </c>
      <c r="N77" s="43">
        <f t="shared" ref="N77" si="571">+IFERROR(N76/J76-1,"n/a")</f>
        <v>-0.51282051282051677</v>
      </c>
      <c r="O77" s="43">
        <f t="shared" ref="O77" si="572">+IFERROR(O76/K76-1,"n/a")</f>
        <v>2.5666666666666416</v>
      </c>
      <c r="P77" s="43">
        <f t="shared" ref="P77" si="573">+IFERROR(P76/L76-1,"n/a")</f>
        <v>2.6600000000000183</v>
      </c>
      <c r="Q77" s="43">
        <f t="shared" ref="Q77" si="574">+IFERROR(Q76/M76-1,"n/a")</f>
        <v>-1.0444629629629636</v>
      </c>
      <c r="R77" s="43">
        <f t="shared" ref="R77" si="575">+IFERROR(R76/N76-1,"n/a")</f>
        <v>3.9684210526315926</v>
      </c>
      <c r="S77" s="43">
        <f t="shared" ref="S77" si="576">+IFERROR(S76/O76-1,"n/a")</f>
        <v>-0.39252336448598291</v>
      </c>
      <c r="T77" s="43">
        <f t="shared" ref="T77" si="577">+IFERROR(T76/P76-1,"n/a")</f>
        <v>-0.66120218579235024</v>
      </c>
      <c r="U77" s="43">
        <f t="shared" ref="U77" si="578">+IFERROR(U76/Q76-1,"n/a")</f>
        <v>2.7109537692627494</v>
      </c>
      <c r="V77" s="43">
        <f t="shared" ref="V77" si="579">+IFERROR(V76/R76-1,"n/a")</f>
        <v>1.8181144067796549</v>
      </c>
      <c r="W77" s="43">
        <f t="shared" ref="W77" si="580">+IFERROR(W76/S76-1,"n/a")</f>
        <v>-7.4375384615384545</v>
      </c>
      <c r="X77" s="43">
        <f t="shared" ref="X77" si="581">+IFERROR(X76/T76-1,"n/a")</f>
        <v>-5.5161290322580632</v>
      </c>
      <c r="Y77" s="43">
        <f t="shared" ref="Y77" si="582">+IFERROR(Y76/U76-1,"n/a")</f>
        <v>3.8607182940516518</v>
      </c>
      <c r="Z77" s="43">
        <f t="shared" ref="Z77" si="583">+IFERROR(Z76/V76-1,"n/a")</f>
        <v>0.86580460850280438</v>
      </c>
      <c r="AA77" s="43">
        <f t="shared" ref="AA77" si="584">+IFERROR(AA76/W76-1,"n/a")</f>
        <v>0.6440827836726899</v>
      </c>
      <c r="AB77" s="43">
        <f t="shared" ref="AB77" si="585">+IFERROR(AB76/X76-1,"n/a")</f>
        <v>0.41653571428571556</v>
      </c>
      <c r="AC77" s="43">
        <f t="shared" ref="AC77" si="586">+IFERROR(AC76/Y76-1,"n/a")</f>
        <v>0.81091689948971135</v>
      </c>
      <c r="AD77" s="43">
        <f t="shared" ref="AD77" si="587">+IFERROR(AD76/Z76-1,"n/a")</f>
        <v>0.74891207994197861</v>
      </c>
      <c r="AE77" s="43">
        <f t="shared" ref="AE77" ca="1" si="588">+IFERROR(AE76/AA76-1,"n/a")</f>
        <v>0.33454721850676417</v>
      </c>
      <c r="AF77" s="43">
        <f t="shared" ref="AF77" ca="1" si="589">+IFERROR(AF76/AB76-1,"n/a")</f>
        <v>0.80002303941422093</v>
      </c>
      <c r="AG77" s="43">
        <f t="shared" ref="AG77" ca="1" si="590">+IFERROR(AG76/AC76-1,"n/a")</f>
        <v>0.34729503095213032</v>
      </c>
      <c r="AH77" s="43">
        <f t="shared" ref="AH77" ca="1" si="591">+IFERROR(AH76/AD76-1,"n/a")</f>
        <v>0.23878403642326784</v>
      </c>
      <c r="AI77" s="43">
        <f t="shared" ref="AI77" ca="1" si="592">+IFERROR(AI76/AE76-1,"n/a")</f>
        <v>0.22462260887940677</v>
      </c>
      <c r="AK77" s="50"/>
      <c r="AL77" s="50"/>
      <c r="AM77" s="25">
        <f>+IFERROR(AM76/AL76-1,"n/a")</f>
        <v>-0.55223880597015595</v>
      </c>
      <c r="AN77" s="25">
        <f t="shared" ref="AN77" si="593">+IFERROR(AN76/AM76-1,"n/a")</f>
        <v>-23.600000000000431</v>
      </c>
      <c r="AO77" s="25">
        <f t="shared" ref="AO77" si="594">+IFERROR(AO76/AN76-1,"n/a")</f>
        <v>-0.86430678466076749</v>
      </c>
      <c r="AP77" s="25">
        <f t="shared" ref="AP77" si="595">+IFERROR(AP76/AO76-1,"n/a")</f>
        <v>-8.9650000000000141</v>
      </c>
      <c r="AQ77" s="25">
        <f t="shared" ref="AQ77" si="596">+IFERROR(AQ76/AP76-1,"n/a")</f>
        <v>1.5893173940336829</v>
      </c>
      <c r="AR77" s="25">
        <f t="shared" ref="AR77" ca="1" si="597">+IFERROR(AR76/AQ76-1,"n/a")</f>
        <v>0.56377767417082847</v>
      </c>
      <c r="AS77" s="25">
        <f t="shared" ref="AS77" ca="1" si="598">+IFERROR(AS76/AR76-1,"n/a")</f>
        <v>0.33810846571942177</v>
      </c>
    </row>
    <row r="78" spans="2:48" ht="10.15" x14ac:dyDescent="0.2">
      <c r="D78" s="19"/>
      <c r="E78" s="19"/>
      <c r="F78" s="19"/>
      <c r="G78" s="19"/>
      <c r="H78" s="19"/>
      <c r="I78" s="19"/>
      <c r="J78" s="19"/>
      <c r="K78" s="19"/>
      <c r="AK78" s="19"/>
      <c r="AL78" s="19"/>
      <c r="AM78" s="19"/>
      <c r="AN78" s="19"/>
      <c r="AO78" s="19"/>
      <c r="AP78" s="19"/>
      <c r="AQ78" s="19"/>
      <c r="AR78" s="19"/>
      <c r="AS78" s="19"/>
    </row>
    <row r="79" spans="2:48" ht="10.15" x14ac:dyDescent="0.2">
      <c r="B79" t="s">
        <v>155</v>
      </c>
      <c r="D79" s="29">
        <f t="shared" ref="D79:Y79" si="599">-D42</f>
        <v>0</v>
      </c>
      <c r="E79" s="29">
        <f t="shared" si="599"/>
        <v>0</v>
      </c>
      <c r="F79" s="29">
        <f t="shared" si="599"/>
        <v>0</v>
      </c>
      <c r="G79" s="29">
        <f t="shared" si="599"/>
        <v>0</v>
      </c>
      <c r="H79" s="29">
        <f t="shared" si="599"/>
        <v>0</v>
      </c>
      <c r="I79" s="29">
        <f t="shared" si="599"/>
        <v>0</v>
      </c>
      <c r="J79" s="29">
        <f t="shared" si="599"/>
        <v>0</v>
      </c>
      <c r="K79" s="29">
        <f t="shared" si="599"/>
        <v>0</v>
      </c>
      <c r="L79" s="29">
        <f t="shared" si="599"/>
        <v>0</v>
      </c>
      <c r="M79" s="29">
        <f t="shared" si="599"/>
        <v>50</v>
      </c>
      <c r="N79" s="29">
        <f t="shared" si="599"/>
        <v>6.2</v>
      </c>
      <c r="O79" s="29">
        <f t="shared" si="599"/>
        <v>10.7</v>
      </c>
      <c r="P79" s="29">
        <f t="shared" si="599"/>
        <v>14.1</v>
      </c>
      <c r="Q79" s="29">
        <f t="shared" si="599"/>
        <v>11.3</v>
      </c>
      <c r="R79" s="29">
        <f t="shared" si="599"/>
        <v>6.6</v>
      </c>
      <c r="S79" s="29">
        <f t="shared" si="599"/>
        <v>15.3</v>
      </c>
      <c r="T79" s="29">
        <f t="shared" si="599"/>
        <v>17.100000000000001</v>
      </c>
      <c r="U79" s="29">
        <f t="shared" si="599"/>
        <v>9.6999999999999993</v>
      </c>
      <c r="V79" s="29">
        <f t="shared" si="599"/>
        <v>12.3</v>
      </c>
      <c r="W79" s="29">
        <f t="shared" si="599"/>
        <v>11.3</v>
      </c>
      <c r="X79" s="29">
        <f t="shared" si="599"/>
        <v>21.2</v>
      </c>
      <c r="Y79" s="29">
        <f t="shared" si="599"/>
        <v>13.7</v>
      </c>
      <c r="Z79" s="29">
        <f t="shared" ref="Z79:AC79" si="600">-Z42</f>
        <v>12.6</v>
      </c>
      <c r="AA79" s="29">
        <f t="shared" si="600"/>
        <v>11.6</v>
      </c>
      <c r="AB79" s="29">
        <f t="shared" si="600"/>
        <v>23.2</v>
      </c>
      <c r="AC79" s="29">
        <f t="shared" si="600"/>
        <v>14.5</v>
      </c>
      <c r="AD79" s="29">
        <f t="shared" ref="AD79" si="601">-AD42</f>
        <v>14.4</v>
      </c>
      <c r="AE79" s="61">
        <v>0</v>
      </c>
      <c r="AF79" s="61">
        <v>0</v>
      </c>
      <c r="AG79" s="61">
        <v>0</v>
      </c>
      <c r="AH79" s="61">
        <v>0</v>
      </c>
      <c r="AI79" s="61">
        <v>0</v>
      </c>
      <c r="AK79" s="29">
        <f>-AK42</f>
        <v>0</v>
      </c>
      <c r="AL79" s="29">
        <f>-AL42</f>
        <v>0</v>
      </c>
      <c r="AM79" s="29">
        <f>-AM42</f>
        <v>0</v>
      </c>
      <c r="AN79" s="29">
        <f>-AN42</f>
        <v>66.900000000000006</v>
      </c>
      <c r="AO79" s="29">
        <f>-AO42</f>
        <v>47.3</v>
      </c>
      <c r="AP79" s="29">
        <f t="shared" ref="AP79:AQ79" si="602">-AP42</f>
        <v>50.400000000000006</v>
      </c>
      <c r="AQ79" s="29">
        <f t="shared" si="602"/>
        <v>59.1</v>
      </c>
      <c r="AR79" s="29">
        <f t="shared" si="548"/>
        <v>52.1</v>
      </c>
      <c r="AS79" s="29">
        <f t="shared" ref="AS79:AS90" si="603">+SUM(AF79:AI79)</f>
        <v>0</v>
      </c>
    </row>
    <row r="80" spans="2:48" ht="10.15" x14ac:dyDescent="0.2">
      <c r="B80" t="s">
        <v>175</v>
      </c>
      <c r="D80" s="29">
        <f>+SUM(D418:D426)</f>
        <v>3.54746899</v>
      </c>
      <c r="E80" s="29">
        <f t="shared" ref="E80:U80" si="604">+SUM(E418:E426)</f>
        <v>10.070677009999997</v>
      </c>
      <c r="F80" s="29">
        <f t="shared" si="604"/>
        <v>9.0686180000000007</v>
      </c>
      <c r="G80" s="29">
        <f t="shared" si="604"/>
        <v>-14.863685</v>
      </c>
      <c r="H80" s="29">
        <f t="shared" si="604"/>
        <v>2.7999999999999989</v>
      </c>
      <c r="I80" s="29">
        <f t="shared" si="604"/>
        <v>0.70000000000000151</v>
      </c>
      <c r="J80" s="29">
        <f t="shared" si="604"/>
        <v>4.799999999999998</v>
      </c>
      <c r="K80" s="29">
        <f t="shared" si="604"/>
        <v>-14.3</v>
      </c>
      <c r="L80" s="29">
        <f t="shared" si="604"/>
        <v>3.5999999999999988</v>
      </c>
      <c r="M80" s="29">
        <f t="shared" si="604"/>
        <v>2.4000000000000012</v>
      </c>
      <c r="N80" s="29">
        <f t="shared" si="604"/>
        <v>-15</v>
      </c>
      <c r="O80" s="29">
        <f t="shared" si="604"/>
        <v>-17</v>
      </c>
      <c r="P80" s="29">
        <f t="shared" si="604"/>
        <v>1.5</v>
      </c>
      <c r="Q80" s="29">
        <f t="shared" si="604"/>
        <v>-30.800000000000004</v>
      </c>
      <c r="R80" s="29">
        <f t="shared" si="604"/>
        <v>3.5527136788005009E-15</v>
      </c>
      <c r="S80" s="29">
        <f t="shared" si="604"/>
        <v>-28.500000000000007</v>
      </c>
      <c r="T80" s="29">
        <f t="shared" si="604"/>
        <v>5.4000000000000012</v>
      </c>
      <c r="U80" s="29">
        <f t="shared" si="604"/>
        <v>-10.5</v>
      </c>
      <c r="V80" s="29">
        <f t="shared" ref="V80:W80" si="605">+SUM(V418:V426)</f>
        <v>3.7747582837255322E-15</v>
      </c>
      <c r="W80" s="29">
        <f t="shared" si="605"/>
        <v>53.399999999999991</v>
      </c>
      <c r="X80" s="29">
        <f t="shared" ref="X80:Y80" si="606">+SUM(X418:X426)</f>
        <v>-0.79999999999999982</v>
      </c>
      <c r="Y80" s="29">
        <f t="shared" si="606"/>
        <v>-6.8999999999999959</v>
      </c>
      <c r="Z80" s="29">
        <f t="shared" ref="Z80:AC80" si="607">+SUM(Z418:Z426)</f>
        <v>-5.8000000000000007</v>
      </c>
      <c r="AA80" s="29">
        <f t="shared" si="607"/>
        <v>-47.500000000000007</v>
      </c>
      <c r="AB80" s="29">
        <f t="shared" si="607"/>
        <v>13.399999999999995</v>
      </c>
      <c r="AC80" s="29">
        <f t="shared" si="607"/>
        <v>-15.099999999999984</v>
      </c>
      <c r="AD80" s="29">
        <f t="shared" ref="AD80" si="608">+SUM(AD418:AD426)</f>
        <v>-6.5000000000000071</v>
      </c>
      <c r="AE80" s="61">
        <v>0</v>
      </c>
      <c r="AF80" s="61">
        <v>0</v>
      </c>
      <c r="AG80" s="61">
        <v>0</v>
      </c>
      <c r="AH80" s="61">
        <v>0</v>
      </c>
      <c r="AI80" s="61">
        <v>0</v>
      </c>
      <c r="AK80" s="29">
        <f>+SUM(AK418:AK426)</f>
        <v>7.799999999999998</v>
      </c>
      <c r="AL80" s="29">
        <f t="shared" ref="AL80:AO80" si="609">+SUM(AL418:AL426)</f>
        <v>8.9</v>
      </c>
      <c r="AM80" s="29">
        <f t="shared" si="609"/>
        <v>-5.9999999999999982</v>
      </c>
      <c r="AN80" s="29">
        <f t="shared" si="609"/>
        <v>-26.000000000000004</v>
      </c>
      <c r="AO80" s="29">
        <f t="shared" si="609"/>
        <v>-57.800000000000004</v>
      </c>
      <c r="AP80" s="29">
        <f t="shared" ref="AP80:AQ80" si="610">+SUM(AP418:AP426)</f>
        <v>48.3</v>
      </c>
      <c r="AQ80" s="29">
        <f t="shared" si="610"/>
        <v>-43.199999999999996</v>
      </c>
      <c r="AR80" s="29">
        <f t="shared" si="548"/>
        <v>-8.1999999999999957</v>
      </c>
      <c r="AS80" s="29">
        <f t="shared" si="603"/>
        <v>0</v>
      </c>
    </row>
    <row r="81" spans="2:48" ht="10.15" x14ac:dyDescent="0.2">
      <c r="B81" t="s">
        <v>176</v>
      </c>
      <c r="D81" s="29">
        <f>+-D332</f>
        <v>0</v>
      </c>
      <c r="E81" s="29">
        <f t="shared" ref="E81:U81" si="611">+-E332</f>
        <v>0</v>
      </c>
      <c r="F81" s="29">
        <f t="shared" si="611"/>
        <v>0</v>
      </c>
      <c r="G81" s="29">
        <f t="shared" si="611"/>
        <v>0</v>
      </c>
      <c r="H81" s="29">
        <f t="shared" si="611"/>
        <v>0</v>
      </c>
      <c r="I81" s="29">
        <f t="shared" si="611"/>
        <v>0</v>
      </c>
      <c r="J81" s="29">
        <f t="shared" si="611"/>
        <v>0</v>
      </c>
      <c r="K81" s="29">
        <f t="shared" si="611"/>
        <v>0</v>
      </c>
      <c r="L81" s="29">
        <f t="shared" si="611"/>
        <v>0</v>
      </c>
      <c r="M81" s="29">
        <f t="shared" si="611"/>
        <v>0</v>
      </c>
      <c r="N81" s="29">
        <f t="shared" si="611"/>
        <v>0</v>
      </c>
      <c r="O81" s="29">
        <f t="shared" si="611"/>
        <v>0</v>
      </c>
      <c r="P81" s="29">
        <f t="shared" si="611"/>
        <v>0</v>
      </c>
      <c r="Q81" s="29">
        <f t="shared" si="611"/>
        <v>0</v>
      </c>
      <c r="R81" s="29">
        <f t="shared" si="611"/>
        <v>-25.1</v>
      </c>
      <c r="S81" s="29">
        <f t="shared" si="611"/>
        <v>-1.2</v>
      </c>
      <c r="T81" s="29">
        <f t="shared" si="611"/>
        <v>0</v>
      </c>
      <c r="U81" s="29">
        <f t="shared" si="611"/>
        <v>0</v>
      </c>
      <c r="V81" s="29">
        <f t="shared" ref="V81:W81" si="612">+-V332</f>
        <v>0</v>
      </c>
      <c r="W81" s="29">
        <f t="shared" si="612"/>
        <v>0</v>
      </c>
      <c r="X81" s="29">
        <f t="shared" ref="X81:Y81" si="613">+-X332</f>
        <v>0</v>
      </c>
      <c r="Y81" s="29">
        <f t="shared" si="613"/>
        <v>0</v>
      </c>
      <c r="Z81" s="29">
        <f t="shared" ref="Z81:AC81" si="614">+-Z332</f>
        <v>0</v>
      </c>
      <c r="AA81" s="29">
        <f t="shared" si="614"/>
        <v>0</v>
      </c>
      <c r="AB81" s="29">
        <f t="shared" si="614"/>
        <v>0</v>
      </c>
      <c r="AC81" s="29">
        <f t="shared" si="614"/>
        <v>0</v>
      </c>
      <c r="AD81" s="29">
        <f t="shared" ref="AD81" si="615">+-AD332</f>
        <v>0</v>
      </c>
      <c r="AE81" s="61">
        <v>0</v>
      </c>
      <c r="AF81" s="61">
        <v>0</v>
      </c>
      <c r="AG81" s="61">
        <v>0</v>
      </c>
      <c r="AH81" s="61">
        <v>0</v>
      </c>
      <c r="AI81" s="61">
        <v>0</v>
      </c>
      <c r="AK81" s="29">
        <f>+-AK332</f>
        <v>0</v>
      </c>
      <c r="AL81" s="29">
        <f t="shared" ref="AL81:AO81" si="616">+-AL332</f>
        <v>0</v>
      </c>
      <c r="AM81" s="29">
        <f t="shared" si="616"/>
        <v>0</v>
      </c>
      <c r="AN81" s="29">
        <f t="shared" si="616"/>
        <v>0</v>
      </c>
      <c r="AO81" s="29">
        <f t="shared" si="616"/>
        <v>-26.3</v>
      </c>
      <c r="AP81" s="29">
        <f t="shared" ref="AP81:AQ81" si="617">+-AP332</f>
        <v>0</v>
      </c>
      <c r="AQ81" s="29">
        <f t="shared" si="617"/>
        <v>0</v>
      </c>
      <c r="AR81" s="29">
        <f t="shared" si="548"/>
        <v>0</v>
      </c>
      <c r="AS81" s="29">
        <f t="shared" si="603"/>
        <v>0</v>
      </c>
    </row>
    <row r="82" spans="2:48" ht="10.15" x14ac:dyDescent="0.2">
      <c r="B82" t="s">
        <v>177</v>
      </c>
      <c r="D82" s="29">
        <f>-D333</f>
        <v>-7.2750000000000004</v>
      </c>
      <c r="E82" s="29">
        <f t="shared" ref="E82:U82" si="618">-E333</f>
        <v>-13.775</v>
      </c>
      <c r="F82" s="29">
        <f t="shared" si="618"/>
        <v>-2.0750000000000006</v>
      </c>
      <c r="G82" s="29">
        <f t="shared" si="618"/>
        <v>-1.6750000000000007</v>
      </c>
      <c r="H82" s="29">
        <f t="shared" si="618"/>
        <v>-5.5999999999999979</v>
      </c>
      <c r="I82" s="29">
        <f t="shared" si="618"/>
        <v>-4.2</v>
      </c>
      <c r="J82" s="29">
        <f t="shared" si="618"/>
        <v>-16.600000000000001</v>
      </c>
      <c r="K82" s="29">
        <f t="shared" si="618"/>
        <v>-0.8</v>
      </c>
      <c r="L82" s="29">
        <f t="shared" si="618"/>
        <v>9.8000000000000007</v>
      </c>
      <c r="M82" s="29">
        <f t="shared" si="618"/>
        <v>-12.9</v>
      </c>
      <c r="N82" s="29">
        <f t="shared" si="618"/>
        <v>-1.7</v>
      </c>
      <c r="O82" s="29">
        <f t="shared" si="618"/>
        <v>2.6</v>
      </c>
      <c r="P82" s="29">
        <f t="shared" si="618"/>
        <v>-25.8</v>
      </c>
      <c r="Q82" s="29">
        <f t="shared" si="618"/>
        <v>-3.2</v>
      </c>
      <c r="R82" s="29">
        <f t="shared" si="618"/>
        <v>-4</v>
      </c>
      <c r="S82" s="29">
        <f t="shared" si="618"/>
        <v>-3.9</v>
      </c>
      <c r="T82" s="29">
        <f t="shared" si="618"/>
        <v>-7.8</v>
      </c>
      <c r="U82" s="29">
        <f t="shared" si="618"/>
        <v>-2.4</v>
      </c>
      <c r="V82" s="29">
        <f t="shared" ref="V82:W82" si="619">-V333</f>
        <v>-13</v>
      </c>
      <c r="W82" s="29">
        <f t="shared" si="619"/>
        <v>-4.7</v>
      </c>
      <c r="X82" s="29">
        <f t="shared" ref="X82:Y82" si="620">-X333</f>
        <v>-4.3</v>
      </c>
      <c r="Y82" s="29">
        <f t="shared" si="620"/>
        <v>-5.8</v>
      </c>
      <c r="Z82" s="29">
        <f t="shared" ref="Z82:AC82" si="621">-Z333</f>
        <v>-3.2</v>
      </c>
      <c r="AA82" s="29">
        <f t="shared" si="621"/>
        <v>-15</v>
      </c>
      <c r="AB82" s="29">
        <f t="shared" si="621"/>
        <v>-4</v>
      </c>
      <c r="AC82" s="29">
        <f t="shared" si="621"/>
        <v>-13.7</v>
      </c>
      <c r="AD82" s="29">
        <f t="shared" ref="AD82" si="622">-AD333</f>
        <v>-8.8000000000000007</v>
      </c>
      <c r="AE82" s="61">
        <v>0</v>
      </c>
      <c r="AF82" s="61">
        <v>0</v>
      </c>
      <c r="AG82" s="61">
        <v>0</v>
      </c>
      <c r="AH82" s="61">
        <v>0</v>
      </c>
      <c r="AI82" s="61">
        <v>0</v>
      </c>
      <c r="AK82" s="29">
        <f>-AK333</f>
        <v>-24.8</v>
      </c>
      <c r="AL82" s="29">
        <f t="shared" ref="AL82:AO82" si="623">-AL333</f>
        <v>-25.8</v>
      </c>
      <c r="AM82" s="29">
        <f t="shared" si="623"/>
        <v>-27.2</v>
      </c>
      <c r="AN82" s="29">
        <f t="shared" si="623"/>
        <v>-2.1999999999999997</v>
      </c>
      <c r="AO82" s="29">
        <f t="shared" si="623"/>
        <v>-36.9</v>
      </c>
      <c r="AP82" s="29">
        <f t="shared" ref="AP82:AQ82" si="624">-AP333</f>
        <v>-27.9</v>
      </c>
      <c r="AQ82" s="29">
        <f t="shared" si="624"/>
        <v>-28.3</v>
      </c>
      <c r="AR82" s="29">
        <f t="shared" si="548"/>
        <v>-26.5</v>
      </c>
      <c r="AS82" s="29">
        <f t="shared" si="603"/>
        <v>0</v>
      </c>
    </row>
    <row r="83" spans="2:48" ht="12" x14ac:dyDescent="0.35">
      <c r="B83" t="s">
        <v>170</v>
      </c>
      <c r="D83" s="30">
        <f>+D84-D76-SUM(D79:D82)</f>
        <v>0.96611300000000533</v>
      </c>
      <c r="E83" s="30">
        <f t="shared" ref="E83:U83" si="625">+E84-E76-SUM(E79:E82)</f>
        <v>8.3161489999999745</v>
      </c>
      <c r="F83" s="30">
        <f t="shared" si="625"/>
        <v>-5.2280369999999916</v>
      </c>
      <c r="G83" s="30">
        <f t="shared" si="625"/>
        <v>-5.5349489999999939</v>
      </c>
      <c r="H83" s="30">
        <f t="shared" si="625"/>
        <v>5.3000000000000229</v>
      </c>
      <c r="I83" s="30">
        <f t="shared" si="625"/>
        <v>4.6000000000000245</v>
      </c>
      <c r="J83" s="30">
        <f t="shared" si="625"/>
        <v>10.299999999999985</v>
      </c>
      <c r="K83" s="30">
        <f t="shared" si="625"/>
        <v>1.4000000000000341</v>
      </c>
      <c r="L83" s="30">
        <f t="shared" si="625"/>
        <v>-7.9000000000000234</v>
      </c>
      <c r="M83" s="30">
        <f t="shared" si="625"/>
        <v>4.3999999999999773</v>
      </c>
      <c r="N83" s="30">
        <f t="shared" si="625"/>
        <v>5.400000000000019</v>
      </c>
      <c r="O83" s="30">
        <f t="shared" si="625"/>
        <v>2.2000000000000255</v>
      </c>
      <c r="P83" s="30">
        <f t="shared" si="625"/>
        <v>6.6999999999999975</v>
      </c>
      <c r="Q83" s="30">
        <f t="shared" si="625"/>
        <v>2.1989999999999732</v>
      </c>
      <c r="R83" s="30">
        <f t="shared" si="625"/>
        <v>4.6600000000000179</v>
      </c>
      <c r="S83" s="30">
        <f t="shared" si="625"/>
        <v>1.0000000000000178</v>
      </c>
      <c r="T83" s="30">
        <f t="shared" si="625"/>
        <v>3.3999999999999844</v>
      </c>
      <c r="U83" s="30">
        <f t="shared" si="625"/>
        <v>6.1900000000000297</v>
      </c>
      <c r="V83" s="30">
        <f t="shared" ref="V83:W83" si="626">+V84-V76-SUM(V79:V82)</f>
        <v>8.097000000000083</v>
      </c>
      <c r="W83" s="30">
        <f t="shared" si="626"/>
        <v>11.256000000000157</v>
      </c>
      <c r="X83" s="30">
        <f t="shared" ref="X83:Y83" si="627">+X84-X76-SUM(X79:X82)</f>
        <v>7.2000000000000206</v>
      </c>
      <c r="Y83" s="30">
        <f t="shared" si="627"/>
        <v>14.690999999999907</v>
      </c>
      <c r="Z83" s="30">
        <f t="shared" ref="Z83:AC83" si="628">+Z84-Z76-SUM(Z79:Z82)</f>
        <v>16.164000000000026</v>
      </c>
      <c r="AA83" s="30">
        <f t="shared" si="628"/>
        <v>55.105000000000075</v>
      </c>
      <c r="AB83" s="30">
        <f t="shared" si="628"/>
        <v>-55.962999999999987</v>
      </c>
      <c r="AC83" s="30">
        <f t="shared" si="628"/>
        <v>10.970999999999989</v>
      </c>
      <c r="AD83" s="30">
        <f t="shared" ref="AD83" si="629">+AD84-AD76-SUM(AD79:AD82)</f>
        <v>47.79099999999994</v>
      </c>
      <c r="AE83" s="60">
        <v>0</v>
      </c>
      <c r="AF83" s="60">
        <v>0</v>
      </c>
      <c r="AG83" s="60">
        <v>0</v>
      </c>
      <c r="AH83" s="60">
        <v>0</v>
      </c>
      <c r="AI83" s="60">
        <v>0</v>
      </c>
      <c r="AK83" s="30" t="e">
        <f t="shared" ref="AK83" si="630">+AK84-AK76-SUM(AK79:AK82)</f>
        <v>#REF!</v>
      </c>
      <c r="AL83" s="30">
        <f t="shared" ref="AL83" si="631">+AL84-AL76-SUM(AL79:AL82)</f>
        <v>-0.49999999999997868</v>
      </c>
      <c r="AM83" s="30">
        <f t="shared" ref="AM83" si="632">+AM84-AM76-SUM(AM79:AM82)</f>
        <v>21.600000000000058</v>
      </c>
      <c r="AN83" s="30">
        <f t="shared" ref="AN83" si="633">+AN84-AN76-SUM(AN79:AN82)</f>
        <v>4.1000000000000085</v>
      </c>
      <c r="AO83" s="30">
        <f t="shared" ref="AO83:AQ83" si="634">+AO84-AO76-SUM(AO79:AO82)</f>
        <v>10.799999999999997</v>
      </c>
      <c r="AP83" s="30">
        <f t="shared" si="634"/>
        <v>26.82200000000023</v>
      </c>
      <c r="AQ83" s="30">
        <f t="shared" si="634"/>
        <v>75.360000000000085</v>
      </c>
      <c r="AR83" s="30">
        <f t="shared" si="548"/>
        <v>2.7989999999999426</v>
      </c>
      <c r="AS83" s="30">
        <f t="shared" si="603"/>
        <v>0</v>
      </c>
    </row>
    <row r="84" spans="2:48" s="1" customFormat="1" ht="10.15" x14ac:dyDescent="0.2">
      <c r="B84" s="31" t="s">
        <v>171</v>
      </c>
      <c r="D84" s="32">
        <f>+D429+D433+D436+D439</f>
        <v>0.25135999000000042</v>
      </c>
      <c r="E84" s="32">
        <f t="shared" ref="E84:U84" si="635">+E429+E433+E436+E439</f>
        <v>5.3605530099999985</v>
      </c>
      <c r="F84" s="32">
        <f t="shared" si="635"/>
        <v>0.21451300000000012</v>
      </c>
      <c r="G84" s="32">
        <f t="shared" si="635"/>
        <v>-17.661894</v>
      </c>
      <c r="H84" s="32">
        <f t="shared" si="635"/>
        <v>3.6999999999999984</v>
      </c>
      <c r="I84" s="32">
        <f t="shared" si="635"/>
        <v>2.0000000000000027</v>
      </c>
      <c r="J84" s="32">
        <f t="shared" si="635"/>
        <v>2.3999999999999986</v>
      </c>
      <c r="K84" s="32">
        <f t="shared" si="635"/>
        <v>-16.699999999999996</v>
      </c>
      <c r="L84" s="32">
        <f t="shared" si="635"/>
        <v>0.49999999999999956</v>
      </c>
      <c r="M84" s="32">
        <f t="shared" si="635"/>
        <v>-10.100000000000005</v>
      </c>
      <c r="N84" s="32">
        <f t="shared" si="635"/>
        <v>-3.1999999999999877</v>
      </c>
      <c r="O84" s="32">
        <f t="shared" si="635"/>
        <v>-12.200000000000001</v>
      </c>
      <c r="P84" s="32">
        <f t="shared" si="635"/>
        <v>-21.800000000000004</v>
      </c>
      <c r="Q84" s="32">
        <f t="shared" si="635"/>
        <v>-18.100000000000001</v>
      </c>
      <c r="R84" s="32">
        <f t="shared" si="635"/>
        <v>-8.3999999999999915</v>
      </c>
      <c r="S84" s="32">
        <f t="shared" si="635"/>
        <v>-23.799999999999986</v>
      </c>
      <c r="T84" s="32">
        <f t="shared" si="635"/>
        <v>11.899999999999999</v>
      </c>
      <c r="U84" s="32">
        <f t="shared" si="635"/>
        <v>11.899999999999999</v>
      </c>
      <c r="V84" s="32">
        <f t="shared" ref="V84:W84" si="636">+V429+V433+V436+V439</f>
        <v>34.000000000000007</v>
      </c>
      <c r="W84" s="32">
        <f t="shared" si="636"/>
        <v>113.10000000000009</v>
      </c>
      <c r="X84" s="32">
        <f t="shared" ref="X84:Y84" si="637">+X429+X433+X436+X439</f>
        <v>51.299999999999969</v>
      </c>
      <c r="Y84" s="32">
        <f t="shared" si="637"/>
        <v>58.999999999999979</v>
      </c>
      <c r="Z84" s="32">
        <f t="shared" ref="Z84:AC84" si="638">+Z429+Z433+Z436+Z439</f>
        <v>69.399999999999977</v>
      </c>
      <c r="AA84" s="32">
        <f t="shared" si="638"/>
        <v>73.000000000000028</v>
      </c>
      <c r="AB84" s="32">
        <f t="shared" si="638"/>
        <v>16.299999999999976</v>
      </c>
      <c r="AC84" s="32">
        <f t="shared" si="638"/>
        <v>75.100000000000037</v>
      </c>
      <c r="AD84" s="32">
        <f t="shared" ref="AD84" si="639">+AD429+AD433+AD436+AD439</f>
        <v>133.6999999999999</v>
      </c>
      <c r="AE84" s="56">
        <f t="shared" ref="AE84" ca="1" si="640">+AE76+SUM(AE79:AE83)</f>
        <v>91.810175897172783</v>
      </c>
      <c r="AF84" s="56">
        <f t="shared" ref="AF84:AI84" ca="1" si="641">+AF76+SUM(AF79:AF83)</f>
        <v>71.394313812286185</v>
      </c>
      <c r="AG84" s="56">
        <f t="shared" ca="1" si="641"/>
        <v>105.66700198254468</v>
      </c>
      <c r="AH84" s="56">
        <f t="shared" ca="1" si="641"/>
        <v>107.53760341786742</v>
      </c>
      <c r="AI84" s="56">
        <f t="shared" ca="1" si="641"/>
        <v>112.43281712887297</v>
      </c>
      <c r="AK84" s="32" t="e">
        <f>+AK427+AK67</f>
        <v>#REF!</v>
      </c>
      <c r="AL84" s="32">
        <f t="shared" ref="AL84:AO84" si="642">+AL429+AL433+AL436+AL439</f>
        <v>-10.700000000000005</v>
      </c>
      <c r="AM84" s="32">
        <f t="shared" si="642"/>
        <v>-8.5999999999999961</v>
      </c>
      <c r="AN84" s="32">
        <f t="shared" si="642"/>
        <v>-24.999999999999996</v>
      </c>
      <c r="AO84" s="32">
        <f t="shared" si="642"/>
        <v>-72.09999999999998</v>
      </c>
      <c r="AP84" s="32">
        <f t="shared" ref="AP84:AQ84" si="643">+AP429+AP433+AP436+AP439</f>
        <v>170.90000000000009</v>
      </c>
      <c r="AQ84" s="32">
        <f t="shared" si="643"/>
        <v>252.69999999999993</v>
      </c>
      <c r="AR84" s="32">
        <f t="shared" ca="1" si="548"/>
        <v>316.91017589717268</v>
      </c>
      <c r="AS84" s="32">
        <f t="shared" ca="1" si="603"/>
        <v>397.03173634157127</v>
      </c>
      <c r="AV84" s="56"/>
    </row>
    <row r="85" spans="2:48" s="1" customFormat="1" ht="10.15" x14ac:dyDescent="0.2">
      <c r="B85" t="s">
        <v>236</v>
      </c>
      <c r="D85" s="32"/>
      <c r="E85" s="32"/>
      <c r="F85" s="32"/>
      <c r="G85" s="32"/>
      <c r="H85" s="32"/>
      <c r="I85" s="32"/>
      <c r="J85" s="32"/>
      <c r="K85" s="32"/>
      <c r="L85" s="32"/>
      <c r="M85" s="32"/>
      <c r="N85" s="32"/>
      <c r="O85" s="32"/>
      <c r="P85" s="14">
        <v>8.8000000000000007</v>
      </c>
      <c r="Q85" s="14">
        <v>15.3</v>
      </c>
      <c r="R85" s="14">
        <v>1.2</v>
      </c>
      <c r="S85" s="14">
        <v>12.5</v>
      </c>
      <c r="T85" s="14">
        <v>4.8</v>
      </c>
      <c r="U85" s="14">
        <v>10.8</v>
      </c>
      <c r="V85" s="14">
        <v>4.3</v>
      </c>
      <c r="W85" s="14">
        <v>-76.5</v>
      </c>
      <c r="X85" s="14">
        <v>1.7</v>
      </c>
      <c r="Y85" s="14">
        <v>0</v>
      </c>
      <c r="Z85" s="14">
        <v>0</v>
      </c>
      <c r="AA85" s="14">
        <v>-42.3</v>
      </c>
      <c r="AB85" s="14">
        <v>58.3</v>
      </c>
      <c r="AC85" s="14">
        <v>-4.3</v>
      </c>
      <c r="AD85" s="14">
        <v>-39.6</v>
      </c>
      <c r="AE85" s="13">
        <f t="shared" ref="AE85" si="644">-AE80</f>
        <v>0</v>
      </c>
      <c r="AF85" s="13">
        <f t="shared" ref="AF85:AI85" si="645">-AF80</f>
        <v>0</v>
      </c>
      <c r="AG85" s="13">
        <f t="shared" si="645"/>
        <v>0</v>
      </c>
      <c r="AH85" s="13">
        <f t="shared" si="645"/>
        <v>0</v>
      </c>
      <c r="AI85" s="13">
        <f t="shared" si="645"/>
        <v>0</v>
      </c>
      <c r="AK85" s="32"/>
      <c r="AL85" s="32"/>
      <c r="AM85" s="32"/>
      <c r="AN85" s="32"/>
      <c r="AO85" s="29">
        <f>+SUM(P85:S85)</f>
        <v>37.799999999999997</v>
      </c>
      <c r="AP85" s="29">
        <f>+SUM(T85:W85)</f>
        <v>-56.599999999999994</v>
      </c>
      <c r="AQ85" s="29">
        <f>+SUM(X85:AA85)</f>
        <v>-40.599999999999994</v>
      </c>
      <c r="AR85" s="29">
        <f t="shared" si="548"/>
        <v>14.399999999999999</v>
      </c>
      <c r="AS85" s="29">
        <f t="shared" si="603"/>
        <v>0</v>
      </c>
      <c r="AV85" s="57"/>
    </row>
    <row r="86" spans="2:48" s="1" customFormat="1" ht="10.15" x14ac:dyDescent="0.2">
      <c r="B86" t="s">
        <v>237</v>
      </c>
      <c r="D86" s="32"/>
      <c r="E86" s="32"/>
      <c r="F86" s="32"/>
      <c r="G86" s="32"/>
      <c r="H86" s="32"/>
      <c r="I86" s="32"/>
      <c r="J86" s="32"/>
      <c r="K86" s="32"/>
      <c r="L86" s="32"/>
      <c r="M86" s="32"/>
      <c r="N86" s="32"/>
      <c r="O86" s="32"/>
      <c r="P86" s="14">
        <v>0</v>
      </c>
      <c r="Q86" s="14">
        <v>0</v>
      </c>
      <c r="R86" s="14">
        <v>24</v>
      </c>
      <c r="S86" s="14">
        <v>1.8</v>
      </c>
      <c r="T86" s="14">
        <v>0.5</v>
      </c>
      <c r="U86" s="14">
        <v>0</v>
      </c>
      <c r="V86" s="14">
        <v>0</v>
      </c>
      <c r="W86" s="14">
        <v>0</v>
      </c>
      <c r="X86" s="14">
        <v>0</v>
      </c>
      <c r="Y86" s="14">
        <v>0</v>
      </c>
      <c r="Z86" s="14">
        <v>0</v>
      </c>
      <c r="AA86" s="14">
        <v>0</v>
      </c>
      <c r="AB86" s="14">
        <v>0</v>
      </c>
      <c r="AC86" s="14">
        <v>0</v>
      </c>
      <c r="AD86" s="14">
        <v>0</v>
      </c>
      <c r="AE86" s="61">
        <v>0</v>
      </c>
      <c r="AF86" s="61">
        <v>0</v>
      </c>
      <c r="AG86" s="61">
        <v>0</v>
      </c>
      <c r="AH86" s="61">
        <v>0</v>
      </c>
      <c r="AI86" s="61">
        <v>0</v>
      </c>
      <c r="AK86" s="32"/>
      <c r="AL86" s="32"/>
      <c r="AM86" s="32"/>
      <c r="AN86" s="32"/>
      <c r="AO86" s="29">
        <f t="shared" ref="AO86:AO90" si="646">+SUM(P86:S86)</f>
        <v>25.8</v>
      </c>
      <c r="AP86" s="29">
        <f t="shared" ref="AP86:AP90" si="647">+SUM(T86:W86)</f>
        <v>0.5</v>
      </c>
      <c r="AQ86" s="29">
        <f t="shared" ref="AQ86:AQ90" si="648">+SUM(X86:AA86)</f>
        <v>0</v>
      </c>
      <c r="AR86" s="29">
        <f t="shared" si="548"/>
        <v>0</v>
      </c>
      <c r="AS86" s="29">
        <f t="shared" si="603"/>
        <v>0</v>
      </c>
    </row>
    <row r="87" spans="2:48" s="1" customFormat="1" ht="10.15" x14ac:dyDescent="0.2">
      <c r="B87" t="s">
        <v>177</v>
      </c>
      <c r="D87" s="32"/>
      <c r="E87" s="32"/>
      <c r="F87" s="32"/>
      <c r="G87" s="32"/>
      <c r="H87" s="32"/>
      <c r="I87" s="32"/>
      <c r="J87" s="32"/>
      <c r="K87" s="32"/>
      <c r="L87" s="32"/>
      <c r="M87" s="32"/>
      <c r="N87" s="32"/>
      <c r="O87" s="32"/>
      <c r="P87" s="14">
        <v>16</v>
      </c>
      <c r="Q87" s="14">
        <v>16.399999999999999</v>
      </c>
      <c r="R87" s="14">
        <v>3</v>
      </c>
      <c r="S87" s="14">
        <v>4.2</v>
      </c>
      <c r="T87" s="14">
        <v>4.3</v>
      </c>
      <c r="U87" s="14">
        <v>7.2</v>
      </c>
      <c r="V87" s="14">
        <v>10.199999999999999</v>
      </c>
      <c r="W87" s="14">
        <v>11.3</v>
      </c>
      <c r="X87" s="14">
        <v>4.8</v>
      </c>
      <c r="Y87" s="14">
        <v>5.8</v>
      </c>
      <c r="Z87" s="14">
        <v>2.7</v>
      </c>
      <c r="AA87" s="14">
        <v>14.7</v>
      </c>
      <c r="AB87" s="14">
        <v>5.3</v>
      </c>
      <c r="AC87" s="14">
        <v>6.6</v>
      </c>
      <c r="AD87" s="14">
        <v>16</v>
      </c>
      <c r="AE87" s="61">
        <v>0</v>
      </c>
      <c r="AF87" s="61">
        <v>0</v>
      </c>
      <c r="AG87" s="61">
        <v>0</v>
      </c>
      <c r="AH87" s="61">
        <v>0</v>
      </c>
      <c r="AI87" s="61">
        <v>0</v>
      </c>
      <c r="AK87" s="32"/>
      <c r="AL87" s="32"/>
      <c r="AM87" s="32"/>
      <c r="AN87" s="32"/>
      <c r="AO87" s="29">
        <f t="shared" si="646"/>
        <v>39.6</v>
      </c>
      <c r="AP87" s="29">
        <f t="shared" si="647"/>
        <v>33</v>
      </c>
      <c r="AQ87" s="29">
        <f t="shared" si="648"/>
        <v>28</v>
      </c>
      <c r="AR87" s="29">
        <f t="shared" si="548"/>
        <v>27.9</v>
      </c>
      <c r="AS87" s="29">
        <f t="shared" si="603"/>
        <v>0</v>
      </c>
    </row>
    <row r="88" spans="2:48" s="1" customFormat="1" ht="10.15" x14ac:dyDescent="0.2">
      <c r="B88" t="s">
        <v>269</v>
      </c>
      <c r="D88" s="32"/>
      <c r="E88" s="32"/>
      <c r="F88" s="32"/>
      <c r="G88" s="32"/>
      <c r="H88" s="32"/>
      <c r="I88" s="32"/>
      <c r="J88" s="32"/>
      <c r="K88" s="32"/>
      <c r="L88" s="32"/>
      <c r="M88" s="32"/>
      <c r="N88" s="32"/>
      <c r="O88" s="32"/>
      <c r="P88" s="14">
        <v>0</v>
      </c>
      <c r="Q88" s="14">
        <v>0</v>
      </c>
      <c r="R88" s="14">
        <v>0</v>
      </c>
      <c r="S88" s="14">
        <v>0</v>
      </c>
      <c r="T88" s="14">
        <v>0</v>
      </c>
      <c r="U88" s="14">
        <v>0</v>
      </c>
      <c r="V88" s="14">
        <v>0</v>
      </c>
      <c r="W88" s="14">
        <v>0</v>
      </c>
      <c r="X88" s="14">
        <v>0</v>
      </c>
      <c r="Y88" s="14">
        <v>0</v>
      </c>
      <c r="Z88" s="14">
        <v>2.8</v>
      </c>
      <c r="AA88" s="14">
        <v>15</v>
      </c>
      <c r="AB88" s="14">
        <v>0.3</v>
      </c>
      <c r="AC88" s="14">
        <v>0</v>
      </c>
      <c r="AD88" s="14">
        <v>0</v>
      </c>
      <c r="AE88" s="61">
        <v>0</v>
      </c>
      <c r="AF88" s="61">
        <v>0</v>
      </c>
      <c r="AG88" s="61">
        <v>0</v>
      </c>
      <c r="AH88" s="61">
        <v>0</v>
      </c>
      <c r="AI88" s="61">
        <v>0</v>
      </c>
      <c r="AK88" s="32"/>
      <c r="AL88" s="32"/>
      <c r="AM88" s="32"/>
      <c r="AN88" s="32"/>
      <c r="AO88" s="29">
        <f t="shared" ref="AO88" si="649">+SUM(P88:S88)</f>
        <v>0</v>
      </c>
      <c r="AP88" s="29">
        <f t="shared" ref="AP88" si="650">+SUM(T88:W88)</f>
        <v>0</v>
      </c>
      <c r="AQ88" s="29">
        <f t="shared" ref="AQ88" si="651">+SUM(X88:AA88)</f>
        <v>17.8</v>
      </c>
      <c r="AR88" s="29">
        <f t="shared" ref="AR88" si="652">+SUM(AB88:AE88)</f>
        <v>0.3</v>
      </c>
      <c r="AS88" s="29">
        <f t="shared" ref="AS88" si="653">+SUM(AF88:AI88)</f>
        <v>0</v>
      </c>
    </row>
    <row r="89" spans="2:48" s="1" customFormat="1" ht="12" x14ac:dyDescent="0.35">
      <c r="B89" t="s">
        <v>238</v>
      </c>
      <c r="D89" s="32"/>
      <c r="E89" s="32"/>
      <c r="F89" s="32"/>
      <c r="G89" s="32"/>
      <c r="H89" s="32"/>
      <c r="I89" s="32"/>
      <c r="J89" s="32"/>
      <c r="K89" s="32"/>
      <c r="L89" s="32"/>
      <c r="M89" s="32"/>
      <c r="N89" s="32"/>
      <c r="O89" s="32"/>
      <c r="P89" s="15">
        <v>-2.9</v>
      </c>
      <c r="Q89" s="15">
        <v>1.9</v>
      </c>
      <c r="R89" s="15">
        <v>3.1</v>
      </c>
      <c r="S89" s="15">
        <v>10.1</v>
      </c>
      <c r="T89" s="15">
        <v>-3</v>
      </c>
      <c r="U89" s="15">
        <v>-2.7</v>
      </c>
      <c r="V89" s="15">
        <v>-3.7</v>
      </c>
      <c r="W89" s="15">
        <v>8.8000000000000007</v>
      </c>
      <c r="X89" s="15">
        <v>0.5</v>
      </c>
      <c r="Y89" s="15">
        <v>-0.4</v>
      </c>
      <c r="Z89" s="15">
        <v>0.6</v>
      </c>
      <c r="AA89" s="15">
        <v>14.9</v>
      </c>
      <c r="AB89" s="15">
        <v>-2</v>
      </c>
      <c r="AC89" s="15">
        <v>-1.4</v>
      </c>
      <c r="AD89" s="15">
        <v>0.5</v>
      </c>
      <c r="AE89" s="60">
        <v>0</v>
      </c>
      <c r="AF89" s="60">
        <v>0</v>
      </c>
      <c r="AG89" s="60">
        <v>0</v>
      </c>
      <c r="AH89" s="60">
        <v>0</v>
      </c>
      <c r="AI89" s="60">
        <v>0</v>
      </c>
      <c r="AK89" s="32"/>
      <c r="AL89" s="32"/>
      <c r="AM89" s="32"/>
      <c r="AN89" s="32"/>
      <c r="AO89" s="30">
        <f t="shared" si="646"/>
        <v>12.2</v>
      </c>
      <c r="AP89" s="30">
        <f t="shared" si="647"/>
        <v>-0.59999999999999964</v>
      </c>
      <c r="AQ89" s="30">
        <f t="shared" si="648"/>
        <v>15.6</v>
      </c>
      <c r="AR89" s="30">
        <f t="shared" si="548"/>
        <v>-2.9</v>
      </c>
      <c r="AS89" s="30">
        <f t="shared" si="603"/>
        <v>0</v>
      </c>
    </row>
    <row r="90" spans="2:48" s="1" customFormat="1" ht="10.15" x14ac:dyDescent="0.2">
      <c r="B90" s="31" t="s">
        <v>239</v>
      </c>
      <c r="D90" s="32"/>
      <c r="E90" s="32"/>
      <c r="F90" s="32"/>
      <c r="G90" s="32"/>
      <c r="H90" s="32"/>
      <c r="I90" s="32"/>
      <c r="J90" s="32"/>
      <c r="K90" s="32"/>
      <c r="L90" s="32"/>
      <c r="M90" s="32"/>
      <c r="N90" s="32"/>
      <c r="O90" s="32"/>
      <c r="P90" s="34">
        <f>+SUM(P84:P89)</f>
        <v>9.9999999999996536E-2</v>
      </c>
      <c r="Q90" s="34">
        <f t="shared" ref="Q90:Y90" si="654">+SUM(Q84:Q89)</f>
        <v>15.499999999999998</v>
      </c>
      <c r="R90" s="34">
        <f t="shared" si="654"/>
        <v>22.900000000000009</v>
      </c>
      <c r="S90" s="34">
        <f t="shared" si="654"/>
        <v>4.800000000000014</v>
      </c>
      <c r="T90" s="34">
        <f t="shared" si="654"/>
        <v>18.5</v>
      </c>
      <c r="U90" s="34">
        <f t="shared" si="654"/>
        <v>27.2</v>
      </c>
      <c r="V90" s="34">
        <f t="shared" si="654"/>
        <v>44.8</v>
      </c>
      <c r="W90" s="34">
        <f t="shared" si="654"/>
        <v>56.700000000000088</v>
      </c>
      <c r="X90" s="34">
        <f t="shared" si="654"/>
        <v>58.299999999999969</v>
      </c>
      <c r="Y90" s="34">
        <f t="shared" si="654"/>
        <v>64.399999999999977</v>
      </c>
      <c r="Z90" s="56">
        <f t="shared" ref="Z90:AA90" si="655">+SUM(Z84:Z89)</f>
        <v>75.499999999999972</v>
      </c>
      <c r="AA90" s="56">
        <f t="shared" si="655"/>
        <v>75.30000000000004</v>
      </c>
      <c r="AB90" s="56">
        <f t="shared" ref="AB90:AE90" si="656">+SUM(AB84:AB89)</f>
        <v>78.19999999999996</v>
      </c>
      <c r="AC90" s="56">
        <f t="shared" ref="AC90" si="657">+SUM(AC84:AC89)</f>
        <v>76.000000000000028</v>
      </c>
      <c r="AD90" s="56">
        <f t="shared" si="656"/>
        <v>110.59999999999991</v>
      </c>
      <c r="AE90" s="56">
        <f t="shared" ca="1" si="656"/>
        <v>91.810175897172783</v>
      </c>
      <c r="AF90" s="56">
        <f t="shared" ref="AF90:AI90" ca="1" si="658">+SUM(AF84:AF89)</f>
        <v>71.394313812286185</v>
      </c>
      <c r="AG90" s="56">
        <f t="shared" ca="1" si="658"/>
        <v>105.66700198254468</v>
      </c>
      <c r="AH90" s="56">
        <f t="shared" ca="1" si="658"/>
        <v>107.53760341786742</v>
      </c>
      <c r="AI90" s="56">
        <f t="shared" ca="1" si="658"/>
        <v>112.43281712887297</v>
      </c>
      <c r="AK90" s="32"/>
      <c r="AL90" s="32"/>
      <c r="AM90" s="32"/>
      <c r="AN90" s="32"/>
      <c r="AO90" s="32">
        <f t="shared" si="646"/>
        <v>43.300000000000011</v>
      </c>
      <c r="AP90" s="32">
        <f t="shared" si="647"/>
        <v>147.2000000000001</v>
      </c>
      <c r="AQ90" s="32">
        <f t="shared" si="648"/>
        <v>273.5</v>
      </c>
      <c r="AR90" s="32">
        <f t="shared" ca="1" si="548"/>
        <v>356.61017589717267</v>
      </c>
      <c r="AS90" s="32">
        <f t="shared" ca="1" si="603"/>
        <v>397.03173634157127</v>
      </c>
      <c r="AT90" s="148"/>
    </row>
    <row r="91" spans="2:48" s="1" customFormat="1" ht="10.15" x14ac:dyDescent="0.2">
      <c r="B91" s="31"/>
      <c r="D91" s="32"/>
      <c r="E91" s="32"/>
      <c r="F91" s="32"/>
      <c r="G91" s="32"/>
      <c r="H91" s="32"/>
      <c r="I91" s="32"/>
      <c r="J91" s="32"/>
      <c r="K91" s="32"/>
      <c r="L91" s="32"/>
      <c r="M91" s="32"/>
      <c r="N91" s="32"/>
      <c r="O91" s="32"/>
      <c r="P91" s="32"/>
      <c r="Q91" s="32"/>
      <c r="R91" s="32"/>
      <c r="S91" s="32"/>
      <c r="T91" s="32"/>
      <c r="U91" s="32"/>
      <c r="V91" s="56"/>
      <c r="W91" s="56"/>
      <c r="X91" s="56"/>
      <c r="Y91" s="56"/>
      <c r="Z91" s="56"/>
      <c r="AA91" s="56"/>
      <c r="AB91" s="56"/>
      <c r="AC91" s="56"/>
      <c r="AD91" s="148"/>
      <c r="AE91" s="56"/>
      <c r="AF91" s="56"/>
      <c r="AG91" s="56"/>
      <c r="AH91" s="56"/>
      <c r="AI91" s="56"/>
      <c r="AK91" s="32"/>
      <c r="AL91" s="32"/>
      <c r="AM91" s="32"/>
      <c r="AN91" s="32"/>
      <c r="AO91" s="32"/>
      <c r="AP91" s="26"/>
      <c r="AQ91" s="26"/>
      <c r="AR91" s="26"/>
      <c r="AS91" s="26"/>
    </row>
    <row r="92" spans="2:48" s="1" customFormat="1" ht="10.15" x14ac:dyDescent="0.2">
      <c r="B92" s="27" t="s">
        <v>183</v>
      </c>
      <c r="D92" s="32"/>
      <c r="E92" s="32"/>
      <c r="F92" s="32"/>
      <c r="G92" s="32"/>
      <c r="H92" s="32"/>
      <c r="I92" s="32"/>
      <c r="J92" s="32"/>
      <c r="K92" s="32"/>
      <c r="L92" s="32"/>
      <c r="M92" s="32"/>
      <c r="N92" s="32"/>
      <c r="O92" s="32"/>
      <c r="P92" s="32"/>
      <c r="Q92" s="32"/>
      <c r="R92" s="32"/>
      <c r="S92" s="32"/>
      <c r="T92" s="32"/>
      <c r="U92" s="32"/>
      <c r="V92" s="56"/>
      <c r="W92" s="56"/>
      <c r="X92" s="56"/>
      <c r="Y92" s="56"/>
      <c r="Z92" s="56"/>
      <c r="AA92" s="56"/>
      <c r="AB92" s="56"/>
      <c r="AC92" s="56"/>
      <c r="AD92" s="56"/>
      <c r="AE92" s="56"/>
      <c r="AF92" s="56"/>
      <c r="AG92" s="56"/>
      <c r="AH92" s="56"/>
      <c r="AI92" s="56"/>
      <c r="AK92" s="32"/>
      <c r="AL92" s="32"/>
      <c r="AM92" s="32"/>
      <c r="AN92" s="32"/>
      <c r="AO92" s="32"/>
      <c r="AP92" s="26"/>
      <c r="AQ92" s="26"/>
      <c r="AR92" s="26"/>
      <c r="AS92" s="26"/>
    </row>
    <row r="93" spans="2:48" s="1" customFormat="1" ht="10.15" x14ac:dyDescent="0.2">
      <c r="B93" s="24" t="s">
        <v>190</v>
      </c>
      <c r="D93" s="32"/>
      <c r="E93" s="32"/>
      <c r="F93" s="32"/>
      <c r="G93" s="32"/>
      <c r="H93" s="37">
        <f>+H432</f>
        <v>0</v>
      </c>
      <c r="I93" s="37">
        <f t="shared" ref="I93:U93" si="659">+I432</f>
        <v>0</v>
      </c>
      <c r="J93" s="37">
        <f t="shared" si="659"/>
        <v>-60.2</v>
      </c>
      <c r="K93" s="37">
        <f t="shared" si="659"/>
        <v>0</v>
      </c>
      <c r="L93" s="37">
        <f t="shared" si="659"/>
        <v>0</v>
      </c>
      <c r="M93" s="37">
        <f t="shared" si="659"/>
        <v>0</v>
      </c>
      <c r="N93" s="37">
        <f t="shared" si="659"/>
        <v>0</v>
      </c>
      <c r="O93" s="37">
        <f t="shared" si="659"/>
        <v>-49.8</v>
      </c>
      <c r="P93" s="37">
        <f t="shared" si="659"/>
        <v>-40.6</v>
      </c>
      <c r="Q93" s="37">
        <f t="shared" si="659"/>
        <v>0.39999999999999858</v>
      </c>
      <c r="R93" s="37">
        <f t="shared" si="659"/>
        <v>-14</v>
      </c>
      <c r="S93" s="37">
        <f t="shared" si="659"/>
        <v>-0.29999999999999716</v>
      </c>
      <c r="T93" s="37">
        <f t="shared" si="659"/>
        <v>-12.6</v>
      </c>
      <c r="U93" s="37">
        <f t="shared" si="659"/>
        <v>0</v>
      </c>
      <c r="V93" s="37">
        <f t="shared" ref="V93:W93" si="660">+V432</f>
        <v>-122.6</v>
      </c>
      <c r="W93" s="37">
        <f t="shared" si="660"/>
        <v>-0.10000000000002274</v>
      </c>
      <c r="X93" s="37">
        <f t="shared" ref="X93" si="661">+X432</f>
        <v>-1.2</v>
      </c>
      <c r="Y93" s="37">
        <f t="shared" ref="Y93:AB93" si="662">+Y432</f>
        <v>-35.099999999999994</v>
      </c>
      <c r="Z93" s="37">
        <f t="shared" si="662"/>
        <v>0</v>
      </c>
      <c r="AA93" s="37">
        <f t="shared" si="662"/>
        <v>-133.39999999999998</v>
      </c>
      <c r="AB93" s="37">
        <f t="shared" si="662"/>
        <v>0</v>
      </c>
      <c r="AC93" s="37">
        <f t="shared" ref="AC93:AD93" si="663">+AC432</f>
        <v>-301.39999999999998</v>
      </c>
      <c r="AD93" s="37">
        <f t="shared" si="663"/>
        <v>-4.5</v>
      </c>
      <c r="AE93" s="62">
        <f>-50-130</f>
        <v>-180</v>
      </c>
      <c r="AF93" s="62">
        <v>0</v>
      </c>
      <c r="AG93" s="62">
        <v>0</v>
      </c>
      <c r="AH93" s="62">
        <v>0</v>
      </c>
      <c r="AI93" s="62">
        <v>0</v>
      </c>
      <c r="AK93" s="32"/>
      <c r="AL93" s="37">
        <f t="shared" ref="AL93:AO93" si="664">+AL432</f>
        <v>-1.5</v>
      </c>
      <c r="AM93" s="37">
        <f t="shared" si="664"/>
        <v>-60.2</v>
      </c>
      <c r="AN93" s="37">
        <f t="shared" si="664"/>
        <v>-49.8</v>
      </c>
      <c r="AO93" s="37">
        <f t="shared" si="664"/>
        <v>-54.5</v>
      </c>
      <c r="AP93" s="37">
        <f t="shared" ref="AP93" si="665">+SUM(T93:W93)</f>
        <v>-135.30000000000001</v>
      </c>
      <c r="AQ93" s="37">
        <f t="shared" ref="AQ93" si="666">+SUM(X93:AA93)</f>
        <v>-169.7</v>
      </c>
      <c r="AR93" s="37">
        <f t="shared" ref="AR93:AR97" si="667">+SUM(AB93:AE93)</f>
        <v>-485.9</v>
      </c>
      <c r="AS93" s="37">
        <f>+SUM(AF93:AI93)</f>
        <v>0</v>
      </c>
    </row>
    <row r="94" spans="2:48" s="1" customFormat="1" ht="10.15" x14ac:dyDescent="0.2">
      <c r="B94" s="24" t="s">
        <v>188</v>
      </c>
      <c r="D94" s="32"/>
      <c r="E94" s="32"/>
      <c r="F94" s="32"/>
      <c r="G94" s="32"/>
      <c r="H94" s="37">
        <f>+H437</f>
        <v>-0.4</v>
      </c>
      <c r="I94" s="37">
        <f t="shared" ref="I94:U94" si="668">+I437</f>
        <v>-0.29999999999999993</v>
      </c>
      <c r="J94" s="37">
        <f t="shared" si="668"/>
        <v>-2.4000000000000004</v>
      </c>
      <c r="K94" s="37">
        <f t="shared" si="668"/>
        <v>-0.19999999999999973</v>
      </c>
      <c r="L94" s="37">
        <f t="shared" si="668"/>
        <v>-0.4</v>
      </c>
      <c r="M94" s="37">
        <f t="shared" si="668"/>
        <v>0</v>
      </c>
      <c r="N94" s="37">
        <f t="shared" si="668"/>
        <v>-1.7000000000000002</v>
      </c>
      <c r="O94" s="37">
        <f t="shared" si="668"/>
        <v>-1.7999999999999998</v>
      </c>
      <c r="P94" s="37">
        <f t="shared" si="668"/>
        <v>-0.8</v>
      </c>
      <c r="Q94" s="37">
        <f t="shared" si="668"/>
        <v>-9.9999999999999978E-2</v>
      </c>
      <c r="R94" s="37">
        <f t="shared" si="668"/>
        <v>-3.5000000000000004</v>
      </c>
      <c r="S94" s="37">
        <f t="shared" si="668"/>
        <v>-6</v>
      </c>
      <c r="T94" s="37">
        <f t="shared" si="668"/>
        <v>-4.5999999999999996</v>
      </c>
      <c r="U94" s="37">
        <f t="shared" si="668"/>
        <v>-7.2000000000000011</v>
      </c>
      <c r="V94" s="37">
        <f t="shared" ref="V94:W94" si="669">+V437</f>
        <v>-256.39999999999998</v>
      </c>
      <c r="W94" s="37">
        <f t="shared" si="669"/>
        <v>-7.3000000000000114</v>
      </c>
      <c r="X94" s="37">
        <f t="shared" ref="X94" si="670">+X437</f>
        <v>-2.1</v>
      </c>
      <c r="Y94" s="37">
        <f t="shared" ref="Y94:AB94" si="671">+Y437</f>
        <v>-6.6</v>
      </c>
      <c r="Z94" s="37">
        <f t="shared" si="671"/>
        <v>-0.80000000000000071</v>
      </c>
      <c r="AA94" s="37">
        <f t="shared" si="671"/>
        <v>0</v>
      </c>
      <c r="AB94" s="37">
        <f t="shared" si="671"/>
        <v>-0.9</v>
      </c>
      <c r="AC94" s="37">
        <f t="shared" ref="AC94:AD94" si="672">+AC437</f>
        <v>-0.4</v>
      </c>
      <c r="AD94" s="37">
        <f t="shared" si="672"/>
        <v>-2.2999999999999998</v>
      </c>
      <c r="AE94" s="62">
        <v>0</v>
      </c>
      <c r="AF94" s="62">
        <v>0</v>
      </c>
      <c r="AG94" s="62">
        <v>0</v>
      </c>
      <c r="AH94" s="62">
        <v>0</v>
      </c>
      <c r="AI94" s="62">
        <v>0</v>
      </c>
      <c r="AK94" s="32"/>
      <c r="AL94" s="37">
        <f t="shared" ref="AL94:AO94" si="673">+AL437</f>
        <v>-3.7</v>
      </c>
      <c r="AM94" s="37">
        <f t="shared" si="673"/>
        <v>-3.3</v>
      </c>
      <c r="AN94" s="37">
        <f t="shared" si="673"/>
        <v>-3.9</v>
      </c>
      <c r="AO94" s="37">
        <f t="shared" si="673"/>
        <v>-10.4</v>
      </c>
      <c r="AP94" s="37">
        <f t="shared" ref="AP94:AP97" si="674">+SUM(T94:W94)</f>
        <v>-275.5</v>
      </c>
      <c r="AQ94" s="37">
        <f t="shared" ref="AQ94:AQ97" si="675">+SUM(X94:AA94)</f>
        <v>-9.5</v>
      </c>
      <c r="AR94" s="37">
        <f t="shared" si="667"/>
        <v>-3.5999999999999996</v>
      </c>
      <c r="AS94" s="37">
        <f t="shared" ref="AS94:AS97" si="676">+SUM(AF94:AI94)</f>
        <v>0</v>
      </c>
    </row>
    <row r="95" spans="2:48" s="1" customFormat="1" ht="10.15" x14ac:dyDescent="0.2">
      <c r="B95" s="24" t="s">
        <v>191</v>
      </c>
      <c r="D95" s="32"/>
      <c r="E95" s="32"/>
      <c r="F95" s="32"/>
      <c r="G95" s="32"/>
      <c r="H95" s="37">
        <f>+H454</f>
        <v>-0.9</v>
      </c>
      <c r="I95" s="37">
        <f t="shared" ref="I95:U95" si="677">+I454</f>
        <v>-0.70000000000000007</v>
      </c>
      <c r="J95" s="37">
        <f t="shared" si="677"/>
        <v>-0.69999999999999973</v>
      </c>
      <c r="K95" s="37">
        <f t="shared" si="677"/>
        <v>-0.80000000000000027</v>
      </c>
      <c r="L95" s="37">
        <f t="shared" si="677"/>
        <v>-0.7</v>
      </c>
      <c r="M95" s="37">
        <f t="shared" si="677"/>
        <v>-0.40000000000000013</v>
      </c>
      <c r="N95" s="37">
        <f t="shared" si="677"/>
        <v>-0.29999999999999982</v>
      </c>
      <c r="O95" s="37">
        <f t="shared" si="677"/>
        <v>-0.30000000000000004</v>
      </c>
      <c r="P95" s="37">
        <f t="shared" si="677"/>
        <v>0</v>
      </c>
      <c r="Q95" s="37">
        <f t="shared" si="677"/>
        <v>0</v>
      </c>
      <c r="R95" s="37">
        <f t="shared" si="677"/>
        <v>0</v>
      </c>
      <c r="S95" s="37">
        <f t="shared" si="677"/>
        <v>0</v>
      </c>
      <c r="T95" s="37">
        <f t="shared" si="677"/>
        <v>0</v>
      </c>
      <c r="U95" s="37">
        <f t="shared" si="677"/>
        <v>0</v>
      </c>
      <c r="V95" s="37">
        <f t="shared" ref="V95:W95" si="678">+V454</f>
        <v>0</v>
      </c>
      <c r="W95" s="37">
        <f t="shared" si="678"/>
        <v>-0.7</v>
      </c>
      <c r="X95" s="37">
        <f t="shared" ref="X95" si="679">+X454</f>
        <v>-0.3</v>
      </c>
      <c r="Y95" s="37">
        <f t="shared" ref="Y95:AB95" si="680">+Y454</f>
        <v>-0.2</v>
      </c>
      <c r="Z95" s="37">
        <f t="shared" si="680"/>
        <v>-3.8</v>
      </c>
      <c r="AA95" s="37">
        <f t="shared" si="680"/>
        <v>-10.5</v>
      </c>
      <c r="AB95" s="37">
        <f t="shared" si="680"/>
        <v>-0.1</v>
      </c>
      <c r="AC95" s="37">
        <f t="shared" ref="AC95:AD95" si="681">+AC454</f>
        <v>-0.8</v>
      </c>
      <c r="AD95" s="37">
        <f t="shared" si="681"/>
        <v>-0.6</v>
      </c>
      <c r="AE95" s="62">
        <v>0</v>
      </c>
      <c r="AF95" s="62">
        <v>0</v>
      </c>
      <c r="AG95" s="62">
        <v>0</v>
      </c>
      <c r="AH95" s="62">
        <v>0</v>
      </c>
      <c r="AI95" s="62">
        <v>0</v>
      </c>
      <c r="AK95" s="32"/>
      <c r="AL95" s="37">
        <f t="shared" ref="AL95:AQ95" si="682">+AL454</f>
        <v>-3.2</v>
      </c>
      <c r="AM95" s="37">
        <f t="shared" si="682"/>
        <v>-3.1</v>
      </c>
      <c r="AN95" s="37">
        <f t="shared" si="682"/>
        <v>-1.7</v>
      </c>
      <c r="AO95" s="37">
        <f t="shared" si="682"/>
        <v>0</v>
      </c>
      <c r="AP95" s="37">
        <f t="shared" si="682"/>
        <v>-0.7</v>
      </c>
      <c r="AQ95" s="37">
        <f t="shared" si="682"/>
        <v>-14.8</v>
      </c>
      <c r="AR95" s="37">
        <f t="shared" si="667"/>
        <v>-1.5</v>
      </c>
      <c r="AS95" s="37">
        <f t="shared" si="676"/>
        <v>0</v>
      </c>
    </row>
    <row r="96" spans="2:48" s="1" customFormat="1" x14ac:dyDescent="0.2">
      <c r="B96" s="24" t="s">
        <v>187</v>
      </c>
      <c r="D96" s="32"/>
      <c r="E96" s="32"/>
      <c r="F96" s="32"/>
      <c r="G96" s="32"/>
      <c r="H96" s="37">
        <f>+H445</f>
        <v>0</v>
      </c>
      <c r="I96" s="37">
        <f t="shared" ref="I96:U96" si="683">+I445</f>
        <v>0</v>
      </c>
      <c r="J96" s="37">
        <f t="shared" si="683"/>
        <v>0</v>
      </c>
      <c r="K96" s="37">
        <f t="shared" si="683"/>
        <v>0</v>
      </c>
      <c r="L96" s="37">
        <f t="shared" si="683"/>
        <v>0</v>
      </c>
      <c r="M96" s="37">
        <f t="shared" si="683"/>
        <v>0</v>
      </c>
      <c r="N96" s="37">
        <f t="shared" si="683"/>
        <v>0</v>
      </c>
      <c r="O96" s="37">
        <f t="shared" si="683"/>
        <v>0</v>
      </c>
      <c r="P96" s="37">
        <f t="shared" si="683"/>
        <v>0</v>
      </c>
      <c r="Q96" s="37">
        <f t="shared" si="683"/>
        <v>0</v>
      </c>
      <c r="R96" s="37">
        <f t="shared" si="683"/>
        <v>0</v>
      </c>
      <c r="S96" s="37">
        <f t="shared" si="683"/>
        <v>-19.5</v>
      </c>
      <c r="T96" s="37">
        <f t="shared" si="683"/>
        <v>-18.7</v>
      </c>
      <c r="U96" s="37">
        <f t="shared" si="683"/>
        <v>-167.20000000000002</v>
      </c>
      <c r="V96" s="37">
        <f t="shared" ref="V96:W96" si="684">+V445</f>
        <v>0</v>
      </c>
      <c r="W96" s="37">
        <f t="shared" si="684"/>
        <v>0</v>
      </c>
      <c r="X96" s="37">
        <f t="shared" ref="X96" si="685">+X445</f>
        <v>0</v>
      </c>
      <c r="Y96" s="37">
        <f t="shared" ref="Y96:AB96" si="686">+Y445</f>
        <v>-96.8</v>
      </c>
      <c r="Z96" s="37">
        <f t="shared" si="686"/>
        <v>0</v>
      </c>
      <c r="AA96" s="37">
        <f t="shared" si="686"/>
        <v>-8.6000000000000085</v>
      </c>
      <c r="AB96" s="37">
        <f t="shared" si="686"/>
        <v>0</v>
      </c>
      <c r="AC96" s="37">
        <f t="shared" ref="AC96:AD96" si="687">+AC445</f>
        <v>-15.9</v>
      </c>
      <c r="AD96" s="37">
        <f t="shared" si="687"/>
        <v>-20</v>
      </c>
      <c r="AE96" s="62">
        <v>0</v>
      </c>
      <c r="AF96" s="62">
        <v>0</v>
      </c>
      <c r="AG96" s="62">
        <v>0</v>
      </c>
      <c r="AH96" s="62">
        <v>0</v>
      </c>
      <c r="AI96" s="62">
        <v>0</v>
      </c>
      <c r="AK96" s="32"/>
      <c r="AL96" s="37">
        <f t="shared" ref="AL96:AO96" si="688">+AL445</f>
        <v>0</v>
      </c>
      <c r="AM96" s="37">
        <f t="shared" si="688"/>
        <v>0</v>
      </c>
      <c r="AN96" s="37">
        <f t="shared" si="688"/>
        <v>0</v>
      </c>
      <c r="AO96" s="37">
        <f t="shared" si="688"/>
        <v>-19.5</v>
      </c>
      <c r="AP96" s="37">
        <f t="shared" si="674"/>
        <v>-185.9</v>
      </c>
      <c r="AQ96" s="37">
        <f t="shared" si="675"/>
        <v>-105.4</v>
      </c>
      <c r="AR96" s="37">
        <f t="shared" si="667"/>
        <v>-35.9</v>
      </c>
      <c r="AS96" s="37">
        <f t="shared" si="676"/>
        <v>0</v>
      </c>
    </row>
    <row r="97" spans="2:45" s="1" customFormat="1" x14ac:dyDescent="0.2">
      <c r="B97" s="24" t="s">
        <v>189</v>
      </c>
      <c r="D97" s="32"/>
      <c r="E97" s="32"/>
      <c r="F97" s="32"/>
      <c r="G97" s="32"/>
      <c r="H97" s="37">
        <f>+SUM(H448:H450)</f>
        <v>0</v>
      </c>
      <c r="I97" s="37">
        <f t="shared" ref="I97:U97" si="689">+SUM(I448:I450)</f>
        <v>0</v>
      </c>
      <c r="J97" s="37">
        <f t="shared" si="689"/>
        <v>0</v>
      </c>
      <c r="K97" s="37">
        <f t="shared" si="689"/>
        <v>0</v>
      </c>
      <c r="L97" s="37">
        <f t="shared" si="689"/>
        <v>0</v>
      </c>
      <c r="M97" s="37">
        <f t="shared" si="689"/>
        <v>472.9</v>
      </c>
      <c r="N97" s="37">
        <f t="shared" si="689"/>
        <v>93.4</v>
      </c>
      <c r="O97" s="37">
        <f t="shared" si="689"/>
        <v>0</v>
      </c>
      <c r="P97" s="37">
        <f t="shared" si="689"/>
        <v>0</v>
      </c>
      <c r="Q97" s="37">
        <f t="shared" si="689"/>
        <v>0</v>
      </c>
      <c r="R97" s="37">
        <f t="shared" si="689"/>
        <v>0</v>
      </c>
      <c r="S97" s="37">
        <f t="shared" si="689"/>
        <v>0</v>
      </c>
      <c r="T97" s="37">
        <f t="shared" si="689"/>
        <v>0</v>
      </c>
      <c r="U97" s="37">
        <f t="shared" si="689"/>
        <v>0</v>
      </c>
      <c r="V97" s="37">
        <f t="shared" ref="V97:W97" si="690">+SUM(V448:V450)</f>
        <v>0</v>
      </c>
      <c r="W97" s="37">
        <f t="shared" si="690"/>
        <v>0</v>
      </c>
      <c r="X97" s="37">
        <f t="shared" ref="X97" si="691">+SUM(X448:X450)</f>
        <v>0</v>
      </c>
      <c r="Y97" s="37">
        <f t="shared" ref="Y97:AB97" si="692">+SUM(Y448:Y450)</f>
        <v>0</v>
      </c>
      <c r="Z97" s="37">
        <f t="shared" si="692"/>
        <v>0</v>
      </c>
      <c r="AA97" s="37">
        <f t="shared" si="692"/>
        <v>0</v>
      </c>
      <c r="AB97" s="37">
        <f t="shared" si="692"/>
        <v>0</v>
      </c>
      <c r="AC97" s="37">
        <f t="shared" ref="AC97:AD97" si="693">+SUM(AC448:AC450)</f>
        <v>0</v>
      </c>
      <c r="AD97" s="37">
        <f t="shared" si="693"/>
        <v>0</v>
      </c>
      <c r="AE97" s="62">
        <v>0</v>
      </c>
      <c r="AF97" s="62">
        <v>0</v>
      </c>
      <c r="AG97" s="62">
        <v>0</v>
      </c>
      <c r="AH97" s="62">
        <v>0</v>
      </c>
      <c r="AI97" s="62">
        <v>0</v>
      </c>
      <c r="AK97" s="32"/>
      <c r="AL97" s="37">
        <f t="shared" ref="AL97:AO97" si="694">+SUM(AL448:AL450)</f>
        <v>0</v>
      </c>
      <c r="AM97" s="37">
        <f t="shared" si="694"/>
        <v>0</v>
      </c>
      <c r="AN97" s="37">
        <f t="shared" si="694"/>
        <v>566.29999999999995</v>
      </c>
      <c r="AO97" s="37">
        <f t="shared" si="694"/>
        <v>0</v>
      </c>
      <c r="AP97" s="37">
        <f t="shared" si="674"/>
        <v>0</v>
      </c>
      <c r="AQ97" s="37">
        <f t="shared" si="675"/>
        <v>0</v>
      </c>
      <c r="AR97" s="37">
        <f t="shared" si="667"/>
        <v>0</v>
      </c>
      <c r="AS97" s="37">
        <f t="shared" si="676"/>
        <v>0</v>
      </c>
    </row>
    <row r="98" spans="2:45" s="1" customFormat="1" x14ac:dyDescent="0.2">
      <c r="B98" s="24"/>
      <c r="D98" s="32"/>
      <c r="E98" s="32"/>
      <c r="F98" s="32"/>
      <c r="G98" s="32"/>
      <c r="H98" s="37"/>
      <c r="I98" s="37"/>
      <c r="J98" s="37"/>
      <c r="K98" s="37"/>
      <c r="L98" s="37"/>
      <c r="M98" s="37"/>
      <c r="N98" s="37"/>
      <c r="O98" s="37"/>
      <c r="P98" s="37"/>
      <c r="Q98" s="37"/>
      <c r="R98" s="37"/>
      <c r="S98" s="37"/>
      <c r="T98" s="37"/>
      <c r="U98" s="37"/>
      <c r="V98" s="37"/>
      <c r="W98" s="37"/>
      <c r="X98" s="37"/>
      <c r="Y98" s="37"/>
      <c r="Z98" s="37"/>
      <c r="AA98" s="37"/>
      <c r="AB98" s="37"/>
      <c r="AC98" s="37"/>
      <c r="AD98" s="62"/>
      <c r="AE98" s="62"/>
      <c r="AF98" s="62"/>
      <c r="AG98" s="62"/>
      <c r="AH98" s="62"/>
      <c r="AI98" s="62"/>
      <c r="AK98" s="32"/>
      <c r="AL98" s="37"/>
      <c r="AM98" s="37"/>
      <c r="AN98" s="37"/>
      <c r="AO98" s="37"/>
      <c r="AP98" s="37"/>
      <c r="AQ98" s="37"/>
      <c r="AR98" s="37"/>
      <c r="AS98" s="37"/>
    </row>
    <row r="99" spans="2:45" s="1" customFormat="1" x14ac:dyDescent="0.2">
      <c r="B99" s="27" t="s">
        <v>183</v>
      </c>
      <c r="D99" s="32"/>
      <c r="E99" s="32"/>
      <c r="F99" s="32"/>
      <c r="G99" s="32"/>
      <c r="H99" s="37"/>
      <c r="I99" s="37"/>
      <c r="J99" s="37"/>
      <c r="K99" s="37"/>
      <c r="L99" s="37"/>
      <c r="M99" s="37"/>
      <c r="N99" s="37"/>
      <c r="O99" s="37"/>
      <c r="P99" s="37"/>
      <c r="Q99" s="37"/>
      <c r="R99" s="37"/>
      <c r="S99" s="37"/>
      <c r="T99" s="37"/>
      <c r="U99" s="37"/>
      <c r="V99" s="37"/>
      <c r="W99" s="37"/>
      <c r="X99" s="37"/>
      <c r="Y99" s="37"/>
      <c r="Z99" s="37"/>
      <c r="AA99" s="37"/>
      <c r="AB99" s="37"/>
      <c r="AC99" s="37"/>
      <c r="AD99" s="62"/>
      <c r="AE99" s="62"/>
      <c r="AF99" s="62"/>
      <c r="AG99" s="62"/>
      <c r="AH99" s="62"/>
      <c r="AI99" s="62"/>
      <c r="AK99" s="32"/>
      <c r="AL99" s="37"/>
      <c r="AM99" s="37"/>
      <c r="AN99" s="37"/>
      <c r="AO99" s="37"/>
      <c r="AP99" s="37"/>
      <c r="AQ99" s="37"/>
      <c r="AR99" s="37"/>
      <c r="AS99" s="37"/>
    </row>
    <row r="100" spans="2:45" s="1" customFormat="1" x14ac:dyDescent="0.2">
      <c r="B100" s="24" t="s">
        <v>430</v>
      </c>
      <c r="D100" s="32"/>
      <c r="E100" s="32"/>
      <c r="F100" s="32"/>
      <c r="G100" s="32"/>
      <c r="H100" s="208">
        <v>0</v>
      </c>
      <c r="I100" s="208">
        <v>0</v>
      </c>
      <c r="J100" s="37">
        <f>-I199</f>
        <v>-60.2</v>
      </c>
      <c r="K100" s="208">
        <v>0</v>
      </c>
      <c r="L100" s="208">
        <v>0</v>
      </c>
      <c r="M100" s="208">
        <v>0</v>
      </c>
      <c r="N100" s="208">
        <v>0</v>
      </c>
      <c r="O100" s="37">
        <f>-SUM(I200:I201)</f>
        <v>-49.4</v>
      </c>
      <c r="P100" s="37">
        <f>-I202</f>
        <v>-66.900000000000006</v>
      </c>
      <c r="Q100" s="208">
        <v>0</v>
      </c>
      <c r="R100" s="37">
        <f>-I203</f>
        <v>-14.3</v>
      </c>
      <c r="S100" s="208">
        <v>0</v>
      </c>
      <c r="T100" s="37">
        <f>-I204</f>
        <v>-106.9</v>
      </c>
      <c r="U100" s="37">
        <f>-I205</f>
        <v>-81.8</v>
      </c>
      <c r="V100" s="37">
        <f>-I206</f>
        <v>-125.9</v>
      </c>
      <c r="W100" s="208">
        <v>0</v>
      </c>
      <c r="X100" s="208">
        <v>0</v>
      </c>
      <c r="Y100" s="37">
        <f>-I207</f>
        <v>-45.2</v>
      </c>
      <c r="Z100" s="208">
        <v>0</v>
      </c>
      <c r="AA100" s="37">
        <f>-I208-I209</f>
        <v>-439.5</v>
      </c>
      <c r="AB100" s="208">
        <v>0</v>
      </c>
      <c r="AC100" s="37">
        <f>-I210-I211</f>
        <v>-325.02972972972975</v>
      </c>
      <c r="AD100" s="208">
        <v>0</v>
      </c>
      <c r="AE100" s="62">
        <f>-I212-50</f>
        <v>-180</v>
      </c>
      <c r="AF100" s="62">
        <v>0</v>
      </c>
      <c r="AG100" s="62">
        <v>0</v>
      </c>
      <c r="AH100" s="62">
        <v>0</v>
      </c>
      <c r="AI100" s="62">
        <v>0</v>
      </c>
      <c r="AK100" s="32"/>
      <c r="AL100" s="208" t="s">
        <v>289</v>
      </c>
      <c r="AM100" s="37">
        <f>+-I199</f>
        <v>-60.2</v>
      </c>
      <c r="AN100" s="37">
        <f>+-SUM(I200:I201)</f>
        <v>-49.4</v>
      </c>
      <c r="AO100" s="37">
        <f>+-SUM(I202:I203)</f>
        <v>-81.2</v>
      </c>
      <c r="AP100" s="37">
        <f>+-SUM(I204:I206)</f>
        <v>-314.60000000000002</v>
      </c>
      <c r="AQ100" s="37">
        <f>+-SUM(I207:I209)</f>
        <v>-484.70000000000005</v>
      </c>
      <c r="AR100" s="37">
        <f>+SUM(AB100:AE100)</f>
        <v>-505.02972972972975</v>
      </c>
      <c r="AS100" s="37">
        <f t="shared" ref="AS100:AS102" si="695">+SUM(AF100:AI100)</f>
        <v>0</v>
      </c>
    </row>
    <row r="101" spans="2:45" s="1" customFormat="1" ht="13.5" x14ac:dyDescent="0.35">
      <c r="B101" s="24" t="s">
        <v>188</v>
      </c>
      <c r="D101" s="32"/>
      <c r="E101" s="32"/>
      <c r="F101" s="32"/>
      <c r="G101" s="32"/>
      <c r="H101" s="217">
        <f>+H94</f>
        <v>-0.4</v>
      </c>
      <c r="I101" s="217">
        <f t="shared" ref="I101:AE101" si="696">+I94</f>
        <v>-0.29999999999999993</v>
      </c>
      <c r="J101" s="217">
        <f t="shared" si="696"/>
        <v>-2.4000000000000004</v>
      </c>
      <c r="K101" s="217">
        <f t="shared" si="696"/>
        <v>-0.19999999999999973</v>
      </c>
      <c r="L101" s="217">
        <f t="shared" si="696"/>
        <v>-0.4</v>
      </c>
      <c r="M101" s="217">
        <f t="shared" si="696"/>
        <v>0</v>
      </c>
      <c r="N101" s="217">
        <f t="shared" si="696"/>
        <v>-1.7000000000000002</v>
      </c>
      <c r="O101" s="217">
        <f t="shared" si="696"/>
        <v>-1.7999999999999998</v>
      </c>
      <c r="P101" s="217">
        <f t="shared" si="696"/>
        <v>-0.8</v>
      </c>
      <c r="Q101" s="217">
        <f t="shared" si="696"/>
        <v>-9.9999999999999978E-2</v>
      </c>
      <c r="R101" s="217">
        <f t="shared" si="696"/>
        <v>-3.5000000000000004</v>
      </c>
      <c r="S101" s="217">
        <f t="shared" si="696"/>
        <v>-6</v>
      </c>
      <c r="T101" s="217">
        <f t="shared" si="696"/>
        <v>-4.5999999999999996</v>
      </c>
      <c r="U101" s="217">
        <f t="shared" si="696"/>
        <v>-7.2000000000000011</v>
      </c>
      <c r="V101" s="217">
        <f t="shared" si="696"/>
        <v>-256.39999999999998</v>
      </c>
      <c r="W101" s="217">
        <f t="shared" si="696"/>
        <v>-7.3000000000000114</v>
      </c>
      <c r="X101" s="217">
        <f t="shared" si="696"/>
        <v>-2.1</v>
      </c>
      <c r="Y101" s="217">
        <f t="shared" si="696"/>
        <v>-6.6</v>
      </c>
      <c r="Z101" s="217">
        <f t="shared" si="696"/>
        <v>-0.80000000000000071</v>
      </c>
      <c r="AA101" s="217">
        <f t="shared" si="696"/>
        <v>0</v>
      </c>
      <c r="AB101" s="217">
        <f t="shared" si="696"/>
        <v>-0.9</v>
      </c>
      <c r="AC101" s="217">
        <f t="shared" si="696"/>
        <v>-0.4</v>
      </c>
      <c r="AD101" s="217">
        <f t="shared" si="696"/>
        <v>-2.2999999999999998</v>
      </c>
      <c r="AE101" s="217">
        <f t="shared" si="696"/>
        <v>0</v>
      </c>
      <c r="AF101" s="217">
        <f t="shared" ref="AF101:AI101" si="697">+AF94</f>
        <v>0</v>
      </c>
      <c r="AG101" s="217">
        <f t="shared" si="697"/>
        <v>0</v>
      </c>
      <c r="AH101" s="217">
        <f t="shared" si="697"/>
        <v>0</v>
      </c>
      <c r="AI101" s="217">
        <f t="shared" si="697"/>
        <v>0</v>
      </c>
      <c r="AK101" s="32"/>
      <c r="AL101" s="217">
        <f>+AL94</f>
        <v>-3.7</v>
      </c>
      <c r="AM101" s="217">
        <f t="shared" ref="AM101:AQ101" si="698">+AM94</f>
        <v>-3.3</v>
      </c>
      <c r="AN101" s="217">
        <f t="shared" si="698"/>
        <v>-3.9</v>
      </c>
      <c r="AO101" s="217">
        <f t="shared" si="698"/>
        <v>-10.4</v>
      </c>
      <c r="AP101" s="217">
        <f t="shared" si="698"/>
        <v>-275.5</v>
      </c>
      <c r="AQ101" s="217">
        <f t="shared" si="698"/>
        <v>-9.5</v>
      </c>
      <c r="AR101" s="217">
        <f t="shared" ref="AR101:AR102" si="699">+SUM(AB101:AE101)</f>
        <v>-3.5999999999999996</v>
      </c>
      <c r="AS101" s="217">
        <f t="shared" si="695"/>
        <v>0</v>
      </c>
    </row>
    <row r="102" spans="2:45" s="1" customFormat="1" x14ac:dyDescent="0.2">
      <c r="B102" s="28" t="s">
        <v>429</v>
      </c>
      <c r="D102" s="32"/>
      <c r="E102" s="32"/>
      <c r="F102" s="32"/>
      <c r="G102" s="32"/>
      <c r="H102" s="218">
        <f>+IFERROR(H100+H101,"n/a")</f>
        <v>-0.4</v>
      </c>
      <c r="I102" s="218">
        <f t="shared" ref="I102:AE102" si="700">+IFERROR(I100+I101,"n/a")</f>
        <v>-0.29999999999999993</v>
      </c>
      <c r="J102" s="218">
        <f t="shared" si="700"/>
        <v>-62.6</v>
      </c>
      <c r="K102" s="218">
        <f t="shared" si="700"/>
        <v>-0.19999999999999973</v>
      </c>
      <c r="L102" s="218">
        <f t="shared" si="700"/>
        <v>-0.4</v>
      </c>
      <c r="M102" s="218">
        <f t="shared" si="700"/>
        <v>0</v>
      </c>
      <c r="N102" s="218">
        <f t="shared" si="700"/>
        <v>-1.7000000000000002</v>
      </c>
      <c r="O102" s="218">
        <f t="shared" si="700"/>
        <v>-51.199999999999996</v>
      </c>
      <c r="P102" s="218">
        <f t="shared" si="700"/>
        <v>-67.7</v>
      </c>
      <c r="Q102" s="218">
        <f t="shared" si="700"/>
        <v>-9.9999999999999978E-2</v>
      </c>
      <c r="R102" s="218">
        <f t="shared" si="700"/>
        <v>-17.8</v>
      </c>
      <c r="S102" s="218">
        <f t="shared" si="700"/>
        <v>-6</v>
      </c>
      <c r="T102" s="218">
        <f t="shared" si="700"/>
        <v>-111.5</v>
      </c>
      <c r="U102" s="218">
        <f t="shared" si="700"/>
        <v>-89</v>
      </c>
      <c r="V102" s="218">
        <f t="shared" si="700"/>
        <v>-382.29999999999995</v>
      </c>
      <c r="W102" s="218">
        <f t="shared" si="700"/>
        <v>-7.3000000000000114</v>
      </c>
      <c r="X102" s="218">
        <f t="shared" si="700"/>
        <v>-2.1</v>
      </c>
      <c r="Y102" s="218">
        <f t="shared" si="700"/>
        <v>-51.800000000000004</v>
      </c>
      <c r="Z102" s="218">
        <f t="shared" si="700"/>
        <v>-0.80000000000000071</v>
      </c>
      <c r="AA102" s="218">
        <f t="shared" si="700"/>
        <v>-439.5</v>
      </c>
      <c r="AB102" s="218">
        <f t="shared" si="700"/>
        <v>-0.9</v>
      </c>
      <c r="AC102" s="218">
        <f t="shared" si="700"/>
        <v>-325.42972972972973</v>
      </c>
      <c r="AD102" s="218">
        <f t="shared" si="700"/>
        <v>-2.2999999999999998</v>
      </c>
      <c r="AE102" s="218">
        <f t="shared" si="700"/>
        <v>-180</v>
      </c>
      <c r="AF102" s="218">
        <f t="shared" ref="AF102" si="701">+IFERROR(AF100+AF101,"n/a")</f>
        <v>0</v>
      </c>
      <c r="AG102" s="218">
        <f t="shared" ref="AG102" si="702">+IFERROR(AG100+AG101,"n/a")</f>
        <v>0</v>
      </c>
      <c r="AH102" s="218">
        <f t="shared" ref="AH102" si="703">+IFERROR(AH100+AH101,"n/a")</f>
        <v>0</v>
      </c>
      <c r="AI102" s="218">
        <f t="shared" ref="AI102" si="704">+IFERROR(AI100+AI101,"n/a")</f>
        <v>0</v>
      </c>
      <c r="AK102" s="32"/>
      <c r="AL102" s="218" t="str">
        <f>+IFERROR(AL100+AL101,"n/a")</f>
        <v>n/a</v>
      </c>
      <c r="AM102" s="218">
        <f t="shared" ref="AM102:AQ102" si="705">+IFERROR(AM100+AM101,"n/a")</f>
        <v>-63.5</v>
      </c>
      <c r="AN102" s="218">
        <f t="shared" si="705"/>
        <v>-53.3</v>
      </c>
      <c r="AO102" s="218">
        <f t="shared" si="705"/>
        <v>-91.600000000000009</v>
      </c>
      <c r="AP102" s="218">
        <f t="shared" si="705"/>
        <v>-590.1</v>
      </c>
      <c r="AQ102" s="218">
        <f t="shared" si="705"/>
        <v>-494.20000000000005</v>
      </c>
      <c r="AR102" s="218">
        <f t="shared" si="699"/>
        <v>-508.62972972972972</v>
      </c>
      <c r="AS102" s="218">
        <f t="shared" si="695"/>
        <v>0</v>
      </c>
    </row>
    <row r="103" spans="2:45" x14ac:dyDescent="0.2">
      <c r="D103" s="19"/>
      <c r="E103" s="19"/>
      <c r="F103" s="19"/>
      <c r="G103" s="19"/>
      <c r="H103" s="19"/>
      <c r="I103" s="19"/>
      <c r="J103" s="19"/>
      <c r="K103" s="19"/>
      <c r="V103" s="20"/>
      <c r="AK103" s="19"/>
      <c r="AL103" s="19"/>
      <c r="AM103" s="19"/>
      <c r="AN103" s="19"/>
      <c r="AO103" s="19"/>
      <c r="AP103" s="19"/>
      <c r="AQ103" s="19"/>
      <c r="AR103" s="19"/>
      <c r="AS103" s="19"/>
    </row>
    <row r="104" spans="2:45" x14ac:dyDescent="0.2">
      <c r="B104" s="23" t="s">
        <v>178</v>
      </c>
      <c r="D104" s="19"/>
      <c r="E104" s="19"/>
      <c r="F104" s="19"/>
      <c r="G104" s="19"/>
      <c r="H104" s="19"/>
      <c r="I104" s="19"/>
      <c r="J104" s="19"/>
      <c r="K104" s="19"/>
      <c r="V104" s="13"/>
      <c r="AD104" s="13"/>
      <c r="AK104" s="19"/>
      <c r="AL104" s="19"/>
      <c r="AM104" s="19"/>
      <c r="AN104" s="19"/>
      <c r="AO104" s="19"/>
      <c r="AP104" s="19"/>
      <c r="AQ104" s="19"/>
      <c r="AR104" s="19"/>
      <c r="AS104" s="19"/>
    </row>
    <row r="105" spans="2:45" x14ac:dyDescent="0.2">
      <c r="B105" t="s">
        <v>180</v>
      </c>
      <c r="D105" s="14">
        <v>534.72545200000002</v>
      </c>
      <c r="E105" s="14">
        <v>539.305519</v>
      </c>
      <c r="F105" s="14">
        <v>545.94660800000008</v>
      </c>
      <c r="G105" s="14">
        <v>553.5</v>
      </c>
      <c r="H105" s="14">
        <v>553.220279</v>
      </c>
      <c r="I105" s="14">
        <v>552.565966</v>
      </c>
      <c r="J105" s="14">
        <v>620.93488500000001</v>
      </c>
      <c r="K105" s="14">
        <v>640.4</v>
      </c>
      <c r="L105" s="17">
        <f t="shared" ref="L105:AD105" si="706">+L564+L574</f>
        <v>708.6</v>
      </c>
      <c r="M105" s="17">
        <f t="shared" si="706"/>
        <v>440</v>
      </c>
      <c r="N105" s="17">
        <f t="shared" si="706"/>
        <v>439.5</v>
      </c>
      <c r="O105" s="17">
        <f t="shared" si="706"/>
        <v>1006.3</v>
      </c>
      <c r="P105" s="17">
        <f t="shared" si="706"/>
        <v>1116.4000000000001</v>
      </c>
      <c r="Q105" s="17">
        <f t="shared" si="706"/>
        <v>1117.5999999999999</v>
      </c>
      <c r="R105" s="17">
        <f t="shared" si="706"/>
        <v>1736.8</v>
      </c>
      <c r="S105" s="17">
        <f t="shared" si="706"/>
        <v>1738.5</v>
      </c>
      <c r="T105" s="17">
        <f t="shared" si="706"/>
        <v>1735.9</v>
      </c>
      <c r="U105" s="17">
        <f t="shared" si="706"/>
        <v>1737.8</v>
      </c>
      <c r="V105" s="17">
        <f t="shared" si="706"/>
        <v>1739.8</v>
      </c>
      <c r="W105" s="17">
        <f t="shared" si="706"/>
        <v>1741.9</v>
      </c>
      <c r="X105" s="17">
        <f t="shared" si="706"/>
        <v>1744</v>
      </c>
      <c r="Y105" s="17">
        <f t="shared" si="706"/>
        <v>1746</v>
      </c>
      <c r="Z105" s="17">
        <f t="shared" si="706"/>
        <v>1748.1</v>
      </c>
      <c r="AA105" s="17">
        <f t="shared" si="706"/>
        <v>1750.2</v>
      </c>
      <c r="AB105" s="17">
        <f t="shared" si="706"/>
        <v>1752.3</v>
      </c>
      <c r="AC105" s="17">
        <f t="shared" si="706"/>
        <v>1754.3</v>
      </c>
      <c r="AD105" s="17">
        <f t="shared" si="706"/>
        <v>2838</v>
      </c>
      <c r="AE105" s="13">
        <f t="shared" ref="AE105:AI105" si="707">+AE611</f>
        <v>2840.5</v>
      </c>
      <c r="AF105" s="13">
        <f t="shared" si="707"/>
        <v>2843</v>
      </c>
      <c r="AG105" s="13">
        <f t="shared" si="707"/>
        <v>2845.5</v>
      </c>
      <c r="AH105" s="13">
        <f t="shared" si="707"/>
        <v>2848</v>
      </c>
      <c r="AI105" s="13">
        <f t="shared" si="707"/>
        <v>2160.5</v>
      </c>
      <c r="AK105" s="17">
        <f>+G105</f>
        <v>553.5</v>
      </c>
      <c r="AL105" s="17">
        <f>+AK105</f>
        <v>553.5</v>
      </c>
      <c r="AM105" s="17">
        <f>+K105</f>
        <v>640.4</v>
      </c>
      <c r="AN105" s="17">
        <f>+O105</f>
        <v>1006.3</v>
      </c>
      <c r="AO105" s="17">
        <f>+S105</f>
        <v>1738.5</v>
      </c>
      <c r="AP105" s="17">
        <f>+W105</f>
        <v>1741.9</v>
      </c>
      <c r="AQ105" s="17">
        <f>+AA105</f>
        <v>1750.2</v>
      </c>
      <c r="AR105" s="17">
        <f>+AE105</f>
        <v>2840.5</v>
      </c>
      <c r="AS105" s="17">
        <f>+AI105</f>
        <v>2160.5</v>
      </c>
    </row>
    <row r="106" spans="2:45" ht="13.5" x14ac:dyDescent="0.35">
      <c r="B106" t="s">
        <v>181</v>
      </c>
      <c r="D106" s="15">
        <v>4.6219270000000003</v>
      </c>
      <c r="E106" s="15">
        <v>1.752937</v>
      </c>
      <c r="F106" s="15">
        <v>12.357523</v>
      </c>
      <c r="G106" s="15">
        <v>4.8</v>
      </c>
      <c r="H106" s="15">
        <v>5.8966639999999995</v>
      </c>
      <c r="I106" s="15">
        <v>5.2355829999999992</v>
      </c>
      <c r="J106" s="15">
        <v>11.715011999999998</v>
      </c>
      <c r="K106" s="15">
        <v>3.7</v>
      </c>
      <c r="L106" s="18">
        <f>+L537</f>
        <v>70.2</v>
      </c>
      <c r="M106" s="18">
        <f>+M537</f>
        <v>244</v>
      </c>
      <c r="N106" s="18">
        <f t="shared" ref="N106:W106" si="708">+N537</f>
        <v>328.9</v>
      </c>
      <c r="O106" s="18">
        <f t="shared" si="708"/>
        <v>927.8</v>
      </c>
      <c r="P106" s="18">
        <f t="shared" si="708"/>
        <v>844.9</v>
      </c>
      <c r="Q106" s="18">
        <f t="shared" si="708"/>
        <v>699.7</v>
      </c>
      <c r="R106" s="18">
        <f t="shared" si="708"/>
        <v>1288.0999999999999</v>
      </c>
      <c r="S106" s="18">
        <f t="shared" si="708"/>
        <v>1231.5</v>
      </c>
      <c r="T106" s="18">
        <f t="shared" si="708"/>
        <v>1189</v>
      </c>
      <c r="U106" s="18">
        <f t="shared" si="708"/>
        <v>1018.2</v>
      </c>
      <c r="V106" s="18">
        <f t="shared" si="708"/>
        <v>672.7</v>
      </c>
      <c r="W106" s="18">
        <f t="shared" si="708"/>
        <v>776.5</v>
      </c>
      <c r="X106" s="18">
        <f>+X538</f>
        <v>743.9</v>
      </c>
      <c r="Y106" s="18">
        <f t="shared" ref="Y106:AC106" si="709">+Y538</f>
        <v>649</v>
      </c>
      <c r="Z106" s="18">
        <f t="shared" si="709"/>
        <v>692.3</v>
      </c>
      <c r="AA106" s="18">
        <f t="shared" si="709"/>
        <v>455</v>
      </c>
      <c r="AB106" s="18">
        <f t="shared" si="709"/>
        <v>522.9</v>
      </c>
      <c r="AC106" s="18">
        <f t="shared" si="709"/>
        <v>205</v>
      </c>
      <c r="AD106" s="18">
        <f t="shared" ref="AD106" si="710">+AD538</f>
        <v>1426.4</v>
      </c>
      <c r="AE106" s="16">
        <f t="shared" ref="AE106:AI106" ca="1" si="711">+AE105-AE107</f>
        <v>1340.7101758971728</v>
      </c>
      <c r="AF106" s="16">
        <f t="shared" ca="1" si="711"/>
        <v>1414.6044897094589</v>
      </c>
      <c r="AG106" s="16">
        <f t="shared" ca="1" si="711"/>
        <v>1522.7714916920036</v>
      </c>
      <c r="AH106" s="16">
        <f t="shared" ca="1" si="711"/>
        <v>1632.8090951098709</v>
      </c>
      <c r="AI106" s="16">
        <f t="shared" ca="1" si="711"/>
        <v>1057.7419122387439</v>
      </c>
      <c r="AK106" s="18">
        <f t="shared" ref="AK106:AK107" si="712">+G106</f>
        <v>4.8</v>
      </c>
      <c r="AL106" s="18">
        <f t="shared" ref="AL106:AL107" si="713">+AK106</f>
        <v>4.8</v>
      </c>
      <c r="AM106" s="18">
        <f t="shared" ref="AM106:AM107" si="714">+K106</f>
        <v>3.7</v>
      </c>
      <c r="AN106" s="18">
        <f t="shared" ref="AN106:AN107" si="715">+O106</f>
        <v>927.8</v>
      </c>
      <c r="AO106" s="18">
        <f t="shared" ref="AO106:AO107" si="716">+S106</f>
        <v>1231.5</v>
      </c>
      <c r="AP106" s="18">
        <f t="shared" ref="AP106:AP107" si="717">+W106</f>
        <v>776.5</v>
      </c>
      <c r="AQ106" s="18">
        <f t="shared" ref="AQ106:AQ107" si="718">+AA106</f>
        <v>455</v>
      </c>
      <c r="AR106" s="18">
        <f t="shared" ref="AR106:AR107" ca="1" si="719">+AE106</f>
        <v>1340.7101758971728</v>
      </c>
      <c r="AS106" s="18">
        <f t="shared" ref="AS106:AS107" ca="1" si="720">+AI106</f>
        <v>1057.7419122387439</v>
      </c>
    </row>
    <row r="107" spans="2:45" x14ac:dyDescent="0.2">
      <c r="B107" s="11" t="s">
        <v>179</v>
      </c>
      <c r="D107" s="29">
        <f>+D105-D106</f>
        <v>530.10352499999999</v>
      </c>
      <c r="E107" s="29">
        <f t="shared" ref="E107:U107" si="721">+E105-E106</f>
        <v>537.55258200000003</v>
      </c>
      <c r="F107" s="29">
        <f t="shared" si="721"/>
        <v>533.58908500000007</v>
      </c>
      <c r="G107" s="29">
        <f t="shared" si="721"/>
        <v>548.70000000000005</v>
      </c>
      <c r="H107" s="29">
        <f t="shared" si="721"/>
        <v>547.32361500000002</v>
      </c>
      <c r="I107" s="29">
        <f t="shared" si="721"/>
        <v>547.33038299999998</v>
      </c>
      <c r="J107" s="29">
        <f t="shared" si="721"/>
        <v>609.21987300000001</v>
      </c>
      <c r="K107" s="29">
        <f t="shared" si="721"/>
        <v>636.69999999999993</v>
      </c>
      <c r="L107" s="29">
        <f t="shared" si="721"/>
        <v>638.4</v>
      </c>
      <c r="M107" s="29">
        <f t="shared" si="721"/>
        <v>196</v>
      </c>
      <c r="N107" s="29">
        <f t="shared" si="721"/>
        <v>110.60000000000002</v>
      </c>
      <c r="O107" s="29">
        <f t="shared" si="721"/>
        <v>78.5</v>
      </c>
      <c r="P107" s="29">
        <f t="shared" si="721"/>
        <v>271.50000000000011</v>
      </c>
      <c r="Q107" s="29">
        <f t="shared" si="721"/>
        <v>417.89999999999986</v>
      </c>
      <c r="R107" s="29">
        <f t="shared" si="721"/>
        <v>448.70000000000005</v>
      </c>
      <c r="S107" s="29">
        <f t="shared" si="721"/>
        <v>507</v>
      </c>
      <c r="T107" s="29">
        <f t="shared" si="721"/>
        <v>546.90000000000009</v>
      </c>
      <c r="U107" s="29">
        <f t="shared" si="721"/>
        <v>719.59999999999991</v>
      </c>
      <c r="V107" s="29">
        <f t="shared" ref="V107:W107" si="722">+V105-V106</f>
        <v>1067.0999999999999</v>
      </c>
      <c r="W107" s="29">
        <f t="shared" si="722"/>
        <v>965.40000000000009</v>
      </c>
      <c r="X107" s="29">
        <f t="shared" ref="X107:Y107" si="723">+X105-X106</f>
        <v>1000.1</v>
      </c>
      <c r="Y107" s="29">
        <f t="shared" si="723"/>
        <v>1097</v>
      </c>
      <c r="Z107" s="29">
        <f t="shared" ref="Z107:AB107" si="724">+Z105-Z106</f>
        <v>1055.8</v>
      </c>
      <c r="AA107" s="29">
        <f t="shared" si="724"/>
        <v>1295.2</v>
      </c>
      <c r="AB107" s="29">
        <f t="shared" si="724"/>
        <v>1229.4000000000001</v>
      </c>
      <c r="AC107" s="29">
        <f t="shared" ref="AC107:AD107" si="725">+AC105-AC106</f>
        <v>1549.3</v>
      </c>
      <c r="AD107" s="29">
        <f t="shared" si="725"/>
        <v>1411.6</v>
      </c>
      <c r="AE107" s="29">
        <f ca="1">+AD107-AE84-SUM(AE93:AE97)</f>
        <v>1499.7898241028272</v>
      </c>
      <c r="AF107" s="29">
        <f t="shared" ref="AF107:AI107" ca="1" si="726">+AE107-AF84-SUM(AF93:AF97)</f>
        <v>1428.3955102905411</v>
      </c>
      <c r="AG107" s="29">
        <f t="shared" ca="1" si="726"/>
        <v>1322.7285083079964</v>
      </c>
      <c r="AH107" s="29">
        <f t="shared" ca="1" si="726"/>
        <v>1215.1909048901291</v>
      </c>
      <c r="AI107" s="29">
        <f t="shared" ca="1" si="726"/>
        <v>1102.7580877612561</v>
      </c>
      <c r="AK107" s="46">
        <f t="shared" si="712"/>
        <v>548.70000000000005</v>
      </c>
      <c r="AL107" s="46">
        <f t="shared" si="713"/>
        <v>548.70000000000005</v>
      </c>
      <c r="AM107" s="46">
        <f t="shared" si="714"/>
        <v>636.69999999999993</v>
      </c>
      <c r="AN107" s="46">
        <f t="shared" si="715"/>
        <v>78.5</v>
      </c>
      <c r="AO107" s="46">
        <f t="shared" si="716"/>
        <v>507</v>
      </c>
      <c r="AP107" s="46">
        <f t="shared" si="717"/>
        <v>965.40000000000009</v>
      </c>
      <c r="AQ107" s="46">
        <f t="shared" si="718"/>
        <v>1295.2</v>
      </c>
      <c r="AR107" s="46">
        <f t="shared" ca="1" si="719"/>
        <v>1499.7898241028272</v>
      </c>
      <c r="AS107" s="46">
        <f t="shared" ca="1" si="720"/>
        <v>1102.7580877612561</v>
      </c>
    </row>
    <row r="108" spans="2:45" x14ac:dyDescent="0.2">
      <c r="B108" s="51" t="s">
        <v>182</v>
      </c>
      <c r="D108" s="19"/>
      <c r="E108" s="19"/>
      <c r="F108" s="19"/>
      <c r="G108" s="53">
        <f t="shared" ref="G108:Y108" si="727">+G107/SUM(D38:G38)</f>
        <v>6.1034482758620694</v>
      </c>
      <c r="H108" s="53">
        <f t="shared" si="727"/>
        <v>6.1000124268598501</v>
      </c>
      <c r="I108" s="53">
        <f t="shared" si="727"/>
        <v>5.9524783360522058</v>
      </c>
      <c r="J108" s="53">
        <f t="shared" si="727"/>
        <v>6.4145288023164015</v>
      </c>
      <c r="K108" s="53">
        <f t="shared" si="727"/>
        <v>7.0902004454343022</v>
      </c>
      <c r="L108" s="53">
        <f t="shared" si="727"/>
        <v>7.346375143843499</v>
      </c>
      <c r="M108" s="53">
        <f t="shared" si="727"/>
        <v>2.5257731958762881</v>
      </c>
      <c r="N108" s="53">
        <f t="shared" si="727"/>
        <v>1.3537331701346391</v>
      </c>
      <c r="O108" s="53">
        <f t="shared" si="727"/>
        <v>0.89509692132269114</v>
      </c>
      <c r="P108" s="53">
        <f t="shared" si="727"/>
        <v>2.9319654427645809</v>
      </c>
      <c r="Q108" s="53">
        <f t="shared" si="727"/>
        <v>3.3975609756097551</v>
      </c>
      <c r="R108" s="53">
        <f t="shared" si="727"/>
        <v>2.9893404397068624</v>
      </c>
      <c r="S108" s="53">
        <f t="shared" si="727"/>
        <v>3.0286738351254474</v>
      </c>
      <c r="T108" s="53">
        <f t="shared" si="727"/>
        <v>2.8936507936507931</v>
      </c>
      <c r="U108" s="53">
        <f t="shared" si="727"/>
        <v>3.4364851957975167</v>
      </c>
      <c r="V108" s="53">
        <f t="shared" si="727"/>
        <v>4.464853556485358</v>
      </c>
      <c r="W108" s="53">
        <f t="shared" si="727"/>
        <v>3.3358673116793391</v>
      </c>
      <c r="X108" s="53">
        <f t="shared" si="727"/>
        <v>2.9880489991036772</v>
      </c>
      <c r="Y108" s="53">
        <f t="shared" si="727"/>
        <v>2.8936955948298611</v>
      </c>
      <c r="Z108" s="53">
        <f t="shared" ref="Z108" si="728">+Z107/SUM(W38:Z38)</f>
        <v>2.5246293639406989</v>
      </c>
      <c r="AA108" s="53">
        <f t="shared" ref="AA108" si="729">+AA107/SUM(X38:AA38)</f>
        <v>2.8162644053055019</v>
      </c>
      <c r="AB108" s="53">
        <f t="shared" ref="AB108:AD108" si="730">+AB107/SUM(Y38:AB38)</f>
        <v>2.4972577696526512</v>
      </c>
      <c r="AC108" s="53">
        <f t="shared" si="730"/>
        <v>2.8443179731962558</v>
      </c>
      <c r="AD108" s="53">
        <f t="shared" si="730"/>
        <v>2.3232389730085585</v>
      </c>
      <c r="AE108" s="53">
        <f t="shared" ref="AE108" ca="1" si="731">+AE107/SUM(AB38:AE38)</f>
        <v>2.2192692439062065</v>
      </c>
      <c r="AF108" s="53">
        <f t="shared" ref="AF108" ca="1" si="732">+AF107/SUM(AC38:AF38)</f>
        <v>1.9396604254172627</v>
      </c>
      <c r="AG108" s="53">
        <f t="shared" ref="AG108" ca="1" si="733">+AG107/SUM(AD38:AG38)</f>
        <v>1.6485534862296261</v>
      </c>
      <c r="AH108" s="53">
        <f t="shared" ref="AH108" ca="1" si="734">+AH107/SUM(AE38:AH38)</f>
        <v>1.4382004400015087</v>
      </c>
      <c r="AI108" s="53">
        <f t="shared" ref="AI108" ca="1" si="735">+AI107/SUM(AF38:AI38)</f>
        <v>1.2474559097868032</v>
      </c>
      <c r="AK108" s="53">
        <f t="shared" ref="AK108:AS108" si="736">+AK107/AK38</f>
        <v>6.1034482758620694</v>
      </c>
      <c r="AL108" s="53">
        <f t="shared" si="736"/>
        <v>6.1034482758620712</v>
      </c>
      <c r="AM108" s="53">
        <f t="shared" si="736"/>
        <v>7.0902004454343022</v>
      </c>
      <c r="AN108" s="53">
        <f t="shared" si="736"/>
        <v>0.89509692132269114</v>
      </c>
      <c r="AO108" s="53">
        <f t="shared" si="736"/>
        <v>3.0286738351254474</v>
      </c>
      <c r="AP108" s="53">
        <f t="shared" si="736"/>
        <v>3.3358673116793391</v>
      </c>
      <c r="AQ108" s="53">
        <f t="shared" si="736"/>
        <v>2.8162644053055019</v>
      </c>
      <c r="AR108" s="53">
        <f t="shared" ca="1" si="736"/>
        <v>2.2192692439062065</v>
      </c>
      <c r="AS108" s="53">
        <f t="shared" ca="1" si="736"/>
        <v>1.2474559097868032</v>
      </c>
    </row>
    <row r="109" spans="2:45" x14ac:dyDescent="0.2">
      <c r="B109" s="51" t="s">
        <v>186</v>
      </c>
      <c r="D109" s="19"/>
      <c r="E109" s="19"/>
      <c r="F109" s="19"/>
      <c r="G109" s="53"/>
      <c r="H109" s="35">
        <f t="shared" ref="H109:Y109" si="737">+-H52*4/AVERAGE(G105:H105)</f>
        <v>9.035706844583806E-2</v>
      </c>
      <c r="I109" s="35">
        <f t="shared" si="737"/>
        <v>9.1880325387842021E-2</v>
      </c>
      <c r="J109" s="35">
        <f t="shared" si="737"/>
        <v>8.7941989911688612E-2</v>
      </c>
      <c r="K109" s="35">
        <f t="shared" si="737"/>
        <v>8.4989324623333487E-2</v>
      </c>
      <c r="L109" s="35">
        <f t="shared" si="737"/>
        <v>7.8873239436619724E-2</v>
      </c>
      <c r="M109" s="35">
        <f t="shared" si="737"/>
        <v>8.1490510186313772E-2</v>
      </c>
      <c r="N109" s="35">
        <f t="shared" si="737"/>
        <v>6.4582148948266055E-2</v>
      </c>
      <c r="O109" s="35">
        <f t="shared" si="737"/>
        <v>4.481947710610043E-2</v>
      </c>
      <c r="P109" s="35">
        <f t="shared" si="737"/>
        <v>2.4497102746502099E-2</v>
      </c>
      <c r="Q109" s="35">
        <f t="shared" si="737"/>
        <v>2.2560429722470902E-2</v>
      </c>
      <c r="R109" s="35">
        <f t="shared" si="737"/>
        <v>2.073991031390135E-2</v>
      </c>
      <c r="S109" s="35">
        <f t="shared" si="737"/>
        <v>1.7955284435876039E-2</v>
      </c>
      <c r="T109" s="35">
        <f t="shared" si="737"/>
        <v>1.819019111213447E-2</v>
      </c>
      <c r="U109" s="35">
        <f t="shared" si="737"/>
        <v>1.6121138843308288E-2</v>
      </c>
      <c r="V109" s="35">
        <f t="shared" si="737"/>
        <v>1.104209799861974E-2</v>
      </c>
      <c r="W109" s="35">
        <f t="shared" si="737"/>
        <v>4.5954562426400898E-3</v>
      </c>
      <c r="X109" s="35">
        <f t="shared" si="737"/>
        <v>1.1474798473851803E-3</v>
      </c>
      <c r="Y109" s="35">
        <f t="shared" si="737"/>
        <v>-1.8338108882521506E-3</v>
      </c>
      <c r="Z109" s="35">
        <f t="shared" ref="Z109" si="738">+-Z52*4/AVERAGE(Y105:Z105)</f>
        <v>-3.6633181649065559E-3</v>
      </c>
      <c r="AA109" s="35">
        <f t="shared" ref="AA109" si="739">+-AA52*4/AVERAGE(Z105:AA105)</f>
        <v>4.8023325615298889E-3</v>
      </c>
      <c r="AB109" s="35">
        <f t="shared" ref="AB109:AD109" si="740">+-AB52*4/AVERAGE(AA105:AB105)</f>
        <v>6.1670235546038531E-3</v>
      </c>
      <c r="AC109" s="35">
        <f t="shared" si="740"/>
        <v>7.0723778018593501E-3</v>
      </c>
      <c r="AD109" s="35">
        <f t="shared" si="740"/>
        <v>1.4981599634170244E-2</v>
      </c>
      <c r="AE109" s="35">
        <f t="shared" ref="AE109" ca="1" si="741">+-AE52*4/AVERAGE(AD105:AE105)</f>
        <v>1.8625621724771169E-2</v>
      </c>
      <c r="AF109" s="35">
        <f t="shared" ref="AF109" ca="1" si="742">+-AF52*4/AVERAGE(AE105:AF105)</f>
        <v>1.8692251847582424E-2</v>
      </c>
      <c r="AG109" s="35">
        <f t="shared" ref="AG109" ca="1" si="743">+-AG52*4/AVERAGE(AF105:AG105)</f>
        <v>1.7395615846697986E-2</v>
      </c>
      <c r="AH109" s="35">
        <f t="shared" ref="AH109" ca="1" si="744">+-AH52*4/AVERAGE(AG105:AH105)</f>
        <v>1.5847330557289017E-2</v>
      </c>
      <c r="AI109" s="35">
        <f t="shared" ref="AI109" ca="1" si="745">+-AI52*4/AVERAGE(AH105:AI105)</f>
        <v>2.1728653230718858E-2</v>
      </c>
      <c r="AK109" s="53"/>
      <c r="AL109" s="53"/>
      <c r="AM109" s="35">
        <f t="shared" ref="AM109:AS109" si="746">+-AM52/AVERAGE(AL105:AM105)</f>
        <v>8.6271882067174802E-2</v>
      </c>
      <c r="AN109" s="35">
        <f t="shared" si="746"/>
        <v>4.8824922572417571E-2</v>
      </c>
      <c r="AO109" s="35">
        <f t="shared" si="746"/>
        <v>2.0402215097639172E-2</v>
      </c>
      <c r="AP109" s="35">
        <f t="shared" si="746"/>
        <v>1.2469831053901849E-2</v>
      </c>
      <c r="AQ109" s="35">
        <f t="shared" si="746"/>
        <v>1.1454425703731441E-4</v>
      </c>
      <c r="AR109" s="35">
        <f t="shared" ca="1" si="746"/>
        <v>1.2033327867433784E-2</v>
      </c>
      <c r="AS109" s="35">
        <f t="shared" ca="1" si="746"/>
        <v>2.0208313854911848E-2</v>
      </c>
    </row>
    <row r="110" spans="2:45" x14ac:dyDescent="0.2">
      <c r="B110" s="51"/>
      <c r="D110" s="19"/>
      <c r="E110" s="19"/>
      <c r="F110" s="19"/>
      <c r="G110" s="53"/>
      <c r="H110" s="35"/>
      <c r="I110" s="35"/>
      <c r="J110" s="35"/>
      <c r="K110" s="35"/>
      <c r="L110" s="35"/>
      <c r="M110" s="35"/>
      <c r="N110" s="35"/>
      <c r="O110" s="35"/>
      <c r="P110" s="35"/>
      <c r="Q110" s="35"/>
      <c r="R110" s="35"/>
      <c r="S110" s="35"/>
      <c r="T110" s="35"/>
      <c r="U110" s="35"/>
      <c r="V110" s="35"/>
      <c r="W110" s="59"/>
      <c r="X110" s="59"/>
      <c r="Y110" s="59"/>
      <c r="Z110" s="59"/>
      <c r="AA110" s="59"/>
      <c r="AB110" s="59"/>
      <c r="AC110" s="59"/>
      <c r="AD110" s="59"/>
      <c r="AE110" s="59"/>
      <c r="AF110" s="59"/>
      <c r="AG110" s="59"/>
      <c r="AH110" s="59"/>
      <c r="AI110" s="59"/>
      <c r="AK110" s="53"/>
      <c r="AL110" s="53"/>
      <c r="AM110" s="35"/>
      <c r="AN110" s="35"/>
      <c r="AO110" s="35"/>
      <c r="AP110" s="35"/>
      <c r="AQ110" s="35"/>
      <c r="AR110" s="35"/>
      <c r="AS110" s="35"/>
    </row>
    <row r="111" spans="2:45" x14ac:dyDescent="0.2">
      <c r="B111" s="63" t="s">
        <v>192</v>
      </c>
      <c r="D111" s="19"/>
      <c r="E111" s="19"/>
      <c r="F111" s="19"/>
      <c r="G111" s="53"/>
      <c r="H111" s="208" t="s">
        <v>289</v>
      </c>
      <c r="I111" s="208" t="s">
        <v>289</v>
      </c>
      <c r="J111" s="208" t="s">
        <v>289</v>
      </c>
      <c r="K111" s="208" t="s">
        <v>289</v>
      </c>
      <c r="L111" s="208" t="s">
        <v>289</v>
      </c>
      <c r="M111" s="208" t="s">
        <v>289</v>
      </c>
      <c r="N111" s="208" t="s">
        <v>289</v>
      </c>
      <c r="O111" s="208" t="s">
        <v>289</v>
      </c>
      <c r="P111" s="208" t="s">
        <v>289</v>
      </c>
      <c r="Q111" s="208" t="s">
        <v>289</v>
      </c>
      <c r="R111" s="208" t="s">
        <v>289</v>
      </c>
      <c r="S111" s="208" t="s">
        <v>289</v>
      </c>
      <c r="T111" s="208" t="s">
        <v>289</v>
      </c>
      <c r="U111" s="208" t="s">
        <v>289</v>
      </c>
      <c r="V111" s="45">
        <f>45.2+7.6</f>
        <v>52.800000000000004</v>
      </c>
      <c r="W111" s="45">
        <v>55.2</v>
      </c>
      <c r="X111" s="45">
        <v>52.1</v>
      </c>
      <c r="Y111" s="45">
        <v>57.7</v>
      </c>
      <c r="Z111" s="45">
        <v>54.9</v>
      </c>
      <c r="AA111" s="45">
        <v>33.6</v>
      </c>
      <c r="AB111" s="45">
        <v>35.6</v>
      </c>
      <c r="AC111" s="45">
        <v>50.3</v>
      </c>
      <c r="AD111" s="45">
        <v>54.2</v>
      </c>
      <c r="AE111" s="62">
        <v>0</v>
      </c>
      <c r="AF111" s="62">
        <f t="shared" ref="AF111" si="747">+AE111</f>
        <v>0</v>
      </c>
      <c r="AG111" s="62">
        <f t="shared" ref="AG111" si="748">+AF111</f>
        <v>0</v>
      </c>
      <c r="AH111" s="62">
        <f t="shared" ref="AH111" si="749">+AG111</f>
        <v>0</v>
      </c>
      <c r="AI111" s="62">
        <f t="shared" ref="AI111" si="750">+AH111</f>
        <v>0</v>
      </c>
      <c r="AK111" s="53"/>
      <c r="AL111" s="208" t="s">
        <v>289</v>
      </c>
      <c r="AM111" s="156" t="str">
        <f t="shared" ref="AM111" si="751">+K111</f>
        <v>n/a</v>
      </c>
      <c r="AN111" s="156" t="str">
        <f t="shared" ref="AN111" si="752">+O111</f>
        <v>n/a</v>
      </c>
      <c r="AO111" s="156" t="str">
        <f t="shared" ref="AO111" si="753">+S111</f>
        <v>n/a</v>
      </c>
      <c r="AP111" s="64">
        <f>+W111</f>
        <v>55.2</v>
      </c>
      <c r="AQ111" s="64">
        <f>+AA111</f>
        <v>33.6</v>
      </c>
      <c r="AR111" s="64">
        <f>+AE111</f>
        <v>0</v>
      </c>
      <c r="AS111" s="64"/>
    </row>
    <row r="112" spans="2:45" x14ac:dyDescent="0.2">
      <c r="D112" s="19"/>
      <c r="E112" s="19"/>
      <c r="F112" s="19"/>
      <c r="G112" s="19"/>
      <c r="H112" s="19"/>
      <c r="I112" s="19"/>
      <c r="J112" s="19"/>
      <c r="K112" s="19"/>
      <c r="AK112" s="19"/>
      <c r="AL112" s="19"/>
      <c r="AM112" s="19"/>
      <c r="AN112" s="19"/>
      <c r="AO112" s="19"/>
      <c r="AP112" s="19"/>
      <c r="AQ112" s="19"/>
      <c r="AR112" s="19"/>
      <c r="AS112" s="19"/>
    </row>
    <row r="113" spans="2:53" s="2" customFormat="1" x14ac:dyDescent="0.2">
      <c r="B113" s="2" t="s">
        <v>148</v>
      </c>
      <c r="D113" s="48"/>
      <c r="E113" s="48"/>
      <c r="F113" s="48"/>
      <c r="G113" s="48"/>
      <c r="H113" s="48"/>
      <c r="I113" s="48"/>
      <c r="J113" s="48"/>
      <c r="K113" s="48"/>
      <c r="AK113" s="48"/>
      <c r="AL113" s="48"/>
      <c r="AM113" s="48"/>
      <c r="AN113" s="48"/>
      <c r="AO113" s="48"/>
      <c r="AP113" s="48"/>
      <c r="AQ113" s="48"/>
      <c r="AR113" s="48"/>
      <c r="AS113" s="48"/>
    </row>
    <row r="114" spans="2:53" x14ac:dyDescent="0.2">
      <c r="B114" s="47" t="s">
        <v>185</v>
      </c>
      <c r="D114" s="19"/>
      <c r="E114" s="19"/>
      <c r="F114" s="19"/>
      <c r="G114" s="19"/>
      <c r="H114" s="19"/>
      <c r="I114" s="19"/>
      <c r="J114" s="19"/>
      <c r="K114" s="19"/>
      <c r="AK114" s="19"/>
      <c r="AL114" s="19"/>
      <c r="AM114" s="19"/>
      <c r="AN114" s="19"/>
      <c r="AO114" s="19"/>
      <c r="AP114" s="19"/>
      <c r="AQ114" s="19"/>
      <c r="AR114" s="19"/>
      <c r="AS114" s="19"/>
    </row>
    <row r="115" spans="2:53" x14ac:dyDescent="0.2">
      <c r="D115" s="19"/>
      <c r="E115" s="19"/>
      <c r="F115" s="19"/>
      <c r="G115" s="19"/>
      <c r="H115" s="19"/>
      <c r="I115" s="19"/>
      <c r="J115" s="19"/>
      <c r="K115" s="19"/>
      <c r="AK115" s="19"/>
      <c r="AL115" s="19"/>
      <c r="AM115" s="19"/>
      <c r="AN115" s="19"/>
      <c r="AO115" s="19"/>
      <c r="AP115" s="19"/>
      <c r="AQ115" s="19"/>
      <c r="AR115" s="19"/>
      <c r="AS115" s="19"/>
    </row>
    <row r="116" spans="2:53" x14ac:dyDescent="0.2">
      <c r="B116" s="10" t="s">
        <v>147</v>
      </c>
      <c r="C116" s="9"/>
      <c r="D116" s="19"/>
      <c r="E116" s="19"/>
      <c r="F116" s="19"/>
      <c r="G116" s="19"/>
      <c r="H116" s="19"/>
      <c r="I116" s="19"/>
      <c r="J116" s="19"/>
      <c r="K116" s="19"/>
      <c r="AK116" s="19"/>
      <c r="AL116" s="19"/>
      <c r="AM116" s="19"/>
      <c r="AN116" s="19"/>
      <c r="AO116" s="19"/>
      <c r="AP116" s="19"/>
      <c r="AQ116" s="19"/>
      <c r="AR116" s="19"/>
      <c r="AS116" s="19"/>
    </row>
    <row r="117" spans="2:53" x14ac:dyDescent="0.2">
      <c r="D117" s="19"/>
      <c r="E117" s="19"/>
      <c r="F117" s="19"/>
      <c r="G117" s="19"/>
      <c r="H117" s="19"/>
      <c r="I117" s="19"/>
      <c r="J117" s="19"/>
      <c r="K117" s="19"/>
      <c r="AE117" s="20"/>
      <c r="AF117" s="20"/>
      <c r="AG117" s="20"/>
      <c r="AH117" s="20"/>
      <c r="AI117" s="20"/>
      <c r="AK117" s="19"/>
      <c r="AL117" s="19"/>
      <c r="AM117" s="19"/>
      <c r="AN117" s="19"/>
      <c r="AO117" s="19"/>
      <c r="AP117" s="19"/>
      <c r="AQ117" s="19"/>
      <c r="AR117" s="37"/>
      <c r="AS117" s="19"/>
    </row>
    <row r="118" spans="2:53" x14ac:dyDescent="0.2">
      <c r="B118" s="23" t="s">
        <v>138</v>
      </c>
      <c r="D118" s="19"/>
      <c r="E118" s="19"/>
      <c r="F118" s="19"/>
      <c r="G118" s="19"/>
      <c r="H118" s="19"/>
      <c r="I118" s="20"/>
      <c r="J118" s="20"/>
      <c r="K118" s="20"/>
      <c r="L118" s="20"/>
      <c r="M118" s="20"/>
      <c r="N118" s="20"/>
      <c r="O118" s="20"/>
      <c r="P118" s="20"/>
      <c r="Q118" s="20"/>
      <c r="R118" s="20"/>
      <c r="S118" s="20"/>
      <c r="T118" s="20"/>
      <c r="U118" s="20"/>
      <c r="V118" s="20"/>
      <c r="W118" s="20"/>
      <c r="X118" s="20"/>
      <c r="Y118" s="20"/>
      <c r="Z118" s="20"/>
      <c r="AA118" s="17"/>
      <c r="AB118" s="20"/>
      <c r="AC118" s="20"/>
      <c r="AD118" s="20"/>
      <c r="AE118" s="20"/>
      <c r="AF118" s="20"/>
      <c r="AG118" s="20"/>
      <c r="AH118" s="20"/>
      <c r="AI118" s="20"/>
      <c r="AK118" s="19"/>
      <c r="AL118" s="19"/>
      <c r="AM118" s="19"/>
      <c r="AN118" s="19"/>
      <c r="AO118" s="19"/>
      <c r="AP118" s="37"/>
      <c r="AQ118" s="37"/>
      <c r="AR118" s="37"/>
      <c r="AS118" s="19"/>
      <c r="AX118" t="s">
        <v>241</v>
      </c>
      <c r="AY118" t="s">
        <v>302</v>
      </c>
      <c r="AZ118" t="s">
        <v>462</v>
      </c>
      <c r="BA118" t="s">
        <v>463</v>
      </c>
    </row>
    <row r="119" spans="2:53" x14ac:dyDescent="0.2">
      <c r="B119" t="s">
        <v>453</v>
      </c>
      <c r="D119" s="14">
        <v>3346.11159408</v>
      </c>
      <c r="E119" s="14">
        <v>3956.3339773799999</v>
      </c>
      <c r="F119" s="14">
        <v>4395.6702332099994</v>
      </c>
      <c r="G119" s="14">
        <v>4447.0213365499994</v>
      </c>
      <c r="H119" s="14">
        <v>4661.6000000000004</v>
      </c>
      <c r="I119" s="14">
        <v>5501.6</v>
      </c>
      <c r="J119" s="14">
        <v>5901</v>
      </c>
      <c r="K119" s="14">
        <v>6061</v>
      </c>
      <c r="L119" s="14">
        <v>6146.1</v>
      </c>
      <c r="M119" s="14">
        <v>4240</v>
      </c>
      <c r="N119" s="14">
        <v>7090.7</v>
      </c>
      <c r="O119" s="14">
        <v>6807</v>
      </c>
      <c r="P119" s="14">
        <v>7986.8</v>
      </c>
      <c r="Q119" s="14">
        <v>11833.9</v>
      </c>
      <c r="R119" s="14">
        <v>13457.2</v>
      </c>
      <c r="S119" s="14">
        <v>13400</v>
      </c>
      <c r="T119" s="14">
        <v>13420.9</v>
      </c>
      <c r="U119" s="14">
        <v>16873.099999999999</v>
      </c>
      <c r="V119" s="14">
        <v>20597.400000000001</v>
      </c>
      <c r="W119" s="14">
        <f>71587.7-SUM(T119:V119)</f>
        <v>20696.299999999996</v>
      </c>
      <c r="X119" s="14">
        <v>22256.9</v>
      </c>
      <c r="Y119" s="14">
        <v>26793.5</v>
      </c>
      <c r="Z119" s="14">
        <v>27933</v>
      </c>
      <c r="AA119" s="14">
        <f>109034-SUM(X119:Z119)</f>
        <v>32050.600000000006</v>
      </c>
      <c r="AB119" s="14">
        <v>33354.300000000003</v>
      </c>
      <c r="AC119" s="14">
        <v>40081.599999999999</v>
      </c>
      <c r="AD119" s="14">
        <v>43500</v>
      </c>
      <c r="AE119" s="17">
        <f t="shared" ref="AE119:AF119" si="754">+AA119*(1+AE120)</f>
        <v>47927.724354354359</v>
      </c>
      <c r="AF119" s="17">
        <f t="shared" si="754"/>
        <v>47696.649000000005</v>
      </c>
      <c r="AG119" s="17">
        <f t="shared" ref="AG119" si="755">+AC119*(1+AG120)</f>
        <v>55312.607999999993</v>
      </c>
      <c r="AH119" s="17">
        <f t="shared" ref="AH119" si="756">+AD119*(1+AH120)</f>
        <v>56550</v>
      </c>
      <c r="AI119" s="17">
        <f t="shared" ref="AI119" si="757">+AE119*(1+AI120)</f>
        <v>60868.20993003004</v>
      </c>
      <c r="AK119" s="14">
        <v>16145.1</v>
      </c>
      <c r="AL119" s="17">
        <f>+AK119</f>
        <v>16145.1</v>
      </c>
      <c r="AM119" s="17">
        <f t="shared" ref="AM119" si="758">+SUM(H119:K119)</f>
        <v>22125.200000000001</v>
      </c>
      <c r="AN119" s="17">
        <f>+SUM(L119:O119)</f>
        <v>24283.8</v>
      </c>
      <c r="AO119" s="17">
        <f>+SUM(P119:S119)</f>
        <v>46677.9</v>
      </c>
      <c r="AP119" s="29">
        <f>+SUM(T119:W119)</f>
        <v>71587.7</v>
      </c>
      <c r="AQ119" s="29">
        <f>+SUM(X119:AA119)</f>
        <v>109034</v>
      </c>
      <c r="AR119" s="29">
        <f>+SUM(AB119:AE119)</f>
        <v>164863.62435435434</v>
      </c>
      <c r="AS119" s="29">
        <f>+SUM(AF119:AI119)</f>
        <v>220427.46693003003</v>
      </c>
      <c r="AT119" s="20"/>
      <c r="AV119" t="s">
        <v>527</v>
      </c>
      <c r="AW119" s="13"/>
      <c r="AX119" s="13">
        <f>+AO119</f>
        <v>46677.9</v>
      </c>
      <c r="AY119" s="13">
        <f>+AX124</f>
        <v>71587.7</v>
      </c>
      <c r="AZ119" s="13">
        <f>+AY124</f>
        <v>109034</v>
      </c>
      <c r="BA119" s="13">
        <f>+AZ124</f>
        <v>164863.62435435434</v>
      </c>
    </row>
    <row r="120" spans="2:53" x14ac:dyDescent="0.2">
      <c r="B120" s="24" t="s">
        <v>136</v>
      </c>
      <c r="D120" s="19"/>
      <c r="E120" s="19"/>
      <c r="F120" s="19"/>
      <c r="G120" s="19"/>
      <c r="H120" s="25">
        <f>+IFERROR(H119/D119-1,"n/a")</f>
        <v>0.3931394303308311</v>
      </c>
      <c r="I120" s="25">
        <f t="shared" ref="I120:Y120" si="759">+IFERROR(I119/E119-1,"n/a")</f>
        <v>0.39058027746265256</v>
      </c>
      <c r="J120" s="25">
        <f t="shared" si="759"/>
        <v>0.34245739259896957</v>
      </c>
      <c r="K120" s="25">
        <f t="shared" si="759"/>
        <v>0.36293476943425818</v>
      </c>
      <c r="L120" s="25">
        <f t="shared" si="759"/>
        <v>0.31845289171100055</v>
      </c>
      <c r="M120" s="25">
        <f t="shared" si="759"/>
        <v>-0.22931510833212165</v>
      </c>
      <c r="N120" s="25">
        <f t="shared" si="759"/>
        <v>0.20160989662769024</v>
      </c>
      <c r="O120" s="25">
        <f t="shared" si="759"/>
        <v>0.12308199967002142</v>
      </c>
      <c r="P120" s="25">
        <f t="shared" si="759"/>
        <v>0.29949073396137393</v>
      </c>
      <c r="Q120" s="25">
        <f t="shared" si="759"/>
        <v>1.7910141509433961</v>
      </c>
      <c r="R120" s="25">
        <f t="shared" si="759"/>
        <v>0.89786621913210274</v>
      </c>
      <c r="S120" s="25">
        <f t="shared" si="759"/>
        <v>0.96856177464374915</v>
      </c>
      <c r="T120" s="25">
        <f t="shared" si="759"/>
        <v>0.6803851354735313</v>
      </c>
      <c r="U120" s="25">
        <f t="shared" si="759"/>
        <v>0.42582749558471833</v>
      </c>
      <c r="V120" s="25">
        <f t="shared" si="759"/>
        <v>0.53058585738489428</v>
      </c>
      <c r="W120" s="25">
        <f t="shared" si="759"/>
        <v>0.54449999999999976</v>
      </c>
      <c r="X120" s="25">
        <f t="shared" si="759"/>
        <v>0.6583761148656202</v>
      </c>
      <c r="Y120" s="25">
        <f t="shared" si="759"/>
        <v>0.58794175344186916</v>
      </c>
      <c r="Z120" s="25">
        <f t="shared" ref="Z120" si="760">+IFERROR(Z119/V119-1,"n/a")</f>
        <v>0.35614203734451921</v>
      </c>
      <c r="AA120" s="25">
        <f t="shared" ref="AA120" si="761">+IFERROR(AA119/W119-1,"n/a")</f>
        <v>0.54861496982552493</v>
      </c>
      <c r="AB120" s="25">
        <f t="shared" ref="AB120:AD120" si="762">+IFERROR(AB119/X119-1,"n/a")</f>
        <v>0.4986049270113988</v>
      </c>
      <c r="AC120" s="25">
        <f t="shared" si="762"/>
        <v>0.49594491201224167</v>
      </c>
      <c r="AD120" s="25">
        <f t="shared" si="762"/>
        <v>0.55729781978305226</v>
      </c>
      <c r="AE120" s="25">
        <f t="shared" ref="AE120:AF120" si="763">+AE121+AE126/AA119</f>
        <v>0.49537682147461687</v>
      </c>
      <c r="AF120" s="25">
        <f t="shared" si="763"/>
        <v>0.43</v>
      </c>
      <c r="AG120" s="25">
        <f t="shared" ref="AG120" si="764">+AG121+AG126/AC119</f>
        <v>0.38</v>
      </c>
      <c r="AH120" s="25">
        <f t="shared" ref="AH120" si="765">+AH121+AH126/AD119</f>
        <v>0.3</v>
      </c>
      <c r="AI120" s="25">
        <f t="shared" ref="AI120" si="766">+AI121+AI126/AE119</f>
        <v>0.27</v>
      </c>
      <c r="AK120" s="19"/>
      <c r="AL120" s="14"/>
      <c r="AM120" s="25">
        <f>+IFERROR(AM119/AL119-1,"n/a")</f>
        <v>0.3703972102991</v>
      </c>
      <c r="AN120" s="25">
        <f t="shared" ref="AN120:AO120" si="767">+IFERROR(AN119/AM119-1,"n/a")</f>
        <v>9.7562959882848466E-2</v>
      </c>
      <c r="AO120" s="25">
        <f t="shared" si="767"/>
        <v>0.92218268969436434</v>
      </c>
      <c r="AP120" s="25">
        <f t="shared" ref="AP120" si="768">+IFERROR(AP119/AO119-1,"n/a")</f>
        <v>0.5336529706777724</v>
      </c>
      <c r="AQ120" s="25">
        <f t="shared" ref="AQ120:AS120" si="769">+IFERROR(AQ119/AP119-1,"n/a")</f>
        <v>0.52308287596891656</v>
      </c>
      <c r="AR120" s="25">
        <f t="shared" si="769"/>
        <v>0.51203867008781057</v>
      </c>
      <c r="AS120" s="25">
        <f t="shared" si="769"/>
        <v>0.33702912205938129</v>
      </c>
      <c r="AV120" t="s">
        <v>528</v>
      </c>
      <c r="AX120">
        <v>8000</v>
      </c>
      <c r="AY120" s="13">
        <f>+AX121</f>
        <v>12909.799999999996</v>
      </c>
      <c r="AZ120" s="13">
        <v>16000</v>
      </c>
      <c r="BA120" s="13">
        <f>+AZ121</f>
        <v>23632.391234350114</v>
      </c>
    </row>
    <row r="121" spans="2:53" x14ac:dyDescent="0.2">
      <c r="B121" s="24" t="s">
        <v>193</v>
      </c>
      <c r="D121" s="19"/>
      <c r="E121" s="19"/>
      <c r="F121" s="19"/>
      <c r="G121" s="19"/>
      <c r="H121" s="25">
        <f>+H120</f>
        <v>0.3931394303308311</v>
      </c>
      <c r="I121" s="25">
        <f t="shared" ref="I121:Z121" si="770">+I120</f>
        <v>0.39058027746265256</v>
      </c>
      <c r="J121" s="25">
        <f t="shared" si="770"/>
        <v>0.34245739259896957</v>
      </c>
      <c r="K121" s="25">
        <f t="shared" si="770"/>
        <v>0.36293476943425818</v>
      </c>
      <c r="L121" s="25">
        <f t="shared" si="770"/>
        <v>0.31845289171100055</v>
      </c>
      <c r="M121" s="25">
        <f t="shared" si="770"/>
        <v>-0.22931510833212165</v>
      </c>
      <c r="N121" s="25">
        <f t="shared" si="770"/>
        <v>0.20160989662769024</v>
      </c>
      <c r="O121" s="25">
        <f t="shared" si="770"/>
        <v>0.12308199967002142</v>
      </c>
      <c r="P121" s="25">
        <f t="shared" si="770"/>
        <v>0.29949073396137393</v>
      </c>
      <c r="Q121" s="25">
        <f t="shared" si="770"/>
        <v>1.7910141509433961</v>
      </c>
      <c r="R121" s="25">
        <f t="shared" si="770"/>
        <v>0.89786621913210274</v>
      </c>
      <c r="S121" s="25">
        <f t="shared" si="770"/>
        <v>0.96856177464374915</v>
      </c>
      <c r="T121" s="25">
        <f t="shared" si="770"/>
        <v>0.6803851354735313</v>
      </c>
      <c r="U121" s="25">
        <f t="shared" si="770"/>
        <v>0.42582749558471833</v>
      </c>
      <c r="V121" s="25">
        <f t="shared" si="770"/>
        <v>0.53058585738489428</v>
      </c>
      <c r="W121" s="25">
        <f t="shared" si="770"/>
        <v>0.54449999999999976</v>
      </c>
      <c r="X121" s="25">
        <f t="shared" si="770"/>
        <v>0.6583761148656202</v>
      </c>
      <c r="Y121" s="25">
        <f t="shared" si="770"/>
        <v>0.58794175344186916</v>
      </c>
      <c r="Z121" s="25">
        <f t="shared" si="770"/>
        <v>0.35614203734451921</v>
      </c>
      <c r="AA121" s="25">
        <f>+AA120-AA126/W119</f>
        <v>0.40849330556669605</v>
      </c>
      <c r="AB121" s="25">
        <f>+AB120-AB126/X119</f>
        <v>0.34209240804049612</v>
      </c>
      <c r="AC121" s="25">
        <f>+AC120-AC126/Y119</f>
        <v>0.36593265219237925</v>
      </c>
      <c r="AD121" s="25">
        <f>+AD120-AD126/Z119</f>
        <v>0.43258928566629129</v>
      </c>
      <c r="AE121" s="55">
        <v>0.45</v>
      </c>
      <c r="AF121" s="55">
        <v>0.43</v>
      </c>
      <c r="AG121" s="55">
        <v>0.38</v>
      </c>
      <c r="AH121" s="55">
        <v>0.3</v>
      </c>
      <c r="AI121" s="55">
        <v>0.27</v>
      </c>
      <c r="AK121" s="19"/>
      <c r="AL121" s="14"/>
      <c r="AM121" s="25">
        <f>+AM120</f>
        <v>0.3703972102991</v>
      </c>
      <c r="AN121" s="25">
        <f t="shared" ref="AN121:AP121" si="771">+AN120</f>
        <v>9.7562959882848466E-2</v>
      </c>
      <c r="AO121" s="25">
        <f t="shared" si="771"/>
        <v>0.92218268969436434</v>
      </c>
      <c r="AP121" s="25">
        <f t="shared" si="771"/>
        <v>0.5336529706777724</v>
      </c>
      <c r="AQ121" s="25">
        <f>+AQ120-AQ126/AP119</f>
        <v>0.48257312359525462</v>
      </c>
      <c r="AR121" s="25">
        <f>+AR120-AR126/AQ119</f>
        <v>0.40285433488223427</v>
      </c>
      <c r="AS121" s="25">
        <f>+AS120-AS126/AR119</f>
        <v>0.33702912205938129</v>
      </c>
      <c r="AU121" s="29"/>
      <c r="AV121" t="s">
        <v>529</v>
      </c>
      <c r="AX121" s="29">
        <f>+AX124-AX122-AX120-AX119-AX123</f>
        <v>12909.799999999996</v>
      </c>
      <c r="AY121" s="29">
        <f>+AZ120</f>
        <v>16000</v>
      </c>
      <c r="AZ121" s="29">
        <f>+AZ124-AZ122-AZ120-AZ119-AZ123</f>
        <v>23632.391234350114</v>
      </c>
      <c r="BA121" s="13">
        <f>+AZ121*0.8</f>
        <v>18905.912987480093</v>
      </c>
    </row>
    <row r="122" spans="2:53" x14ac:dyDescent="0.2">
      <c r="B122" s="24" t="s">
        <v>137</v>
      </c>
      <c r="D122" s="19"/>
      <c r="E122" s="25">
        <f>+IFERROR(E119/D119-1,"n/a")</f>
        <v>0.18236761271788304</v>
      </c>
      <c r="F122" s="25">
        <f t="shared" ref="F122:Y122" si="772">+IFERROR(F119/E119-1,"n/a")</f>
        <v>0.11104630153618644</v>
      </c>
      <c r="G122" s="25">
        <f t="shared" si="772"/>
        <v>1.168220103319717E-2</v>
      </c>
      <c r="H122" s="25">
        <f t="shared" si="772"/>
        <v>4.8252222602662709E-2</v>
      </c>
      <c r="I122" s="25">
        <f t="shared" si="772"/>
        <v>0.18019564098163721</v>
      </c>
      <c r="J122" s="25">
        <f t="shared" si="772"/>
        <v>7.2597062672677071E-2</v>
      </c>
      <c r="K122" s="25">
        <f t="shared" si="772"/>
        <v>2.7114048466361673E-2</v>
      </c>
      <c r="L122" s="25">
        <f t="shared" si="772"/>
        <v>1.4040587361821455E-2</v>
      </c>
      <c r="M122" s="25">
        <f t="shared" si="772"/>
        <v>-0.31013162818698037</v>
      </c>
      <c r="N122" s="25">
        <f t="shared" si="772"/>
        <v>0.67233490566037735</v>
      </c>
      <c r="O122" s="25">
        <f t="shared" si="772"/>
        <v>-4.0010154145570964E-2</v>
      </c>
      <c r="P122" s="25">
        <f t="shared" si="772"/>
        <v>0.17332158072572357</v>
      </c>
      <c r="Q122" s="25">
        <f t="shared" si="772"/>
        <v>0.48168227575499567</v>
      </c>
      <c r="R122" s="25">
        <f t="shared" si="772"/>
        <v>0.13717371280811919</v>
      </c>
      <c r="S122" s="25">
        <f t="shared" si="772"/>
        <v>-4.2505127366763151E-3</v>
      </c>
      <c r="T122" s="25">
        <f t="shared" si="772"/>
        <v>1.5597014925372576E-3</v>
      </c>
      <c r="U122" s="25">
        <f t="shared" si="772"/>
        <v>0.25722567040958499</v>
      </c>
      <c r="V122" s="25">
        <f t="shared" si="772"/>
        <v>0.22072411115918267</v>
      </c>
      <c r="W122" s="25">
        <f t="shared" si="772"/>
        <v>4.8015768980547158E-3</v>
      </c>
      <c r="X122" s="25">
        <f t="shared" si="772"/>
        <v>7.5404782497354939E-2</v>
      </c>
      <c r="Y122" s="25">
        <f t="shared" si="772"/>
        <v>0.20382892496259575</v>
      </c>
      <c r="Z122" s="25">
        <f t="shared" ref="Z122" si="773">+IFERROR(Z119/Y119-1,"n/a")</f>
        <v>4.2528971578927655E-2</v>
      </c>
      <c r="AA122" s="25">
        <f t="shared" ref="AA122" si="774">+IFERROR(AA119/Z119-1,"n/a")</f>
        <v>0.14740987362617708</v>
      </c>
      <c r="AB122" s="25">
        <f t="shared" ref="AB122:AC122" si="775">+IFERROR(AB119/AA119-1,"n/a")</f>
        <v>4.0676305591782924E-2</v>
      </c>
      <c r="AC122" s="25">
        <f t="shared" si="775"/>
        <v>0.20169213564667809</v>
      </c>
      <c r="AD122" s="25">
        <f t="shared" ref="AD122" si="776">+IFERROR(AD119/AC119-1,"n/a")</f>
        <v>8.5286016526286312E-2</v>
      </c>
      <c r="AE122" s="25">
        <f t="shared" ref="AE122" si="777">+IFERROR(AE119/AD119-1,"n/a")</f>
        <v>0.1017867667667669</v>
      </c>
      <c r="AF122" s="25">
        <f t="shared" ref="AF122" si="778">+IFERROR(AF119/AE119-1,"n/a")</f>
        <v>-4.821329563780119E-3</v>
      </c>
      <c r="AG122" s="25">
        <f t="shared" ref="AG122" si="779">+IFERROR(AG119/AF119-1,"n/a")</f>
        <v>0.15967492810658435</v>
      </c>
      <c r="AH122" s="25">
        <f t="shared" ref="AH122" si="780">+IFERROR(AH119/AG119-1,"n/a")</f>
        <v>2.2370885133458307E-2</v>
      </c>
      <c r="AI122" s="25">
        <f t="shared" ref="AI122" si="781">+IFERROR(AI119/AH119-1,"n/a")</f>
        <v>7.6360918302918579E-2</v>
      </c>
      <c r="AK122" s="19"/>
      <c r="AL122" s="14"/>
      <c r="AM122" s="25">
        <f t="shared" ref="AM122:AO122" si="782">+IFERROR(AM119/AL119-1,"n/a")</f>
        <v>0.3703972102991</v>
      </c>
      <c r="AN122" s="25">
        <f t="shared" si="782"/>
        <v>9.7562959882848466E-2</v>
      </c>
      <c r="AO122" s="25">
        <f t="shared" si="782"/>
        <v>0.92218268969436434</v>
      </c>
      <c r="AP122" s="25">
        <f t="shared" ref="AP122" si="783">+IFERROR(AP119/AO119-1,"n/a")</f>
        <v>0.5336529706777724</v>
      </c>
      <c r="AQ122" s="25">
        <f t="shared" ref="AQ122:AS122" si="784">+IFERROR(AQ119/AP119-1,"n/a")</f>
        <v>0.52308287596891656</v>
      </c>
      <c r="AR122" s="25">
        <f t="shared" si="784"/>
        <v>0.51203867008781057</v>
      </c>
      <c r="AS122" s="25">
        <f t="shared" si="784"/>
        <v>0.33702912205938129</v>
      </c>
      <c r="AV122" t="s">
        <v>530</v>
      </c>
      <c r="AW122" s="13"/>
      <c r="AX122">
        <v>4000</v>
      </c>
      <c r="AY122" s="13">
        <f>+AY124-AY123-AY121-AY120-AY119</f>
        <v>5636.5000000000146</v>
      </c>
      <c r="AZ122">
        <f>+AY122/AY119*AZ119*0.5</f>
        <v>4292.4283151994105</v>
      </c>
      <c r="BA122">
        <f>+AZ122/AZ119*BA119*0.5</f>
        <v>3245.1588005806889</v>
      </c>
    </row>
    <row r="123" spans="2:53" x14ac:dyDescent="0.2">
      <c r="B123" s="24" t="s">
        <v>262</v>
      </c>
      <c r="D123" s="19"/>
      <c r="E123" s="25"/>
      <c r="F123" s="25"/>
      <c r="G123" s="25"/>
      <c r="H123" s="25"/>
      <c r="I123" s="25"/>
      <c r="J123" s="25"/>
      <c r="K123" s="25"/>
      <c r="L123" s="25">
        <f>+((1+L121)*(1+H121))^0.5-1</f>
        <v>0.355281782684435</v>
      </c>
      <c r="M123" s="25">
        <f t="shared" ref="M123:AE123" si="785">+((1+M121)*(1+I121))^0.5-1</f>
        <v>3.5229061846600462E-2</v>
      </c>
      <c r="N123" s="25">
        <f t="shared" si="785"/>
        <v>0.270082709412236</v>
      </c>
      <c r="O123" s="25">
        <f t="shared" si="785"/>
        <v>0.23720956441341268</v>
      </c>
      <c r="P123" s="25">
        <f t="shared" si="785"/>
        <v>0.30893747594872689</v>
      </c>
      <c r="Q123" s="25">
        <f t="shared" si="785"/>
        <v>0.46662620955829315</v>
      </c>
      <c r="R123" s="25">
        <f t="shared" si="785"/>
        <v>0.51013073320971491</v>
      </c>
      <c r="S123" s="25">
        <f t="shared" si="785"/>
        <v>0.48689484979297304</v>
      </c>
      <c r="T123" s="25">
        <f t="shared" si="785"/>
        <v>0.47771611381695434</v>
      </c>
      <c r="U123" s="25">
        <f t="shared" si="785"/>
        <v>0.99486959899165628</v>
      </c>
      <c r="V123" s="25">
        <f t="shared" si="785"/>
        <v>0.70436122761934983</v>
      </c>
      <c r="W123" s="25">
        <f t="shared" si="785"/>
        <v>0.74368680127403319</v>
      </c>
      <c r="X123" s="25">
        <f t="shared" si="785"/>
        <v>0.66934435406375448</v>
      </c>
      <c r="Y123" s="25">
        <f t="shared" si="785"/>
        <v>0.50470296518762359</v>
      </c>
      <c r="Z123" s="25">
        <f t="shared" si="785"/>
        <v>0.44072614433300905</v>
      </c>
      <c r="AA123" s="25">
        <f t="shared" si="785"/>
        <v>0.47492979848118932</v>
      </c>
      <c r="AB123" s="25">
        <f t="shared" si="785"/>
        <v>0.49187599800950044</v>
      </c>
      <c r="AC123" s="25">
        <f t="shared" si="785"/>
        <v>0.4727598211541042</v>
      </c>
      <c r="AD123" s="25">
        <f t="shared" si="785"/>
        <v>0.39384165260671322</v>
      </c>
      <c r="AE123" s="25">
        <f t="shared" si="785"/>
        <v>0.42909597056030813</v>
      </c>
      <c r="AF123" s="25">
        <f t="shared" ref="AF123" si="786">+((1+AF121)*(1+AB121))^0.5-1</f>
        <v>0.38534910527921062</v>
      </c>
      <c r="AG123" s="25">
        <f t="shared" ref="AG123" si="787">+((1+AG121)*(1+AC121))^0.5-1</f>
        <v>0.37294830930573752</v>
      </c>
      <c r="AH123" s="25">
        <f t="shared" ref="AH123" si="788">+((1+AH121)*(1+AD121))^0.5-1</f>
        <v>0.36468533785857704</v>
      </c>
      <c r="AI123" s="25">
        <f t="shared" ref="AI123" si="789">+((1+AI121)*(1+AE121))^0.5-1</f>
        <v>0.3570187913216234</v>
      </c>
      <c r="AK123" s="19"/>
      <c r="AL123" s="14"/>
      <c r="AM123" s="25"/>
      <c r="AN123" s="25">
        <f>+((1+AN121)*(1+AM121))^0.5-1</f>
        <v>0.22641641311223437</v>
      </c>
      <c r="AO123" s="25">
        <f t="shared" ref="AO123:AS123" si="790">+((1+AO121)*(1+AN121))^0.5-1</f>
        <v>0.45248632431996461</v>
      </c>
      <c r="AP123" s="25">
        <f t="shared" si="790"/>
        <v>0.7169627812608963</v>
      </c>
      <c r="AQ123" s="25">
        <f t="shared" si="790"/>
        <v>0.50789677207986839</v>
      </c>
      <c r="AR123" s="25">
        <f t="shared" si="790"/>
        <v>0.44216300507796169</v>
      </c>
      <c r="AS123" s="25">
        <f t="shared" si="790"/>
        <v>0.36954631164659446</v>
      </c>
      <c r="AV123" t="s">
        <v>275</v>
      </c>
      <c r="AX123">
        <v>0</v>
      </c>
      <c r="AY123" s="13">
        <f>+AA126</f>
        <v>2900</v>
      </c>
      <c r="AZ123" s="13">
        <f>+AR126</f>
        <v>11904.804804804808</v>
      </c>
      <c r="BA123">
        <v>0</v>
      </c>
    </row>
    <row r="124" spans="2:53" x14ac:dyDescent="0.2">
      <c r="B124" s="24" t="s">
        <v>261</v>
      </c>
      <c r="D124" s="19"/>
      <c r="E124" s="25"/>
      <c r="F124" s="25"/>
      <c r="G124" s="25"/>
      <c r="H124" s="25"/>
      <c r="I124" s="25"/>
      <c r="J124" s="25"/>
      <c r="K124" s="25"/>
      <c r="L124" s="25"/>
      <c r="M124" s="25"/>
      <c r="N124" s="25"/>
      <c r="O124" s="25"/>
      <c r="P124" s="25">
        <f>+((1+P121)*(1+L121)*(1+H121))^0.333-1</f>
        <v>0.33603607643495481</v>
      </c>
      <c r="Q124" s="25">
        <f t="shared" ref="Q124:AE124" si="791">+((1+Q121)*(1+M121)*(1+I121))^0.333-1</f>
        <v>0.44030025669327633</v>
      </c>
      <c r="R124" s="25">
        <f t="shared" si="791"/>
        <v>0.4514917035208228</v>
      </c>
      <c r="S124" s="25">
        <f t="shared" si="791"/>
        <v>0.44383927050254757</v>
      </c>
      <c r="T124" s="25">
        <f t="shared" si="791"/>
        <v>0.42209670304771096</v>
      </c>
      <c r="U124" s="25">
        <f t="shared" si="791"/>
        <v>0.45235590360288214</v>
      </c>
      <c r="V124" s="25">
        <f t="shared" si="791"/>
        <v>0.51628661247568131</v>
      </c>
      <c r="W124" s="25">
        <f t="shared" si="791"/>
        <v>0.50523748898578402</v>
      </c>
      <c r="X124" s="25">
        <f t="shared" si="791"/>
        <v>0.53497767160198717</v>
      </c>
      <c r="Y124" s="25">
        <f t="shared" si="791"/>
        <v>0.8476554022055427</v>
      </c>
      <c r="Z124" s="25">
        <f t="shared" si="791"/>
        <v>0.57862029024544848</v>
      </c>
      <c r="AA124" s="25">
        <f t="shared" si="791"/>
        <v>0.62313017615567134</v>
      </c>
      <c r="AB124" s="25">
        <f t="shared" si="791"/>
        <v>0.55155486308989188</v>
      </c>
      <c r="AC124" s="25">
        <f t="shared" si="791"/>
        <v>0.45639832191451535</v>
      </c>
      <c r="AD124" s="25">
        <f t="shared" si="791"/>
        <v>0.43748646069601316</v>
      </c>
      <c r="AE124" s="25">
        <f t="shared" si="791"/>
        <v>0.46601111745904422</v>
      </c>
      <c r="AF124" s="25">
        <f t="shared" ref="AF124" si="792">+((1+AF121)*(1+AB121)*(1+X121))^0.333-1</f>
        <v>0.47039120573223125</v>
      </c>
      <c r="AG124" s="25">
        <f t="shared" ref="AG124" si="793">+((1+AG121)*(1+AC121)*(1+Y121))^0.333-1</f>
        <v>0.44064043296053068</v>
      </c>
      <c r="AH124" s="25">
        <f t="shared" ref="AH124" si="794">+((1+AH121)*(1+AD121)*(1+Z121))^0.333-1</f>
        <v>0.36141109738133514</v>
      </c>
      <c r="AI124" s="25">
        <f t="shared" ref="AI124" si="795">+((1+AI121)*(1+AE121)*(1+AA121))^0.333-1</f>
        <v>0.37352803418694291</v>
      </c>
      <c r="AK124" s="19"/>
      <c r="AL124" s="14"/>
      <c r="AM124" s="25"/>
      <c r="AN124" s="25"/>
      <c r="AO124" s="25">
        <f>+((1+AO121)*(1+AN121)*(1+AM121))^0.333-1</f>
        <v>0.42408692741528564</v>
      </c>
      <c r="AP124" s="25">
        <f t="shared" ref="AP124:AS124" si="796">+((1+AP121)*(1+AO121)*(1+AN121))^0.333-1</f>
        <v>0.47847420243372452</v>
      </c>
      <c r="AQ124" s="25">
        <f t="shared" si="796"/>
        <v>0.63417708237951764</v>
      </c>
      <c r="AR124" s="25">
        <f t="shared" si="796"/>
        <v>0.47146752555696647</v>
      </c>
      <c r="AS124" s="25">
        <f t="shared" si="796"/>
        <v>0.40575121064076325</v>
      </c>
      <c r="AV124" t="s">
        <v>531</v>
      </c>
      <c r="AW124" s="13"/>
      <c r="AX124" s="13">
        <f>+AP119</f>
        <v>71587.7</v>
      </c>
      <c r="AY124" s="13">
        <f>+AQ119</f>
        <v>109034</v>
      </c>
      <c r="AZ124" s="13">
        <f>+AR119</f>
        <v>164863.62435435434</v>
      </c>
      <c r="BA124" s="13">
        <f>+SUM(BA119:BA123)</f>
        <v>210647.08737676521</v>
      </c>
    </row>
    <row r="125" spans="2:53" x14ac:dyDescent="0.2">
      <c r="B125" s="24"/>
      <c r="D125" s="19"/>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K125" s="19"/>
      <c r="AL125" s="14"/>
      <c r="AM125" s="25"/>
      <c r="AN125" s="25"/>
      <c r="AO125" s="25"/>
      <c r="AP125" s="25"/>
      <c r="AQ125" s="25"/>
      <c r="AR125" s="25"/>
      <c r="AS125" s="25"/>
    </row>
    <row r="126" spans="2:53" x14ac:dyDescent="0.2">
      <c r="B126" s="24" t="s">
        <v>260</v>
      </c>
      <c r="D126" s="19"/>
      <c r="E126" s="25"/>
      <c r="F126" s="25"/>
      <c r="G126" s="25"/>
      <c r="H126" s="25"/>
      <c r="I126" s="25"/>
      <c r="J126" s="25"/>
      <c r="K126" s="25"/>
      <c r="L126" s="25"/>
      <c r="M126" s="25"/>
      <c r="N126" s="25"/>
      <c r="O126" s="25"/>
      <c r="P126" s="25"/>
      <c r="Q126" s="25"/>
      <c r="R126" s="25"/>
      <c r="S126" s="25"/>
      <c r="T126" s="25"/>
      <c r="U126" s="25"/>
      <c r="V126" s="25"/>
      <c r="W126" s="25"/>
      <c r="X126" s="25"/>
      <c r="Y126" s="25"/>
      <c r="Z126" s="25"/>
      <c r="AA126" s="159">
        <f>15000*0.29*2/3</f>
        <v>2900</v>
      </c>
      <c r="AB126" s="159">
        <f>+AA126/AA248*AB248</f>
        <v>3483.4834834834842</v>
      </c>
      <c r="AC126" s="159">
        <f>+AB126/AB248*AC248</f>
        <v>3483.4834834834842</v>
      </c>
      <c r="AD126" s="159">
        <f>+AC126/AC248*AD248</f>
        <v>3483.4834834834842</v>
      </c>
      <c r="AE126" s="159">
        <f>+AD126/AD248*AE248</f>
        <v>1454.3543543543549</v>
      </c>
      <c r="AF126" s="159"/>
      <c r="AG126" s="159"/>
      <c r="AH126" s="159"/>
      <c r="AI126" s="159"/>
      <c r="AK126" s="19"/>
      <c r="AL126" s="14"/>
      <c r="AM126" s="25"/>
      <c r="AN126" s="25"/>
      <c r="AO126" s="25"/>
      <c r="AP126" s="25"/>
      <c r="AQ126" s="52">
        <f>+SUM(X126:AA126)</f>
        <v>2900</v>
      </c>
      <c r="AR126" s="52">
        <f>+SUM(AB126:AE126)</f>
        <v>11904.804804804808</v>
      </c>
      <c r="AS126" s="52">
        <f>+SUM(AF126:AI126)</f>
        <v>0</v>
      </c>
    </row>
    <row r="127" spans="2:53" x14ac:dyDescent="0.2">
      <c r="D127" s="19"/>
      <c r="E127" s="19"/>
      <c r="F127" s="19"/>
      <c r="G127" s="19"/>
      <c r="H127" s="14"/>
      <c r="I127" s="14"/>
      <c r="J127" s="14"/>
      <c r="K127" s="14"/>
      <c r="L127" s="14"/>
      <c r="M127" s="14"/>
      <c r="N127" s="14"/>
      <c r="O127" s="14"/>
      <c r="P127" s="14"/>
      <c r="Q127" s="14"/>
      <c r="R127" s="14"/>
      <c r="S127" s="14"/>
      <c r="T127" s="14"/>
      <c r="U127" s="14"/>
      <c r="AK127" s="19"/>
      <c r="AL127" s="14"/>
      <c r="AM127" s="17"/>
      <c r="AN127" s="17"/>
      <c r="AO127" s="17"/>
      <c r="AP127" s="19"/>
      <c r="AQ127" s="19"/>
      <c r="AR127" s="19"/>
      <c r="AS127" s="19"/>
    </row>
    <row r="128" spans="2:53" x14ac:dyDescent="0.2">
      <c r="B128" t="s">
        <v>452</v>
      </c>
      <c r="D128" s="14">
        <v>95.8</v>
      </c>
      <c r="E128" s="14">
        <v>111.6</v>
      </c>
      <c r="F128" s="14">
        <v>120.7</v>
      </c>
      <c r="G128" s="14">
        <v>121.7</v>
      </c>
      <c r="H128" s="14">
        <v>125.7</v>
      </c>
      <c r="I128" s="14">
        <v>150.4</v>
      </c>
      <c r="J128" s="14">
        <v>159.69999999999999</v>
      </c>
      <c r="K128" s="14">
        <v>163.19999999999999</v>
      </c>
      <c r="L128" s="14">
        <v>164.6</v>
      </c>
      <c r="M128" s="17">
        <f>+M138</f>
        <v>113.83199999999999</v>
      </c>
      <c r="N128" s="17">
        <f t="shared" ref="N128:V128" si="797">+N138</f>
        <v>183.82560000000001</v>
      </c>
      <c r="O128" s="17">
        <f t="shared" si="797"/>
        <v>177.23670000000001</v>
      </c>
      <c r="P128" s="17">
        <f t="shared" si="797"/>
        <v>201.62113200000002</v>
      </c>
      <c r="Q128" s="17">
        <f t="shared" si="797"/>
        <v>306.767742</v>
      </c>
      <c r="R128" s="17">
        <f t="shared" si="797"/>
        <v>350.94499200000001</v>
      </c>
      <c r="S128" s="17">
        <f t="shared" si="797"/>
        <v>352.56</v>
      </c>
      <c r="T128" s="17">
        <f t="shared" si="797"/>
        <v>355.09884</v>
      </c>
      <c r="U128" s="17">
        <f t="shared" si="797"/>
        <v>455.71018000000004</v>
      </c>
      <c r="V128" s="17">
        <f t="shared" si="797"/>
        <v>490.044398</v>
      </c>
      <c r="W128" s="17">
        <f t="shared" ref="W128:X128" si="798">+W138</f>
        <v>485.450693</v>
      </c>
      <c r="X128" s="17">
        <f t="shared" si="798"/>
        <v>495.00838499999998</v>
      </c>
      <c r="Y128" s="17">
        <f t="shared" ref="Y128:AA128" si="799">+Y138</f>
        <v>583.86155499999995</v>
      </c>
      <c r="Z128" s="17">
        <f t="shared" si="799"/>
        <v>612.56784999999991</v>
      </c>
      <c r="AA128" s="17">
        <f t="shared" si="799"/>
        <v>641.22384000000022</v>
      </c>
      <c r="AB128" s="17">
        <f t="shared" ref="AB128:AC128" si="800">+AB138</f>
        <v>650.49666000000002</v>
      </c>
      <c r="AC128" s="17">
        <f t="shared" si="800"/>
        <v>754.90591999999992</v>
      </c>
      <c r="AD128" s="17">
        <f t="shared" ref="AD128" si="801">+AD138</f>
        <v>805.1</v>
      </c>
      <c r="AE128" s="17">
        <f t="shared" ref="AE128" si="802">+AE131*AE119</f>
        <v>862.69903837837842</v>
      </c>
      <c r="AF128" s="17">
        <f t="shared" ref="AF128:AI128" si="803">+AF131*AF119</f>
        <v>834.69135749999998</v>
      </c>
      <c r="AG128" s="17">
        <f t="shared" si="803"/>
        <v>940.3143359999998</v>
      </c>
      <c r="AH128" s="17">
        <f t="shared" si="803"/>
        <v>933.07499999999982</v>
      </c>
      <c r="AI128" s="17">
        <f t="shared" si="803"/>
        <v>973.89135888048042</v>
      </c>
      <c r="AK128" s="46">
        <f>+SUM(D128:G128)</f>
        <v>449.79999999999995</v>
      </c>
      <c r="AL128" s="17">
        <f>+AK128</f>
        <v>449.79999999999995</v>
      </c>
      <c r="AM128" s="17">
        <f t="shared" ref="AM128" si="804">+SUM(H128:K128)</f>
        <v>599</v>
      </c>
      <c r="AN128" s="17">
        <f>+SUM(L128:O128)</f>
        <v>639.49430000000007</v>
      </c>
      <c r="AO128" s="17">
        <f>+SUM(P128:S128)</f>
        <v>1211.8938659999999</v>
      </c>
      <c r="AP128" s="17">
        <f>+SUM(T128:W128)</f>
        <v>1786.3041110000001</v>
      </c>
      <c r="AQ128" s="17">
        <f>+SUM(X128:AA128)</f>
        <v>2332.6616300000001</v>
      </c>
      <c r="AR128" s="17">
        <f>+SUM(AB128:AE128)</f>
        <v>3073.201618378378</v>
      </c>
      <c r="AS128" s="17">
        <f>+SUM(AF128:AI128)</f>
        <v>3681.9720523804799</v>
      </c>
    </row>
    <row r="129" spans="2:45" x14ac:dyDescent="0.2">
      <c r="B129" s="24" t="s">
        <v>136</v>
      </c>
      <c r="D129" s="19"/>
      <c r="E129" s="19"/>
      <c r="F129" s="19"/>
      <c r="G129" s="19"/>
      <c r="H129" s="25">
        <f>+IFERROR(H128/D128-1,"n/a")</f>
        <v>0.31210855949895633</v>
      </c>
      <c r="I129" s="25">
        <f t="shared" ref="I129" si="805">+IFERROR(I128/E128-1,"n/a")</f>
        <v>0.34767025089605741</v>
      </c>
      <c r="J129" s="25">
        <f t="shared" ref="J129" si="806">+IFERROR(J128/F128-1,"n/a")</f>
        <v>0.32311516155758069</v>
      </c>
      <c r="K129" s="25">
        <f t="shared" ref="K129" si="807">+IFERROR(K128/G128-1,"n/a")</f>
        <v>0.34100246507806076</v>
      </c>
      <c r="L129" s="25">
        <f t="shared" ref="L129" si="808">+IFERROR(L128/H128-1,"n/a")</f>
        <v>0.30946698488464586</v>
      </c>
      <c r="M129" s="25">
        <f t="shared" ref="M129" si="809">+IFERROR(M128/I128-1,"n/a")</f>
        <v>-0.24313829787234054</v>
      </c>
      <c r="N129" s="25">
        <f t="shared" ref="N129" si="810">+IFERROR(N128/J128-1,"n/a")</f>
        <v>0.15106825297432702</v>
      </c>
      <c r="O129" s="25">
        <f t="shared" ref="O129" si="811">+IFERROR(O128/K128-1,"n/a")</f>
        <v>8.6009191176470656E-2</v>
      </c>
      <c r="P129" s="25">
        <f t="shared" ref="P129" si="812">+IFERROR(P128/L128-1,"n/a")</f>
        <v>0.22491574726609986</v>
      </c>
      <c r="Q129" s="25">
        <f t="shared" ref="Q129" si="813">+IFERROR(Q128/M128-1,"n/a")</f>
        <v>1.6949165612481552</v>
      </c>
      <c r="R129" s="25">
        <f t="shared" ref="R129" si="814">+IFERROR(R128/N128-1,"n/a")</f>
        <v>0.90911925216074363</v>
      </c>
      <c r="S129" s="25">
        <f t="shared" ref="S129" si="815">+IFERROR(S128/O128-1,"n/a")</f>
        <v>0.98920426751344381</v>
      </c>
      <c r="T129" s="25">
        <f t="shared" ref="T129" si="816">+IFERROR(T128/P128-1,"n/a")</f>
        <v>0.76121836276566479</v>
      </c>
      <c r="U129" s="25">
        <f t="shared" ref="U129:Z129" si="817">+IFERROR(U128/Q128-1,"n/a")</f>
        <v>0.48552183821205053</v>
      </c>
      <c r="V129" s="25">
        <f t="shared" si="817"/>
        <v>0.3963567202007543</v>
      </c>
      <c r="W129" s="25">
        <f t="shared" si="817"/>
        <v>0.37693071533923295</v>
      </c>
      <c r="X129" s="25">
        <f t="shared" si="817"/>
        <v>0.39400169541528207</v>
      </c>
      <c r="Y129" s="25">
        <f t="shared" si="817"/>
        <v>0.28121244734976059</v>
      </c>
      <c r="Z129" s="25">
        <f t="shared" si="817"/>
        <v>0.25002520689972241</v>
      </c>
      <c r="AA129" s="25">
        <f t="shared" ref="AA129" si="818">+IFERROR(AA128/W128-1,"n/a")</f>
        <v>0.32088356087690295</v>
      </c>
      <c r="AB129" s="25">
        <f t="shared" ref="AB129" si="819">+IFERROR(AB128/X128-1,"n/a")</f>
        <v>0.31411240639893423</v>
      </c>
      <c r="AC129" s="25">
        <f t="shared" ref="AC129:AD129" si="820">+IFERROR(AC128/Y128-1,"n/a")</f>
        <v>0.29295363521580042</v>
      </c>
      <c r="AD129" s="25">
        <f t="shared" si="820"/>
        <v>0.31430338696358318</v>
      </c>
      <c r="AE129" s="25">
        <f t="shared" ref="AE129" si="821">+IFERROR(AE128/AA128-1,"n/a")</f>
        <v>0.34539451680146227</v>
      </c>
      <c r="AF129" s="25">
        <f t="shared" ref="AF129" si="822">+IFERROR(AF128/AB128-1,"n/a")</f>
        <v>0.28316009724016111</v>
      </c>
      <c r="AG129" s="25">
        <f t="shared" ref="AG129" si="823">+IFERROR(AG128/AC128-1,"n/a")</f>
        <v>0.24560466554560856</v>
      </c>
      <c r="AH129" s="25">
        <f t="shared" ref="AH129" si="824">+IFERROR(AH128/AD128-1,"n/a")</f>
        <v>0.15895540926592955</v>
      </c>
      <c r="AI129" s="25">
        <f t="shared" ref="AI129" si="825">+IFERROR(AI128/AE128-1,"n/a")</f>
        <v>0.12888888888888883</v>
      </c>
      <c r="AK129" s="19"/>
      <c r="AL129" s="14"/>
      <c r="AM129" s="25">
        <f>+IFERROR(AM128/AL128-1,"n/a")</f>
        <v>0.33170297910182311</v>
      </c>
      <c r="AN129" s="25">
        <f t="shared" ref="AN129" si="826">+IFERROR(AN128/AM128-1,"n/a")</f>
        <v>6.7603171953255492E-2</v>
      </c>
      <c r="AO129" s="25">
        <f t="shared" ref="AO129" si="827">+IFERROR(AO128/AN128-1,"n/a")</f>
        <v>0.8950815761766755</v>
      </c>
      <c r="AP129" s="25">
        <f t="shared" ref="AP129" si="828">+IFERROR(AP128/AO128-1,"n/a")</f>
        <v>0.47397735157774967</v>
      </c>
      <c r="AQ129" s="25">
        <f t="shared" ref="AQ129:AS129" si="829">+IFERROR(AQ128/AP128-1,"n/a")</f>
        <v>0.30585918469064066</v>
      </c>
      <c r="AR129" s="25">
        <f t="shared" si="829"/>
        <v>0.31746567048319729</v>
      </c>
      <c r="AS129" s="25">
        <f t="shared" si="829"/>
        <v>0.19808997573134457</v>
      </c>
    </row>
    <row r="130" spans="2:45" x14ac:dyDescent="0.2">
      <c r="B130" s="24" t="s">
        <v>193</v>
      </c>
      <c r="D130" s="19"/>
      <c r="E130" s="19"/>
      <c r="F130" s="19"/>
      <c r="G130" s="19"/>
      <c r="H130" s="55">
        <f>+H129</f>
        <v>0.31210855949895633</v>
      </c>
      <c r="I130" s="55">
        <f t="shared" ref="I130" si="830">+I129</f>
        <v>0.34767025089605741</v>
      </c>
      <c r="J130" s="25">
        <f t="shared" ref="J130:S130" si="831">+J129-J232/F128</f>
        <v>0.32311516155758069</v>
      </c>
      <c r="K130" s="25">
        <f t="shared" si="831"/>
        <v>0.34100246507806076</v>
      </c>
      <c r="L130" s="25">
        <f t="shared" si="831"/>
        <v>0.30946698488464586</v>
      </c>
      <c r="M130" s="25">
        <f t="shared" si="831"/>
        <v>-0.24313829787234054</v>
      </c>
      <c r="N130" s="25">
        <f t="shared" si="831"/>
        <v>0.15106825297432702</v>
      </c>
      <c r="O130" s="25">
        <f t="shared" si="831"/>
        <v>8.6009191176470656E-2</v>
      </c>
      <c r="P130" s="25">
        <f t="shared" si="831"/>
        <v>0.22491574726609986</v>
      </c>
      <c r="Q130" s="25">
        <f t="shared" si="831"/>
        <v>1.6949165612481552</v>
      </c>
      <c r="R130" s="25">
        <f t="shared" si="831"/>
        <v>0.90911925216074363</v>
      </c>
      <c r="S130" s="25">
        <f t="shared" si="831"/>
        <v>0.98920426751344381</v>
      </c>
      <c r="T130" s="25">
        <f t="shared" ref="T130:AI130" si="832">+T129-T232/P128</f>
        <v>0.76121836276566479</v>
      </c>
      <c r="U130" s="25">
        <f t="shared" si="832"/>
        <v>0.48552183821205053</v>
      </c>
      <c r="V130" s="25">
        <f t="shared" si="832"/>
        <v>0.3963567202007543</v>
      </c>
      <c r="W130" s="25">
        <f t="shared" si="832"/>
        <v>0.37693071533923295</v>
      </c>
      <c r="X130" s="25">
        <f t="shared" si="832"/>
        <v>0.39400169541528207</v>
      </c>
      <c r="Y130" s="25">
        <f t="shared" si="832"/>
        <v>0.28121244734976059</v>
      </c>
      <c r="Z130" s="25">
        <f t="shared" si="832"/>
        <v>0.25002520689972241</v>
      </c>
      <c r="AA130" s="25">
        <f t="shared" si="832"/>
        <v>0.18369146091629995</v>
      </c>
      <c r="AB130" s="25">
        <f t="shared" si="832"/>
        <v>0.15249898241622734</v>
      </c>
      <c r="AC130" s="25">
        <f t="shared" si="832"/>
        <v>0.15593485171326271</v>
      </c>
      <c r="AD130" s="25">
        <f t="shared" si="832"/>
        <v>0.18370560910109821</v>
      </c>
      <c r="AE130" s="25">
        <f t="shared" si="832"/>
        <v>0.29330662187852863</v>
      </c>
      <c r="AF130" s="25">
        <f t="shared" si="832"/>
        <v>0.28316009724016111</v>
      </c>
      <c r="AG130" s="25">
        <f t="shared" si="832"/>
        <v>0.24560466554560856</v>
      </c>
      <c r="AH130" s="25">
        <f t="shared" si="832"/>
        <v>0.15895540926592955</v>
      </c>
      <c r="AI130" s="25">
        <f t="shared" si="832"/>
        <v>0.12888888888888883</v>
      </c>
      <c r="AK130" s="19"/>
      <c r="AL130" s="14"/>
      <c r="AM130" s="25">
        <f>+AM129-AM232/AL128</f>
        <v>0.33170297910182311</v>
      </c>
      <c r="AN130" s="25">
        <f t="shared" ref="AN130:AS130" si="833">+AN129-AN232/AM128</f>
        <v>6.7603171953255492E-2</v>
      </c>
      <c r="AO130" s="25">
        <f t="shared" si="833"/>
        <v>0.8950815761766755</v>
      </c>
      <c r="AP130" s="25">
        <f t="shared" si="833"/>
        <v>0.47397735157774967</v>
      </c>
      <c r="AQ130" s="25">
        <f t="shared" si="833"/>
        <v>0.26857549957236798</v>
      </c>
      <c r="AR130" s="25">
        <f t="shared" si="833"/>
        <v>0.2002605017249664</v>
      </c>
      <c r="AS130" s="25">
        <f t="shared" si="833"/>
        <v>0.19808997573134457</v>
      </c>
    </row>
    <row r="131" spans="2:45" x14ac:dyDescent="0.2">
      <c r="B131" s="24" t="s">
        <v>140</v>
      </c>
      <c r="D131" s="36">
        <f>+IFERROR(D128/D$119,"n/a")</f>
        <v>2.8630246573213832E-2</v>
      </c>
      <c r="E131" s="36">
        <f t="shared" ref="E131:L131" si="834">+IFERROR(E128/E$119,"n/a")</f>
        <v>2.8207932049736806E-2</v>
      </c>
      <c r="F131" s="36">
        <f t="shared" si="834"/>
        <v>2.7458838719995868E-2</v>
      </c>
      <c r="G131" s="36">
        <f t="shared" si="834"/>
        <v>2.7366632806492198E-2</v>
      </c>
      <c r="H131" s="36">
        <f t="shared" si="834"/>
        <v>2.6964990561180711E-2</v>
      </c>
      <c r="I131" s="36">
        <f t="shared" si="834"/>
        <v>2.7337501817653046E-2</v>
      </c>
      <c r="J131" s="36">
        <f t="shared" si="834"/>
        <v>2.7063209625487205E-2</v>
      </c>
      <c r="K131" s="36">
        <f t="shared" si="834"/>
        <v>2.6926249793763405E-2</v>
      </c>
      <c r="L131" s="36">
        <f t="shared" si="834"/>
        <v>2.6781210849156373E-2</v>
      </c>
      <c r="M131" s="36">
        <f t="shared" ref="M131:U131" si="835">+IFERROR(M128/M$119,"n/a")</f>
        <v>2.6847169811320754E-2</v>
      </c>
      <c r="N131" s="36">
        <f t="shared" si="835"/>
        <v>2.5924887528734824E-2</v>
      </c>
      <c r="O131" s="36">
        <f t="shared" si="835"/>
        <v>2.6037417364477747E-2</v>
      </c>
      <c r="P131" s="36">
        <f t="shared" si="835"/>
        <v>2.5244294586067011E-2</v>
      </c>
      <c r="Q131" s="36">
        <f t="shared" si="835"/>
        <v>2.5922793162017593E-2</v>
      </c>
      <c r="R131" s="36">
        <f t="shared" si="835"/>
        <v>2.6078604167285913E-2</v>
      </c>
      <c r="S131" s="36">
        <f t="shared" si="835"/>
        <v>2.6310447761194029E-2</v>
      </c>
      <c r="T131" s="36">
        <f t="shared" si="835"/>
        <v>2.6458645843423317E-2</v>
      </c>
      <c r="U131" s="36">
        <f t="shared" si="835"/>
        <v>2.7008088614421777E-2</v>
      </c>
      <c r="V131" s="36">
        <f t="shared" ref="V131:W131" si="836">+IFERROR(V128/V$119,"n/a")</f>
        <v>2.3791565828696824E-2</v>
      </c>
      <c r="W131" s="36">
        <f t="shared" si="836"/>
        <v>2.3455916903021318E-2</v>
      </c>
      <c r="X131" s="36">
        <f t="shared" ref="X131:Y131" si="837">+IFERROR(X128/X$119,"n/a")</f>
        <v>2.2240670758281698E-2</v>
      </c>
      <c r="Y131" s="36">
        <f t="shared" si="837"/>
        <v>2.1791164088304997E-2</v>
      </c>
      <c r="Z131" s="36">
        <f t="shared" ref="Z131:AA131" si="838">+IFERROR(Z128/Z$119,"n/a")</f>
        <v>2.1929898328142336E-2</v>
      </c>
      <c r="AA131" s="36">
        <f t="shared" si="838"/>
        <v>2.0006609548651199E-2</v>
      </c>
      <c r="AB131" s="36">
        <f t="shared" ref="AB131:AC131" si="839">+IFERROR(AB128/AB$119,"n/a")</f>
        <v>1.9502632644066882E-2</v>
      </c>
      <c r="AC131" s="36">
        <f t="shared" si="839"/>
        <v>1.8834226178595665E-2</v>
      </c>
      <c r="AD131" s="36">
        <f t="shared" ref="AD131" si="840">+IFERROR(AD128/AD$119,"n/a")</f>
        <v>1.8508045977011493E-2</v>
      </c>
      <c r="AE131" s="39">
        <v>1.7999999999999999E-2</v>
      </c>
      <c r="AF131" s="39">
        <f t="shared" ref="AF131:AI131" si="841">+AE131-0.05%</f>
        <v>1.7499999999999998E-2</v>
      </c>
      <c r="AG131" s="39">
        <f t="shared" si="841"/>
        <v>1.6999999999999998E-2</v>
      </c>
      <c r="AH131" s="39">
        <f t="shared" si="841"/>
        <v>1.6499999999999997E-2</v>
      </c>
      <c r="AI131" s="39">
        <f t="shared" si="841"/>
        <v>1.5999999999999997E-2</v>
      </c>
      <c r="AK131" s="36">
        <f t="shared" ref="AK131:AO131" si="842">+IFERROR(AK128/AK$119,"n/a")</f>
        <v>2.7859846021393485E-2</v>
      </c>
      <c r="AL131" s="36">
        <f t="shared" si="842"/>
        <v>2.7859846021393485E-2</v>
      </c>
      <c r="AM131" s="36">
        <f t="shared" si="842"/>
        <v>2.7073201598177644E-2</v>
      </c>
      <c r="AN131" s="36">
        <f t="shared" si="842"/>
        <v>2.6334193989408582E-2</v>
      </c>
      <c r="AO131" s="36">
        <f t="shared" si="842"/>
        <v>2.5962904629385639E-2</v>
      </c>
      <c r="AP131" s="36">
        <f t="shared" ref="AP131:AS131" si="843">+IFERROR(AP128/AP$119,"n/a")</f>
        <v>2.4952668000229092E-2</v>
      </c>
      <c r="AQ131" s="36">
        <f t="shared" si="843"/>
        <v>2.1393892088706276E-2</v>
      </c>
      <c r="AR131" s="36">
        <f t="shared" si="843"/>
        <v>1.8640871389390933E-2</v>
      </c>
      <c r="AS131" s="36">
        <f t="shared" si="843"/>
        <v>1.6703780629794395E-2</v>
      </c>
    </row>
    <row r="132" spans="2:45" x14ac:dyDescent="0.2">
      <c r="D132" s="19"/>
      <c r="E132" s="19"/>
      <c r="F132" s="19"/>
      <c r="G132" s="19"/>
      <c r="H132" s="14"/>
      <c r="I132" s="14"/>
      <c r="J132" s="14"/>
      <c r="K132" s="14"/>
      <c r="L132" s="14"/>
      <c r="M132" s="14"/>
      <c r="N132" s="14"/>
      <c r="O132" s="14"/>
      <c r="P132" s="14"/>
      <c r="Q132" s="14"/>
      <c r="R132" s="14"/>
      <c r="S132" s="14"/>
      <c r="T132" s="14"/>
      <c r="U132" s="14"/>
      <c r="AK132" s="19"/>
      <c r="AL132" s="14"/>
      <c r="AM132" s="17"/>
      <c r="AN132" s="17"/>
      <c r="AO132" s="17"/>
      <c r="AP132" s="17"/>
      <c r="AQ132" s="17"/>
      <c r="AR132" s="17"/>
      <c r="AS132" s="17"/>
    </row>
    <row r="133" spans="2:45" x14ac:dyDescent="0.2">
      <c r="B133" t="s">
        <v>139</v>
      </c>
      <c r="D133" s="29">
        <f>+D265</f>
        <v>63.6</v>
      </c>
      <c r="E133" s="29">
        <f t="shared" ref="E133:V133" si="844">+E265</f>
        <v>76.099999999999994</v>
      </c>
      <c r="F133" s="29">
        <f t="shared" si="844"/>
        <v>83.4</v>
      </c>
      <c r="G133" s="29">
        <f t="shared" si="844"/>
        <v>84.8</v>
      </c>
      <c r="H133" s="29">
        <f t="shared" si="844"/>
        <v>88.7</v>
      </c>
      <c r="I133" s="29">
        <f t="shared" si="844"/>
        <v>105.2</v>
      </c>
      <c r="J133" s="29">
        <f t="shared" si="844"/>
        <v>114.1</v>
      </c>
      <c r="K133" s="29">
        <f t="shared" si="844"/>
        <v>117.9</v>
      </c>
      <c r="L133" s="29">
        <f t="shared" si="844"/>
        <v>120.3</v>
      </c>
      <c r="M133" s="29">
        <f t="shared" si="844"/>
        <v>74.400000000000006</v>
      </c>
      <c r="N133" s="29">
        <f t="shared" si="844"/>
        <v>127.1</v>
      </c>
      <c r="O133" s="29">
        <f t="shared" si="844"/>
        <v>122.10000000000002</v>
      </c>
      <c r="P133" s="29">
        <f t="shared" si="844"/>
        <v>141.80000000000001</v>
      </c>
      <c r="Q133" s="29">
        <f t="shared" si="844"/>
        <v>214.7</v>
      </c>
      <c r="R133" s="29">
        <f t="shared" si="844"/>
        <v>251.9</v>
      </c>
      <c r="S133" s="29">
        <f t="shared" si="844"/>
        <v>253.39999999999998</v>
      </c>
      <c r="T133" s="29">
        <f t="shared" si="844"/>
        <v>253.1</v>
      </c>
      <c r="U133" s="29">
        <f t="shared" si="844"/>
        <v>324.10000000000002</v>
      </c>
      <c r="V133" s="29">
        <f t="shared" si="844"/>
        <v>350.6</v>
      </c>
      <c r="W133" s="29">
        <f t="shared" ref="W133:X133" si="845">+W265</f>
        <v>338.3</v>
      </c>
      <c r="X133" s="29">
        <f t="shared" si="845"/>
        <v>347</v>
      </c>
      <c r="Y133" s="29">
        <f>+Y265</f>
        <v>408.9</v>
      </c>
      <c r="Z133" s="29">
        <f>+Z265</f>
        <v>432.4</v>
      </c>
      <c r="AA133" s="29">
        <f>+AA265</f>
        <v>436.10000000000014</v>
      </c>
      <c r="AB133" s="29">
        <f t="shared" ref="AB133:AC133" si="846">+AB265</f>
        <v>443.7</v>
      </c>
      <c r="AC133" s="29">
        <f t="shared" si="846"/>
        <v>506.4</v>
      </c>
      <c r="AD133" s="29">
        <f t="shared" ref="AD133" si="847">+AD265</f>
        <v>544.1</v>
      </c>
      <c r="AE133" s="13">
        <f t="shared" ref="AE133" si="848">-AE139</f>
        <v>568.42281084264266</v>
      </c>
      <c r="AF133" s="13">
        <f t="shared" ref="AF133:AI133" si="849">-AF139</f>
        <v>558.0507932999999</v>
      </c>
      <c r="AG133" s="13">
        <f t="shared" si="849"/>
        <v>619.50120959999981</v>
      </c>
      <c r="AH133" s="13">
        <f t="shared" si="849"/>
        <v>616.39499999999975</v>
      </c>
      <c r="AI133" s="13">
        <f t="shared" si="849"/>
        <v>626.94256227930919</v>
      </c>
      <c r="AK133" s="46">
        <f>+SUM(D133:G133)</f>
        <v>307.89999999999998</v>
      </c>
      <c r="AL133" s="29">
        <f>+AK133</f>
        <v>307.89999999999998</v>
      </c>
      <c r="AM133" s="17">
        <f t="shared" ref="AM133" si="850">+SUM(H133:K133)</f>
        <v>425.9</v>
      </c>
      <c r="AN133" s="17">
        <f>+SUM(L133:O133)</f>
        <v>443.9</v>
      </c>
      <c r="AO133" s="17">
        <f>+SUM(P133:S133)</f>
        <v>861.8</v>
      </c>
      <c r="AP133" s="17">
        <f>+SUM(T133:W133)</f>
        <v>1266.1000000000001</v>
      </c>
      <c r="AQ133" s="17">
        <f>+SUM(X133:AA133)</f>
        <v>1624.4</v>
      </c>
      <c r="AR133" s="17">
        <f>+SUM(AB133:AE133)</f>
        <v>2062.6228108426426</v>
      </c>
      <c r="AS133" s="17">
        <f>+SUM(AF133:AI133)</f>
        <v>2420.8895651793086</v>
      </c>
    </row>
    <row r="134" spans="2:45" x14ac:dyDescent="0.2">
      <c r="B134" s="24" t="s">
        <v>136</v>
      </c>
      <c r="D134" s="19"/>
      <c r="E134" s="19"/>
      <c r="F134" s="19"/>
      <c r="G134" s="19"/>
      <c r="H134" s="25">
        <f>+IFERROR(H133/D133-1,"n/a")</f>
        <v>0.39465408805031443</v>
      </c>
      <c r="I134" s="25">
        <f t="shared" ref="I134:Z134" si="851">+IFERROR(I133/E133-1,"n/a")</f>
        <v>0.38239159001314071</v>
      </c>
      <c r="J134" s="25">
        <f t="shared" si="851"/>
        <v>0.36810551558752991</v>
      </c>
      <c r="K134" s="25">
        <f t="shared" si="851"/>
        <v>0.3903301886792454</v>
      </c>
      <c r="L134" s="25">
        <f t="shared" si="851"/>
        <v>0.35625704622322418</v>
      </c>
      <c r="M134" s="25">
        <f t="shared" si="851"/>
        <v>-0.29277566539923949</v>
      </c>
      <c r="N134" s="25">
        <f t="shared" si="851"/>
        <v>0.11393514460999121</v>
      </c>
      <c r="O134" s="25">
        <f t="shared" si="851"/>
        <v>3.5623409669211403E-2</v>
      </c>
      <c r="P134" s="25">
        <f t="shared" si="851"/>
        <v>0.17871986699916897</v>
      </c>
      <c r="Q134" s="25">
        <f t="shared" si="851"/>
        <v>1.8857526881720426</v>
      </c>
      <c r="R134" s="25">
        <f t="shared" si="851"/>
        <v>0.98190401258851301</v>
      </c>
      <c r="S134" s="25">
        <f t="shared" si="851"/>
        <v>1.0753480753480749</v>
      </c>
      <c r="T134" s="25">
        <f t="shared" si="851"/>
        <v>0.78490832157968948</v>
      </c>
      <c r="U134" s="25">
        <f t="shared" si="851"/>
        <v>0.50954820680018642</v>
      </c>
      <c r="V134" s="25">
        <f t="shared" si="851"/>
        <v>0.39182215164747913</v>
      </c>
      <c r="W134" s="25">
        <f t="shared" si="851"/>
        <v>0.33504340962904511</v>
      </c>
      <c r="X134" s="25">
        <f t="shared" si="851"/>
        <v>0.37099960489924944</v>
      </c>
      <c r="Y134" s="25">
        <f t="shared" si="851"/>
        <v>0.26164763961740189</v>
      </c>
      <c r="Z134" s="25">
        <f t="shared" si="851"/>
        <v>0.23331431831146587</v>
      </c>
      <c r="AA134" s="25">
        <f t="shared" ref="AA134" si="852">+IFERROR(AA133/W133-1,"n/a")</f>
        <v>0.2890925214306832</v>
      </c>
      <c r="AB134" s="25">
        <f t="shared" ref="AB134" si="853">+IFERROR(AB133/X133-1,"n/a")</f>
        <v>0.2786743515850143</v>
      </c>
      <c r="AC134" s="25">
        <f t="shared" ref="AC134:AD134" si="854">+IFERROR(AC133/Y133-1,"n/a")</f>
        <v>0.23844460748349228</v>
      </c>
      <c r="AD134" s="25">
        <f t="shared" si="854"/>
        <v>0.25832562442183171</v>
      </c>
      <c r="AE134" s="25">
        <f t="shared" ref="AE134" si="855">+IFERROR(AE133/AA133-1,"n/a")</f>
        <v>0.30342309296638947</v>
      </c>
      <c r="AF134" s="25">
        <f t="shared" ref="AF134" si="856">+IFERROR(AF133/AB133-1,"n/a")</f>
        <v>0.25772096754563867</v>
      </c>
      <c r="AG134" s="25">
        <f t="shared" ref="AG134" si="857">+IFERROR(AG133/AC133-1,"n/a")</f>
        <v>0.22334362085308035</v>
      </c>
      <c r="AH134" s="25">
        <f t="shared" ref="AH134" si="858">+IFERROR(AH133/AD133-1,"n/a")</f>
        <v>0.13287079580959338</v>
      </c>
      <c r="AI134" s="25">
        <f t="shared" ref="AI134" si="859">+IFERROR(AI133/AE133-1,"n/a")</f>
        <v>0.10295109612141617</v>
      </c>
      <c r="AK134" s="19"/>
      <c r="AL134" s="14"/>
      <c r="AM134" s="25">
        <f>+IFERROR(AM133/AL133-1,"n/a")</f>
        <v>0.38324131211432277</v>
      </c>
      <c r="AN134" s="25">
        <f t="shared" ref="AN134" si="860">+IFERROR(AN133/AM133-1,"n/a")</f>
        <v>4.2263442122564054E-2</v>
      </c>
      <c r="AO134" s="25">
        <f t="shared" ref="AO134" si="861">+IFERROR(AO133/AN133-1,"n/a")</f>
        <v>0.9414282496057671</v>
      </c>
      <c r="AP134" s="25">
        <f t="shared" ref="AP134" si="862">+IFERROR(AP133/AO133-1,"n/a")</f>
        <v>0.46913436992341628</v>
      </c>
      <c r="AQ134" s="25">
        <f t="shared" ref="AQ134:AS134" si="863">+IFERROR(AQ133/AP133-1,"n/a")</f>
        <v>0.28299502408972432</v>
      </c>
      <c r="AR134" s="25">
        <f t="shared" si="863"/>
        <v>0.26977518520231625</v>
      </c>
      <c r="AS134" s="25">
        <f t="shared" si="863"/>
        <v>0.17369475041842652</v>
      </c>
    </row>
    <row r="135" spans="2:45" x14ac:dyDescent="0.2">
      <c r="B135" s="24" t="s">
        <v>193</v>
      </c>
      <c r="D135" s="19"/>
      <c r="E135" s="19"/>
      <c r="F135" s="19"/>
      <c r="G135" s="19"/>
      <c r="H135" s="55">
        <f>+H134</f>
        <v>0.39465408805031443</v>
      </c>
      <c r="I135" s="55">
        <f t="shared" ref="I135" si="864">+I134</f>
        <v>0.38239159001314071</v>
      </c>
      <c r="J135" s="25">
        <f>+J134-(J232-J255)/F133</f>
        <v>0.36810551558752991</v>
      </c>
      <c r="K135" s="25">
        <f t="shared" ref="K135:AI135" si="865">+K134-(K232-K255)/G133</f>
        <v>0.3903301886792454</v>
      </c>
      <c r="L135" s="25">
        <f t="shared" si="865"/>
        <v>0.35625704622322418</v>
      </c>
      <c r="M135" s="25">
        <f t="shared" si="865"/>
        <v>-0.29277566539923949</v>
      </c>
      <c r="N135" s="25">
        <f t="shared" si="865"/>
        <v>0.11393514460999121</v>
      </c>
      <c r="O135" s="25">
        <f t="shared" si="865"/>
        <v>3.5623409669211403E-2</v>
      </c>
      <c r="P135" s="25">
        <f t="shared" si="865"/>
        <v>0.17871986699916897</v>
      </c>
      <c r="Q135" s="25">
        <f t="shared" si="865"/>
        <v>1.8857526881720426</v>
      </c>
      <c r="R135" s="25">
        <f t="shared" si="865"/>
        <v>0.98190401258851301</v>
      </c>
      <c r="S135" s="25">
        <f t="shared" si="865"/>
        <v>1.0753480753480749</v>
      </c>
      <c r="T135" s="25">
        <f t="shared" si="865"/>
        <v>0.78490832157968948</v>
      </c>
      <c r="U135" s="25">
        <f t="shared" si="865"/>
        <v>0.50954820680018642</v>
      </c>
      <c r="V135" s="25">
        <f t="shared" si="865"/>
        <v>0.39182215164747913</v>
      </c>
      <c r="W135" s="25">
        <f t="shared" si="865"/>
        <v>0.33504340962904511</v>
      </c>
      <c r="X135" s="25">
        <f t="shared" si="865"/>
        <v>0.37099960489924944</v>
      </c>
      <c r="Y135" s="25">
        <f t="shared" si="865"/>
        <v>0.26164763961740189</v>
      </c>
      <c r="Z135" s="25">
        <f t="shared" si="865"/>
        <v>0.23331431831146587</v>
      </c>
      <c r="AA135" s="25">
        <f t="shared" si="865"/>
        <v>0.1389299438368316</v>
      </c>
      <c r="AB135" s="25">
        <f t="shared" si="865"/>
        <v>0.10282126506910361</v>
      </c>
      <c r="AC135" s="25">
        <f t="shared" si="865"/>
        <v>8.9212469990166243E-2</v>
      </c>
      <c r="AD135" s="25">
        <f t="shared" si="865"/>
        <v>0.11720392918357775</v>
      </c>
      <c r="AE135" s="25">
        <f t="shared" si="865"/>
        <v>0.24500466536658147</v>
      </c>
      <c r="AF135" s="25">
        <f t="shared" si="865"/>
        <v>0.25772096754563867</v>
      </c>
      <c r="AG135" s="25">
        <f t="shared" si="865"/>
        <v>0.22334362085308035</v>
      </c>
      <c r="AH135" s="25">
        <f t="shared" si="865"/>
        <v>0.13287079580959338</v>
      </c>
      <c r="AI135" s="25">
        <f t="shared" si="865"/>
        <v>0.10295109612141617</v>
      </c>
      <c r="AK135" s="19"/>
      <c r="AL135" s="14"/>
      <c r="AM135" s="25">
        <f>+AM134-(AM232-AM255)/AL133</f>
        <v>0.38324131211432277</v>
      </c>
      <c r="AN135" s="25">
        <f t="shared" ref="AN135:AS135" si="866">+AN134-(AN232-AN255)/AM133</f>
        <v>4.2263442122564054E-2</v>
      </c>
      <c r="AO135" s="25">
        <f t="shared" si="866"/>
        <v>0.9414282496057671</v>
      </c>
      <c r="AP135" s="25">
        <f t="shared" si="866"/>
        <v>0.46913436992341628</v>
      </c>
      <c r="AQ135" s="25">
        <f t="shared" si="866"/>
        <v>0.24287181107337491</v>
      </c>
      <c r="AR135" s="25">
        <f t="shared" si="866"/>
        <v>0.1413958824817183</v>
      </c>
      <c r="AS135" s="25">
        <f t="shared" si="866"/>
        <v>0.17369475041842652</v>
      </c>
    </row>
    <row r="136" spans="2:45" x14ac:dyDescent="0.2">
      <c r="B136" s="24" t="s">
        <v>140</v>
      </c>
      <c r="D136" s="36">
        <f>+IFERROR(D133/D$119,"n/a")</f>
        <v>1.9007136555912317E-2</v>
      </c>
      <c r="E136" s="36">
        <f t="shared" ref="E136:U136" si="867">+IFERROR(E133/E$119,"n/a")</f>
        <v>1.9234978754345617E-2</v>
      </c>
      <c r="F136" s="36">
        <f t="shared" si="867"/>
        <v>1.8973215818124736E-2</v>
      </c>
      <c r="G136" s="36">
        <f t="shared" si="867"/>
        <v>1.9068943812576324E-2</v>
      </c>
      <c r="H136" s="36">
        <f t="shared" si="867"/>
        <v>1.9027801613180025E-2</v>
      </c>
      <c r="I136" s="36">
        <f t="shared" si="867"/>
        <v>1.9121710047986039E-2</v>
      </c>
      <c r="J136" s="36">
        <f t="shared" si="867"/>
        <v>1.9335705812574138E-2</v>
      </c>
      <c r="K136" s="36">
        <f t="shared" si="867"/>
        <v>1.9452235604685696E-2</v>
      </c>
      <c r="L136" s="36">
        <f t="shared" si="867"/>
        <v>1.9573388002147703E-2</v>
      </c>
      <c r="M136" s="36">
        <f t="shared" si="867"/>
        <v>1.7547169811320755E-2</v>
      </c>
      <c r="N136" s="36">
        <f t="shared" si="867"/>
        <v>1.792488752873482E-2</v>
      </c>
      <c r="O136" s="36">
        <f t="shared" si="867"/>
        <v>1.7937417364477747E-2</v>
      </c>
      <c r="P136" s="36">
        <f t="shared" si="867"/>
        <v>1.7754294586067011E-2</v>
      </c>
      <c r="Q136" s="36">
        <f t="shared" si="867"/>
        <v>1.8142793162017595E-2</v>
      </c>
      <c r="R136" s="36">
        <f t="shared" si="867"/>
        <v>1.8718604167285914E-2</v>
      </c>
      <c r="S136" s="36">
        <f t="shared" si="867"/>
        <v>1.8910447761194028E-2</v>
      </c>
      <c r="T136" s="36">
        <f t="shared" si="867"/>
        <v>1.8858645843423318E-2</v>
      </c>
      <c r="U136" s="36">
        <f t="shared" si="867"/>
        <v>1.9208088614421776E-2</v>
      </c>
      <c r="V136" s="36">
        <f t="shared" ref="V136:W136" si="868">+IFERROR(V133/V$119,"n/a")</f>
        <v>1.7021565828696825E-2</v>
      </c>
      <c r="W136" s="36">
        <f t="shared" si="868"/>
        <v>1.6345916903021316E-2</v>
      </c>
      <c r="X136" s="36">
        <f t="shared" ref="X136:Y136" si="869">+IFERROR(X133/X$119,"n/a")</f>
        <v>1.5590670758281701E-2</v>
      </c>
      <c r="Y136" s="36">
        <f t="shared" si="869"/>
        <v>1.5261164088304998E-2</v>
      </c>
      <c r="Z136" s="36">
        <f t="shared" ref="Z136" si="870">+IFERROR(Z133/Z$119,"n/a")</f>
        <v>1.547989832814234E-2</v>
      </c>
      <c r="AA136" s="36">
        <f>+IFERROR(AA133/AA$119,"n/a")</f>
        <v>1.3606609548651198E-2</v>
      </c>
      <c r="AB136" s="36">
        <f t="shared" ref="AB136:AC136" si="871">+IFERROR(AB133/AB$119,"n/a")</f>
        <v>1.330263264406688E-2</v>
      </c>
      <c r="AC136" s="36">
        <f t="shared" si="871"/>
        <v>1.2634226178595664E-2</v>
      </c>
      <c r="AD136" s="36">
        <f t="shared" ref="AD136" si="872">+IFERROR(AD133/AD$119,"n/a")</f>
        <v>1.2508045977011495E-2</v>
      </c>
      <c r="AE136" s="36">
        <f t="shared" ref="AE136" si="873">+IFERROR(AE133/AE$119,"n/a")</f>
        <v>1.1859999999999999E-2</v>
      </c>
      <c r="AF136" s="36">
        <f t="shared" ref="AF136:AI136" si="874">+IFERROR(AF133/AF$119,"n/a")</f>
        <v>1.1699999999999997E-2</v>
      </c>
      <c r="AG136" s="36">
        <f t="shared" si="874"/>
        <v>1.1199999999999998E-2</v>
      </c>
      <c r="AH136" s="36">
        <f t="shared" si="874"/>
        <v>1.0899999999999996E-2</v>
      </c>
      <c r="AI136" s="36">
        <f t="shared" si="874"/>
        <v>1.0299999999999997E-2</v>
      </c>
      <c r="AK136" s="36">
        <f t="shared" ref="AK136:AO136" si="875">+IFERROR(AK133/AK$119,"n/a")</f>
        <v>1.9070801667378956E-2</v>
      </c>
      <c r="AL136" s="36">
        <f t="shared" si="875"/>
        <v>1.9070801667378956E-2</v>
      </c>
      <c r="AM136" s="36">
        <f t="shared" si="875"/>
        <v>1.9249543506951346E-2</v>
      </c>
      <c r="AN136" s="36">
        <f t="shared" si="875"/>
        <v>1.8279676162709296E-2</v>
      </c>
      <c r="AO136" s="36">
        <f t="shared" si="875"/>
        <v>1.8462698621831742E-2</v>
      </c>
      <c r="AP136" s="36">
        <f t="shared" ref="AP136:AS136" si="876">+IFERROR(AP133/AP$119,"n/a")</f>
        <v>1.7685999131135659E-2</v>
      </c>
      <c r="AQ136" s="36">
        <f t="shared" si="876"/>
        <v>1.4898105178201296E-2</v>
      </c>
      <c r="AR136" s="36">
        <f t="shared" si="876"/>
        <v>1.2511084958373142E-2</v>
      </c>
      <c r="AS136" s="36">
        <f t="shared" si="876"/>
        <v>1.0982703738766676E-2</v>
      </c>
    </row>
    <row r="137" spans="2:45" x14ac:dyDescent="0.2">
      <c r="D137" s="19"/>
      <c r="E137" s="19"/>
      <c r="F137" s="19"/>
      <c r="G137" s="19"/>
      <c r="H137" s="14"/>
      <c r="I137" s="14"/>
      <c r="J137" s="14"/>
      <c r="K137" s="14"/>
      <c r="L137" s="14"/>
      <c r="M137" s="14"/>
      <c r="N137" s="14"/>
      <c r="O137" s="14"/>
      <c r="P137" s="14"/>
      <c r="Q137" s="14"/>
      <c r="R137" s="14"/>
      <c r="S137" s="14"/>
      <c r="T137" s="14"/>
      <c r="U137" s="14"/>
      <c r="AK137" s="19"/>
      <c r="AL137" s="14"/>
      <c r="AM137" s="17"/>
      <c r="AN137" s="17"/>
      <c r="AO137" s="17"/>
      <c r="AP137" s="17"/>
      <c r="AQ137" s="17"/>
      <c r="AR137" s="17"/>
      <c r="AS137" s="17"/>
    </row>
    <row r="138" spans="2:45" x14ac:dyDescent="0.2">
      <c r="B138" t="s">
        <v>452</v>
      </c>
      <c r="D138" s="29">
        <f>+D128</f>
        <v>95.8</v>
      </c>
      <c r="E138" s="29">
        <f t="shared" ref="E138:L138" si="877">+E128</f>
        <v>111.6</v>
      </c>
      <c r="F138" s="29">
        <f t="shared" si="877"/>
        <v>120.7</v>
      </c>
      <c r="G138" s="29">
        <f t="shared" si="877"/>
        <v>121.7</v>
      </c>
      <c r="H138" s="29">
        <f t="shared" si="877"/>
        <v>125.7</v>
      </c>
      <c r="I138" s="29">
        <f t="shared" si="877"/>
        <v>150.4</v>
      </c>
      <c r="J138" s="29">
        <f t="shared" si="877"/>
        <v>159.69999999999999</v>
      </c>
      <c r="K138" s="29">
        <f t="shared" si="877"/>
        <v>163.19999999999999</v>
      </c>
      <c r="L138" s="29">
        <f t="shared" si="877"/>
        <v>164.6</v>
      </c>
      <c r="M138" s="17">
        <f>+M140-M139</f>
        <v>113.83199999999999</v>
      </c>
      <c r="N138" s="17">
        <f t="shared" ref="N138:X138" si="878">+N140-N139</f>
        <v>183.82560000000001</v>
      </c>
      <c r="O138" s="17">
        <f t="shared" si="878"/>
        <v>177.23670000000001</v>
      </c>
      <c r="P138" s="17">
        <f t="shared" si="878"/>
        <v>201.62113200000002</v>
      </c>
      <c r="Q138" s="17">
        <f t="shared" si="878"/>
        <v>306.767742</v>
      </c>
      <c r="R138" s="17">
        <f t="shared" si="878"/>
        <v>350.94499200000001</v>
      </c>
      <c r="S138" s="17">
        <f t="shared" si="878"/>
        <v>352.56</v>
      </c>
      <c r="T138" s="17">
        <f t="shared" si="878"/>
        <v>355.09884</v>
      </c>
      <c r="U138" s="17">
        <f t="shared" si="878"/>
        <v>455.71018000000004</v>
      </c>
      <c r="V138" s="17">
        <f t="shared" si="878"/>
        <v>490.044398</v>
      </c>
      <c r="W138" s="17">
        <f t="shared" si="878"/>
        <v>485.450693</v>
      </c>
      <c r="X138" s="17">
        <f t="shared" si="878"/>
        <v>495.00838499999998</v>
      </c>
      <c r="Y138" s="17">
        <f t="shared" ref="Y138:Z138" si="879">+Y140-Y139</f>
        <v>583.86155499999995</v>
      </c>
      <c r="Z138" s="17">
        <f t="shared" si="879"/>
        <v>612.56784999999991</v>
      </c>
      <c r="AA138" s="17">
        <f t="shared" ref="AA138" si="880">+AA140-AA139</f>
        <v>641.22384000000022</v>
      </c>
      <c r="AB138" s="17">
        <f t="shared" ref="AB138:AC138" si="881">+AB140-AB139</f>
        <v>650.49666000000002</v>
      </c>
      <c r="AC138" s="17">
        <f t="shared" si="881"/>
        <v>754.90591999999992</v>
      </c>
      <c r="AD138" s="17">
        <f t="shared" ref="AD138" si="882">+AD140-AD139</f>
        <v>805.1</v>
      </c>
      <c r="AE138" s="13">
        <f t="shared" ref="AE138" si="883">+AE128</f>
        <v>862.69903837837842</v>
      </c>
      <c r="AF138" s="13">
        <f t="shared" ref="AF138:AI138" si="884">+AF128</f>
        <v>834.69135749999998</v>
      </c>
      <c r="AG138" s="13">
        <f t="shared" si="884"/>
        <v>940.3143359999998</v>
      </c>
      <c r="AH138" s="13">
        <f t="shared" si="884"/>
        <v>933.07499999999982</v>
      </c>
      <c r="AI138" s="13">
        <f t="shared" si="884"/>
        <v>973.89135888048042</v>
      </c>
      <c r="AK138" s="17">
        <f>+SUM(D138:G138)</f>
        <v>449.79999999999995</v>
      </c>
      <c r="AL138" s="17">
        <f>+AK138</f>
        <v>449.79999999999995</v>
      </c>
      <c r="AM138" s="17">
        <f t="shared" ref="AM138" si="885">+SUM(H138:K138)</f>
        <v>599</v>
      </c>
      <c r="AN138" s="17">
        <f>+SUM(L138:O138)</f>
        <v>639.49430000000007</v>
      </c>
      <c r="AO138" s="17">
        <f>+SUM(P138:S138)</f>
        <v>1211.8938659999999</v>
      </c>
      <c r="AP138" s="17">
        <f>+SUM(T138:W138)</f>
        <v>1786.3041110000001</v>
      </c>
      <c r="AQ138" s="17">
        <f>+SUM(X138:AA138)</f>
        <v>2332.6616300000001</v>
      </c>
      <c r="AR138" s="17">
        <f t="shared" ref="AR138:AR140" si="886">+SUM(AB138:AE138)</f>
        <v>3073.201618378378</v>
      </c>
      <c r="AS138" s="17">
        <f t="shared" ref="AS138:AS140" si="887">+SUM(AF138:AI138)</f>
        <v>3681.9720523804799</v>
      </c>
    </row>
    <row r="139" spans="2:45" ht="13.5" x14ac:dyDescent="0.35">
      <c r="B139" t="s">
        <v>139</v>
      </c>
      <c r="D139" s="30">
        <f>-D133</f>
        <v>-63.6</v>
      </c>
      <c r="E139" s="30">
        <f t="shared" ref="E139:X139" si="888">-E133</f>
        <v>-76.099999999999994</v>
      </c>
      <c r="F139" s="30">
        <f t="shared" si="888"/>
        <v>-83.4</v>
      </c>
      <c r="G139" s="30">
        <f t="shared" si="888"/>
        <v>-84.8</v>
      </c>
      <c r="H139" s="30">
        <f t="shared" si="888"/>
        <v>-88.7</v>
      </c>
      <c r="I139" s="30">
        <f t="shared" si="888"/>
        <v>-105.2</v>
      </c>
      <c r="J139" s="30">
        <f t="shared" si="888"/>
        <v>-114.1</v>
      </c>
      <c r="K139" s="30">
        <f t="shared" si="888"/>
        <v>-117.9</v>
      </c>
      <c r="L139" s="30">
        <f t="shared" si="888"/>
        <v>-120.3</v>
      </c>
      <c r="M139" s="30">
        <f t="shared" si="888"/>
        <v>-74.400000000000006</v>
      </c>
      <c r="N139" s="30">
        <f t="shared" si="888"/>
        <v>-127.1</v>
      </c>
      <c r="O139" s="30">
        <f t="shared" si="888"/>
        <v>-122.10000000000002</v>
      </c>
      <c r="P139" s="30">
        <f t="shared" si="888"/>
        <v>-141.80000000000001</v>
      </c>
      <c r="Q139" s="30">
        <f t="shared" si="888"/>
        <v>-214.7</v>
      </c>
      <c r="R139" s="30">
        <f t="shared" si="888"/>
        <v>-251.9</v>
      </c>
      <c r="S139" s="30">
        <f t="shared" si="888"/>
        <v>-253.39999999999998</v>
      </c>
      <c r="T139" s="30">
        <f t="shared" si="888"/>
        <v>-253.1</v>
      </c>
      <c r="U139" s="30">
        <f t="shared" si="888"/>
        <v>-324.10000000000002</v>
      </c>
      <c r="V139" s="30">
        <f t="shared" si="888"/>
        <v>-350.6</v>
      </c>
      <c r="W139" s="30">
        <f t="shared" si="888"/>
        <v>-338.3</v>
      </c>
      <c r="X139" s="30">
        <f t="shared" si="888"/>
        <v>-347</v>
      </c>
      <c r="Y139" s="30">
        <f t="shared" ref="Y139:Z139" si="889">-Y133</f>
        <v>-408.9</v>
      </c>
      <c r="Z139" s="30">
        <f t="shared" si="889"/>
        <v>-432.4</v>
      </c>
      <c r="AA139" s="30">
        <f t="shared" ref="AA139" si="890">-AA133</f>
        <v>-436.10000000000014</v>
      </c>
      <c r="AB139" s="30">
        <f t="shared" ref="AB139:AC139" si="891">-AB133</f>
        <v>-443.7</v>
      </c>
      <c r="AC139" s="30">
        <f t="shared" si="891"/>
        <v>-506.4</v>
      </c>
      <c r="AD139" s="30">
        <f t="shared" ref="AD139" si="892">-AD133</f>
        <v>-544.1</v>
      </c>
      <c r="AE139" s="16">
        <f t="shared" ref="AE139" si="893">+AE140-AE138</f>
        <v>-568.42281084264266</v>
      </c>
      <c r="AF139" s="16">
        <f t="shared" ref="AF139:AI139" si="894">+AF140-AF138</f>
        <v>-558.0507932999999</v>
      </c>
      <c r="AG139" s="16">
        <f t="shared" si="894"/>
        <v>-619.50120959999981</v>
      </c>
      <c r="AH139" s="16">
        <f t="shared" si="894"/>
        <v>-616.39499999999975</v>
      </c>
      <c r="AI139" s="16">
        <f t="shared" si="894"/>
        <v>-626.94256227930919</v>
      </c>
      <c r="AK139" s="30">
        <f t="shared" ref="AK139:AK140" si="895">+SUM(D139:G139)</f>
        <v>-307.89999999999998</v>
      </c>
      <c r="AL139" s="30">
        <f t="shared" ref="AL139:AL140" si="896">+AK139</f>
        <v>-307.89999999999998</v>
      </c>
      <c r="AM139" s="30">
        <f t="shared" ref="AM139:AM140" si="897">+SUM(H139:K139)</f>
        <v>-425.9</v>
      </c>
      <c r="AN139" s="30">
        <f t="shared" ref="AN139:AN140" si="898">+SUM(L139:O139)</f>
        <v>-443.9</v>
      </c>
      <c r="AO139" s="30">
        <f t="shared" ref="AO139:AO140" si="899">+SUM(P139:S139)</f>
        <v>-861.8</v>
      </c>
      <c r="AP139" s="30">
        <f>+SUM(T139:W139)</f>
        <v>-1266.1000000000001</v>
      </c>
      <c r="AQ139" s="30">
        <f>+SUM(X139:AA139)</f>
        <v>-1624.4</v>
      </c>
      <c r="AR139" s="18">
        <f t="shared" si="886"/>
        <v>-2062.6228108426426</v>
      </c>
      <c r="AS139" s="18">
        <f t="shared" si="887"/>
        <v>-2420.8895651793086</v>
      </c>
    </row>
    <row r="140" spans="2:45" s="1" customFormat="1" x14ac:dyDescent="0.2">
      <c r="B140" s="31" t="s">
        <v>450</v>
      </c>
      <c r="D140" s="32">
        <f>SUM(D138:D139)</f>
        <v>32.199999999999996</v>
      </c>
      <c r="E140" s="32">
        <f t="shared" ref="E140:L140" si="900">SUM(E138:E139)</f>
        <v>35.5</v>
      </c>
      <c r="F140" s="32">
        <f t="shared" si="900"/>
        <v>37.299999999999997</v>
      </c>
      <c r="G140" s="32">
        <f t="shared" si="900"/>
        <v>36.900000000000006</v>
      </c>
      <c r="H140" s="32">
        <f t="shared" si="900"/>
        <v>37</v>
      </c>
      <c r="I140" s="32">
        <f t="shared" si="900"/>
        <v>45.2</v>
      </c>
      <c r="J140" s="32">
        <f t="shared" si="900"/>
        <v>45.599999999999994</v>
      </c>
      <c r="K140" s="32">
        <f t="shared" si="900"/>
        <v>45.299999999999983</v>
      </c>
      <c r="L140" s="32">
        <f t="shared" si="900"/>
        <v>44.3</v>
      </c>
      <c r="M140" s="32">
        <f>+M143*M119</f>
        <v>39.431999999999995</v>
      </c>
      <c r="N140" s="32">
        <f>+N143*N119</f>
        <v>56.7256</v>
      </c>
      <c r="O140" s="32">
        <f>+O143*O119</f>
        <v>55.136699999999998</v>
      </c>
      <c r="P140" s="32">
        <f t="shared" ref="P140:U140" si="901">+P143*P119</f>
        <v>59.821132000000006</v>
      </c>
      <c r="Q140" s="32">
        <f t="shared" si="901"/>
        <v>92.067741999999996</v>
      </c>
      <c r="R140" s="32">
        <f t="shared" si="901"/>
        <v>99.044992000000008</v>
      </c>
      <c r="S140" s="32">
        <f t="shared" si="901"/>
        <v>99.160000000000011</v>
      </c>
      <c r="T140" s="32">
        <f t="shared" si="901"/>
        <v>101.99884</v>
      </c>
      <c r="U140" s="32">
        <f t="shared" si="901"/>
        <v>131.61017999999999</v>
      </c>
      <c r="V140" s="32">
        <f>+V143*V119</f>
        <v>139.44439800000001</v>
      </c>
      <c r="W140" s="32">
        <f t="shared" ref="W140:X140" si="902">+W143*W119</f>
        <v>147.15069299999996</v>
      </c>
      <c r="X140" s="32">
        <f t="shared" si="902"/>
        <v>148.008385</v>
      </c>
      <c r="Y140" s="32">
        <f t="shared" ref="Y140:Z140" si="903">+Y143*Y119</f>
        <v>174.961555</v>
      </c>
      <c r="Z140" s="32">
        <f t="shared" si="903"/>
        <v>180.16784999999999</v>
      </c>
      <c r="AA140" s="32">
        <f t="shared" ref="AA140" si="904">+AA143*AA119</f>
        <v>205.12384000000006</v>
      </c>
      <c r="AB140" s="32">
        <f t="shared" ref="AB140:AC140" si="905">+AB143*AB119</f>
        <v>206.79666</v>
      </c>
      <c r="AC140" s="32">
        <f t="shared" si="905"/>
        <v>248.50591999999997</v>
      </c>
      <c r="AD140" s="32">
        <f t="shared" ref="AD140" si="906">+AD143*AD119</f>
        <v>261</v>
      </c>
      <c r="AE140" s="32">
        <f t="shared" ref="AE140" si="907">+AE143*AE119</f>
        <v>294.27622753573576</v>
      </c>
      <c r="AF140" s="32">
        <f t="shared" ref="AF140:AI140" si="908">+AF143*AF119</f>
        <v>276.64056420000003</v>
      </c>
      <c r="AG140" s="32">
        <f t="shared" si="908"/>
        <v>320.81312639999993</v>
      </c>
      <c r="AH140" s="32">
        <f t="shared" si="908"/>
        <v>316.68</v>
      </c>
      <c r="AI140" s="32">
        <f t="shared" si="908"/>
        <v>346.94879660117124</v>
      </c>
      <c r="AK140" s="32">
        <f t="shared" si="895"/>
        <v>141.89999999999998</v>
      </c>
      <c r="AL140" s="32">
        <f t="shared" si="896"/>
        <v>141.89999999999998</v>
      </c>
      <c r="AM140" s="32">
        <f t="shared" si="897"/>
        <v>173.09999999999997</v>
      </c>
      <c r="AN140" s="32">
        <f t="shared" si="898"/>
        <v>195.5943</v>
      </c>
      <c r="AO140" s="32">
        <f t="shared" si="899"/>
        <v>350.09386599999999</v>
      </c>
      <c r="AP140" s="32">
        <f>+SUM(T140:W140)</f>
        <v>520.2041109999999</v>
      </c>
      <c r="AQ140" s="32">
        <f>+SUM(X140:AA140)</f>
        <v>708.26163000000008</v>
      </c>
      <c r="AR140" s="34">
        <f t="shared" si="886"/>
        <v>1010.5788075357358</v>
      </c>
      <c r="AS140" s="34">
        <f t="shared" si="887"/>
        <v>1261.0824872011713</v>
      </c>
    </row>
    <row r="141" spans="2:45" x14ac:dyDescent="0.2">
      <c r="B141" s="28" t="s">
        <v>136</v>
      </c>
      <c r="D141" s="19"/>
      <c r="E141" s="19"/>
      <c r="F141" s="19"/>
      <c r="G141" s="19"/>
      <c r="H141" s="25">
        <f>+IFERROR(H140/D140-1,"n/a")</f>
        <v>0.14906832298136652</v>
      </c>
      <c r="I141" s="25">
        <f t="shared" ref="I141" si="909">+IFERROR(I140/E140-1,"n/a")</f>
        <v>0.27323943661971839</v>
      </c>
      <c r="J141" s="25">
        <f t="shared" ref="J141" si="910">+IFERROR(J140/F140-1,"n/a")</f>
        <v>0.22252010723860582</v>
      </c>
      <c r="K141" s="25">
        <f t="shared" ref="K141" si="911">+IFERROR(K140/G140-1,"n/a")</f>
        <v>0.22764227642276347</v>
      </c>
      <c r="L141" s="25">
        <f t="shared" ref="L141" si="912">+IFERROR(L140/H140-1,"n/a")</f>
        <v>0.19729729729729728</v>
      </c>
      <c r="M141" s="25">
        <f t="shared" ref="M141" si="913">+IFERROR(M140/I140-1,"n/a")</f>
        <v>-0.12761061946902674</v>
      </c>
      <c r="N141" s="25">
        <f t="shared" ref="N141" si="914">+IFERROR(N140/J140-1,"n/a")</f>
        <v>0.24398245614035097</v>
      </c>
      <c r="O141" s="25">
        <f t="shared" ref="O141" si="915">+IFERROR(O140/K140-1,"n/a")</f>
        <v>0.21714569536423878</v>
      </c>
      <c r="P141" s="25">
        <f t="shared" ref="P141" si="916">+IFERROR(P140/L140-1,"n/a")</f>
        <v>0.35036415349887151</v>
      </c>
      <c r="Q141" s="25">
        <f t="shared" ref="Q141" si="917">+IFERROR(Q140/M140-1,"n/a")</f>
        <v>1.3348483972408198</v>
      </c>
      <c r="R141" s="25">
        <f t="shared" ref="R141" si="918">+IFERROR(R140/N140-1,"n/a")</f>
        <v>0.74603692160153456</v>
      </c>
      <c r="S141" s="25">
        <f t="shared" ref="S141" si="919">+IFERROR(S140/O140-1,"n/a")</f>
        <v>0.79843915214367223</v>
      </c>
      <c r="T141" s="25">
        <f t="shared" ref="T141" si="920">+IFERROR(T140/P140-1,"n/a")</f>
        <v>0.70506368886499837</v>
      </c>
      <c r="U141" s="25">
        <f t="shared" ref="U141:V141" si="921">+IFERROR(U140/Q140-1,"n/a")</f>
        <v>0.42949286189727554</v>
      </c>
      <c r="V141" s="25">
        <f t="shared" si="921"/>
        <v>0.40788943675213774</v>
      </c>
      <c r="W141" s="25">
        <f t="shared" ref="W141" si="922">+IFERROR(W140/S140-1,"n/a")</f>
        <v>0.48397229729729685</v>
      </c>
      <c r="X141" s="25">
        <f t="shared" ref="X141:AA141" si="923">+IFERROR(X140/T140-1,"n/a")</f>
        <v>0.45107910050741751</v>
      </c>
      <c r="Y141" s="25">
        <f t="shared" si="923"/>
        <v>0.32939226281735978</v>
      </c>
      <c r="Z141" s="25">
        <f t="shared" si="923"/>
        <v>0.29204078890282825</v>
      </c>
      <c r="AA141" s="25">
        <f t="shared" si="923"/>
        <v>0.3939712808556064</v>
      </c>
      <c r="AB141" s="25">
        <f t="shared" ref="AB141" si="924">+IFERROR(AB140/X140-1,"n/a")</f>
        <v>0.39719557104822134</v>
      </c>
      <c r="AC141" s="25">
        <f t="shared" ref="AC141:AD141" si="925">+IFERROR(AC140/Y140-1,"n/a")</f>
        <v>0.42034585826583437</v>
      </c>
      <c r="AD141" s="25">
        <f t="shared" si="925"/>
        <v>0.44864913468190926</v>
      </c>
      <c r="AE141" s="25">
        <f t="shared" ref="AE141" si="926">+IFERROR(AE140/AA140-1,"n/a")</f>
        <v>0.43462713810221021</v>
      </c>
      <c r="AF141" s="25">
        <f t="shared" ref="AF141" si="927">+IFERROR(AF140/AB140-1,"n/a")</f>
        <v>0.3377419354838711</v>
      </c>
      <c r="AG141" s="25">
        <f t="shared" ref="AG141" si="928">+IFERROR(AG140/AC140-1,"n/a")</f>
        <v>0.29096774193548369</v>
      </c>
      <c r="AH141" s="25">
        <f t="shared" ref="AH141" si="929">+IFERROR(AH140/AD140-1,"n/a")</f>
        <v>0.21333333333333337</v>
      </c>
      <c r="AI141" s="25">
        <f t="shared" ref="AI141" si="930">+IFERROR(AI140/AE140-1,"n/a")</f>
        <v>0.17899022801302955</v>
      </c>
      <c r="AK141" s="19"/>
      <c r="AL141" s="14"/>
      <c r="AM141" s="25">
        <f>+IFERROR(AM140/AL140-1,"n/a")</f>
        <v>0.21987315010570829</v>
      </c>
      <c r="AN141" s="25">
        <f t="shared" ref="AN141" si="931">+IFERROR(AN140/AM140-1,"n/a")</f>
        <v>0.12994974003466231</v>
      </c>
      <c r="AO141" s="25">
        <f t="shared" ref="AO141" si="932">+IFERROR(AO140/AN140-1,"n/a")</f>
        <v>0.78989810030251384</v>
      </c>
      <c r="AP141" s="25">
        <f t="shared" ref="AP141" si="933">+IFERROR(AP140/AO140-1,"n/a")</f>
        <v>0.48589895888093038</v>
      </c>
      <c r="AQ141" s="25">
        <f t="shared" ref="AQ141:AS141" si="934">+IFERROR(AQ140/AP140-1,"n/a")</f>
        <v>0.36150717578623714</v>
      </c>
      <c r="AR141" s="25">
        <f t="shared" si="934"/>
        <v>0.42684392988468911</v>
      </c>
      <c r="AS141" s="25">
        <f t="shared" si="934"/>
        <v>0.24788139014737576</v>
      </c>
    </row>
    <row r="142" spans="2:45" x14ac:dyDescent="0.2">
      <c r="B142" s="28" t="s">
        <v>193</v>
      </c>
      <c r="D142" s="19"/>
      <c r="E142" s="19"/>
      <c r="F142" s="19"/>
      <c r="G142" s="19"/>
      <c r="H142" s="55">
        <f>+H141</f>
        <v>0.14906832298136652</v>
      </c>
      <c r="I142" s="55">
        <f t="shared" ref="I142" si="935">+I141</f>
        <v>0.27323943661971839</v>
      </c>
      <c r="J142" s="25">
        <f t="shared" ref="J142:AI142" si="936">+J141-J255/F140</f>
        <v>0.22252010723860582</v>
      </c>
      <c r="K142" s="25">
        <f t="shared" si="936"/>
        <v>0.22764227642276347</v>
      </c>
      <c r="L142" s="25">
        <f t="shared" si="936"/>
        <v>0.19729729729729728</v>
      </c>
      <c r="M142" s="25">
        <f t="shared" si="936"/>
        <v>-0.12761061946902674</v>
      </c>
      <c r="N142" s="25">
        <f t="shared" si="936"/>
        <v>0.24398245614035097</v>
      </c>
      <c r="O142" s="25">
        <f t="shared" si="936"/>
        <v>0.21714569536423878</v>
      </c>
      <c r="P142" s="25">
        <f t="shared" si="936"/>
        <v>0.35036415349887151</v>
      </c>
      <c r="Q142" s="25">
        <f t="shared" si="936"/>
        <v>1.3348483972408198</v>
      </c>
      <c r="R142" s="25">
        <f t="shared" si="936"/>
        <v>0.74603692160153456</v>
      </c>
      <c r="S142" s="25">
        <f t="shared" si="936"/>
        <v>0.79843915214367223</v>
      </c>
      <c r="T142" s="25">
        <f t="shared" si="936"/>
        <v>0.70506368886499837</v>
      </c>
      <c r="U142" s="25">
        <f t="shared" si="936"/>
        <v>0.42949286189727554</v>
      </c>
      <c r="V142" s="25">
        <f t="shared" si="936"/>
        <v>0.40788943675213774</v>
      </c>
      <c r="W142" s="25">
        <f t="shared" si="936"/>
        <v>0.48397229729729685</v>
      </c>
      <c r="X142" s="25">
        <f t="shared" si="936"/>
        <v>0.45107910050741751</v>
      </c>
      <c r="Y142" s="25">
        <f t="shared" si="936"/>
        <v>0.32939226281735978</v>
      </c>
      <c r="Z142" s="25">
        <f t="shared" si="936"/>
        <v>0.29204078890282825</v>
      </c>
      <c r="AA142" s="25">
        <f t="shared" si="936"/>
        <v>0.28659835805190609</v>
      </c>
      <c r="AB142" s="25">
        <f t="shared" si="936"/>
        <v>0.26896649146614915</v>
      </c>
      <c r="AC142" s="25">
        <f t="shared" si="936"/>
        <v>0.31187071937615668</v>
      </c>
      <c r="AD142" s="25">
        <f t="shared" si="936"/>
        <v>0.34330859263193203</v>
      </c>
      <c r="AE142" s="25">
        <f t="shared" si="936"/>
        <v>0.39599816292446527</v>
      </c>
      <c r="AF142" s="25">
        <f t="shared" si="936"/>
        <v>0.3377419354838711</v>
      </c>
      <c r="AG142" s="25">
        <f t="shared" si="936"/>
        <v>0.29096774193548369</v>
      </c>
      <c r="AH142" s="25">
        <f t="shared" si="936"/>
        <v>0.21333333333333337</v>
      </c>
      <c r="AI142" s="25">
        <f t="shared" si="936"/>
        <v>0.17899022801302955</v>
      </c>
      <c r="AK142" s="19"/>
      <c r="AL142" s="14"/>
      <c r="AM142" s="25">
        <f>+AM141-AM255/AL140</f>
        <v>0.21987315010570829</v>
      </c>
      <c r="AN142" s="25">
        <f>+AN141-AN255/AM140</f>
        <v>0.12994974003466231</v>
      </c>
      <c r="AO142" s="25">
        <f t="shared" ref="AO142:AS142" si="937">+AO141-AO255/AN140</f>
        <v>0.78989810030251384</v>
      </c>
      <c r="AP142" s="25">
        <f t="shared" si="937"/>
        <v>0.48589895888093038</v>
      </c>
      <c r="AQ142" s="25">
        <f t="shared" si="937"/>
        <v>0.33113448232630405</v>
      </c>
      <c r="AR142" s="25">
        <f t="shared" si="937"/>
        <v>0.33526666815915884</v>
      </c>
      <c r="AS142" s="25">
        <f t="shared" si="937"/>
        <v>0.24788139014737576</v>
      </c>
    </row>
    <row r="143" spans="2:45" x14ac:dyDescent="0.2">
      <c r="B143" s="28" t="s">
        <v>140</v>
      </c>
      <c r="D143" s="36">
        <f>+IFERROR(D140/D$119,"n/a")</f>
        <v>9.6231100173015168E-3</v>
      </c>
      <c r="E143" s="36">
        <f t="shared" ref="E143:L143" si="938">+IFERROR(E140/E$119,"n/a")</f>
        <v>8.9729532953911895E-3</v>
      </c>
      <c r="F143" s="36">
        <f t="shared" si="938"/>
        <v>8.4856229018711333E-3</v>
      </c>
      <c r="G143" s="36">
        <f t="shared" si="938"/>
        <v>8.2976889939158777E-3</v>
      </c>
      <c r="H143" s="36">
        <f t="shared" si="938"/>
        <v>7.9371889480006862E-3</v>
      </c>
      <c r="I143" s="36">
        <f t="shared" si="938"/>
        <v>8.2157917696670055E-3</v>
      </c>
      <c r="J143" s="36">
        <f t="shared" si="938"/>
        <v>7.7275038129130643E-3</v>
      </c>
      <c r="K143" s="36">
        <f t="shared" si="938"/>
        <v>7.4740141890777068E-3</v>
      </c>
      <c r="L143" s="36">
        <f t="shared" si="938"/>
        <v>7.2078228470086715E-3</v>
      </c>
      <c r="M143" s="39">
        <v>9.2999999999999992E-3</v>
      </c>
      <c r="N143" s="39">
        <v>8.0000000000000002E-3</v>
      </c>
      <c r="O143" s="38">
        <v>8.0999999999999996E-3</v>
      </c>
      <c r="P143" s="38">
        <v>7.4900000000000001E-3</v>
      </c>
      <c r="Q143" s="38">
        <v>7.7799999999999996E-3</v>
      </c>
      <c r="R143" s="38">
        <v>7.3600000000000002E-3</v>
      </c>
      <c r="S143" s="38">
        <v>7.4000000000000003E-3</v>
      </c>
      <c r="T143" s="38">
        <v>7.6E-3</v>
      </c>
      <c r="U143" s="38">
        <v>7.7999999999999996E-3</v>
      </c>
      <c r="V143" s="38">
        <v>6.77E-3</v>
      </c>
      <c r="W143" s="38">
        <v>7.11E-3</v>
      </c>
      <c r="X143" s="38">
        <v>6.6499999999999997E-3</v>
      </c>
      <c r="Y143" s="38">
        <v>6.5300000000000002E-3</v>
      </c>
      <c r="Z143" s="38">
        <v>6.45E-3</v>
      </c>
      <c r="AA143" s="38">
        <v>6.4000000000000003E-3</v>
      </c>
      <c r="AB143" s="38">
        <v>6.1999999999999998E-3</v>
      </c>
      <c r="AC143" s="38">
        <v>6.1999999999999998E-3</v>
      </c>
      <c r="AD143" s="38">
        <v>6.0000000000000001E-3</v>
      </c>
      <c r="AE143" s="39">
        <v>6.1399999999999996E-3</v>
      </c>
      <c r="AF143" s="39">
        <v>5.7999999999999996E-3</v>
      </c>
      <c r="AG143" s="39">
        <v>5.7999999999999996E-3</v>
      </c>
      <c r="AH143" s="39">
        <v>5.5999999999999999E-3</v>
      </c>
      <c r="AI143" s="39">
        <v>5.7000000000000002E-3</v>
      </c>
      <c r="AK143" s="36">
        <f t="shared" ref="AK143:AO143" si="939">+IFERROR(AK140/AK$119,"n/a")</f>
        <v>8.7890443540145288E-3</v>
      </c>
      <c r="AL143" s="36">
        <f t="shared" si="939"/>
        <v>8.7890443540145288E-3</v>
      </c>
      <c r="AM143" s="36">
        <f t="shared" si="939"/>
        <v>7.8236580912262928E-3</v>
      </c>
      <c r="AN143" s="36">
        <f t="shared" si="939"/>
        <v>8.0545178266992808E-3</v>
      </c>
      <c r="AO143" s="36">
        <f t="shared" si="939"/>
        <v>7.5002060075538956E-3</v>
      </c>
      <c r="AP143" s="36">
        <f t="shared" ref="AP143:AS143" si="940">+IFERROR(AP140/AP$119,"n/a")</f>
        <v>7.2666688690934322E-3</v>
      </c>
      <c r="AQ143" s="36">
        <f t="shared" si="940"/>
        <v>6.4957869105049812E-3</v>
      </c>
      <c r="AR143" s="36">
        <f t="shared" si="940"/>
        <v>6.1297864310177934E-3</v>
      </c>
      <c r="AS143" s="36">
        <f t="shared" si="940"/>
        <v>5.721076891027718E-3</v>
      </c>
    </row>
    <row r="144" spans="2:45" x14ac:dyDescent="0.2">
      <c r="D144" s="19"/>
      <c r="E144" s="19"/>
      <c r="F144" s="19"/>
      <c r="G144" s="19"/>
      <c r="H144" s="14"/>
      <c r="I144" s="14"/>
      <c r="J144" s="14"/>
      <c r="K144" s="14"/>
      <c r="L144" s="14"/>
      <c r="M144" s="14"/>
      <c r="N144" s="14"/>
      <c r="O144" s="14"/>
      <c r="P144" s="14"/>
      <c r="Q144" s="14"/>
      <c r="R144" s="14"/>
      <c r="S144" s="14"/>
      <c r="T144" s="14"/>
      <c r="U144" s="14"/>
      <c r="AA144" s="160"/>
      <c r="AC144" s="160"/>
      <c r="AK144" s="19"/>
      <c r="AL144" s="14"/>
      <c r="AM144" s="17"/>
      <c r="AN144" s="17"/>
      <c r="AO144" s="17"/>
      <c r="AP144" s="19"/>
      <c r="AQ144" s="19"/>
      <c r="AR144" s="19"/>
      <c r="AS144" s="19"/>
    </row>
    <row r="145" spans="2:45" x14ac:dyDescent="0.2">
      <c r="B145" s="23" t="s">
        <v>141</v>
      </c>
      <c r="D145" s="19"/>
      <c r="E145" s="19"/>
      <c r="F145" s="19"/>
      <c r="G145" s="19"/>
      <c r="H145" s="14"/>
      <c r="I145" s="14"/>
      <c r="J145" s="14"/>
      <c r="K145" s="14"/>
      <c r="L145" s="14"/>
      <c r="M145" s="14"/>
      <c r="N145" s="14"/>
      <c r="O145" s="14"/>
      <c r="P145" s="14"/>
      <c r="Q145" s="14"/>
      <c r="R145" s="14"/>
      <c r="S145" s="14"/>
      <c r="T145" s="14"/>
      <c r="U145" s="14"/>
      <c r="AK145" s="19"/>
      <c r="AL145" s="14"/>
      <c r="AM145" s="17"/>
      <c r="AN145" s="17"/>
      <c r="AO145" s="17"/>
      <c r="AP145" s="19"/>
      <c r="AQ145" s="19"/>
      <c r="AR145" s="19"/>
      <c r="AS145" s="19"/>
    </row>
    <row r="146" spans="2:45" x14ac:dyDescent="0.2">
      <c r="B146" t="s">
        <v>142</v>
      </c>
      <c r="D146" s="29">
        <f t="shared" ref="D146:AD146" si="941">+D262-D128+D354</f>
        <v>7.2000000000000028</v>
      </c>
      <c r="E146" s="29">
        <f t="shared" si="941"/>
        <v>9</v>
      </c>
      <c r="F146" s="29">
        <f t="shared" si="941"/>
        <v>9.9999999999999858</v>
      </c>
      <c r="G146" s="29">
        <f t="shared" si="941"/>
        <v>9.2000000000000028</v>
      </c>
      <c r="H146" s="29">
        <f t="shared" si="941"/>
        <v>8.2999999999999972</v>
      </c>
      <c r="I146" s="29">
        <f t="shared" si="941"/>
        <v>9.0999999999999943</v>
      </c>
      <c r="J146" s="29">
        <f t="shared" si="941"/>
        <v>12.200000000000017</v>
      </c>
      <c r="K146" s="29">
        <f t="shared" si="941"/>
        <v>15</v>
      </c>
      <c r="L146" s="29">
        <f t="shared" si="941"/>
        <v>11.800000000000011</v>
      </c>
      <c r="M146" s="29">
        <f t="shared" si="941"/>
        <v>7.3680000000000092</v>
      </c>
      <c r="N146" s="29">
        <f t="shared" si="941"/>
        <v>12.974400000000003</v>
      </c>
      <c r="O146" s="29">
        <f t="shared" si="941"/>
        <v>12.563299999999998</v>
      </c>
      <c r="P146" s="29">
        <f t="shared" si="941"/>
        <v>14.278867999999989</v>
      </c>
      <c r="Q146" s="29">
        <f t="shared" si="941"/>
        <v>18.032258000000013</v>
      </c>
      <c r="R146" s="29">
        <f t="shared" si="941"/>
        <v>18.355007999999962</v>
      </c>
      <c r="S146" s="29">
        <f t="shared" si="941"/>
        <v>18.739999999999974</v>
      </c>
      <c r="T146" s="29">
        <f t="shared" si="941"/>
        <v>16.401160000000004</v>
      </c>
      <c r="U146" s="29">
        <f t="shared" si="941"/>
        <v>18.189819999999941</v>
      </c>
      <c r="V146" s="29">
        <f t="shared" si="941"/>
        <v>18.955601999999999</v>
      </c>
      <c r="W146" s="29">
        <f t="shared" si="941"/>
        <v>17.249306999999988</v>
      </c>
      <c r="X146" s="29">
        <f t="shared" si="941"/>
        <v>15.991615000000024</v>
      </c>
      <c r="Y146" s="29">
        <f t="shared" si="941"/>
        <v>16.23844500000007</v>
      </c>
      <c r="Z146" s="29">
        <f t="shared" si="941"/>
        <v>14.33215000000007</v>
      </c>
      <c r="AA146" s="29">
        <f t="shared" si="941"/>
        <v>6.776159999999777</v>
      </c>
      <c r="AB146" s="29">
        <f t="shared" si="941"/>
        <v>4.6033400000000029</v>
      </c>
      <c r="AC146" s="29">
        <f t="shared" si="941"/>
        <v>0.89408000000003085</v>
      </c>
      <c r="AD146" s="29">
        <f t="shared" si="941"/>
        <v>1.6999999999999318</v>
      </c>
      <c r="AE146" s="29">
        <f t="shared" ref="AE146:AI146" si="942">+IFERROR(AA146*(1+AE151),0)</f>
        <v>1.6940399999999443</v>
      </c>
      <c r="AF146" s="29">
        <f t="shared" si="942"/>
        <v>0</v>
      </c>
      <c r="AG146" s="29">
        <f t="shared" si="942"/>
        <v>0</v>
      </c>
      <c r="AH146" s="29">
        <f t="shared" si="942"/>
        <v>0</v>
      </c>
      <c r="AI146" s="29">
        <f t="shared" si="942"/>
        <v>0</v>
      </c>
      <c r="AK146" s="17">
        <f>+SUM(D146:G146)</f>
        <v>35.399999999999991</v>
      </c>
      <c r="AL146" s="17">
        <f>+AK146</f>
        <v>35.399999999999991</v>
      </c>
      <c r="AM146" s="17">
        <f t="shared" ref="AM146" si="943">+SUM(H146:K146)</f>
        <v>44.600000000000009</v>
      </c>
      <c r="AN146" s="17">
        <f>+SUM(L146:O146)</f>
        <v>44.705700000000022</v>
      </c>
      <c r="AO146" s="17">
        <f>+SUM(P146:S146)</f>
        <v>69.406133999999938</v>
      </c>
      <c r="AP146" s="17">
        <f>+SUM(T146:W146)</f>
        <v>70.795888999999931</v>
      </c>
      <c r="AQ146" s="17">
        <f>+SUM(X146:AA146)</f>
        <v>53.338369999999941</v>
      </c>
      <c r="AR146" s="17">
        <f>+SUM(AB146:AE146)</f>
        <v>8.8914599999999098</v>
      </c>
      <c r="AS146" s="17">
        <f t="shared" ref="AS146:AS148" si="944">+SUM(AF146:AI146)</f>
        <v>0</v>
      </c>
    </row>
    <row r="147" spans="2:45" ht="13.5" x14ac:dyDescent="0.35">
      <c r="B147" t="s">
        <v>144</v>
      </c>
      <c r="D147" s="30">
        <f>+D263</f>
        <v>17.799999999999997</v>
      </c>
      <c r="E147" s="30">
        <f t="shared" ref="E147:V147" si="945">+E263</f>
        <v>19</v>
      </c>
      <c r="F147" s="30">
        <f t="shared" si="945"/>
        <v>18.200000000000017</v>
      </c>
      <c r="G147" s="30">
        <f t="shared" si="945"/>
        <v>20.400000000000006</v>
      </c>
      <c r="H147" s="30">
        <f t="shared" si="945"/>
        <v>21</v>
      </c>
      <c r="I147" s="30">
        <f t="shared" si="945"/>
        <v>21</v>
      </c>
      <c r="J147" s="30">
        <f t="shared" si="945"/>
        <v>21.900000000000006</v>
      </c>
      <c r="K147" s="30">
        <f t="shared" si="945"/>
        <v>23.900000000000006</v>
      </c>
      <c r="L147" s="30">
        <f t="shared" si="945"/>
        <v>23</v>
      </c>
      <c r="M147" s="30">
        <f t="shared" si="945"/>
        <v>20.600000000000009</v>
      </c>
      <c r="N147" s="30">
        <f t="shared" si="945"/>
        <v>18</v>
      </c>
      <c r="O147" s="30">
        <f t="shared" si="945"/>
        <v>21.099999999999994</v>
      </c>
      <c r="P147" s="30">
        <f t="shared" si="945"/>
        <v>23.400000000000006</v>
      </c>
      <c r="Q147" s="30">
        <f t="shared" si="945"/>
        <v>26.199999999999989</v>
      </c>
      <c r="R147" s="30">
        <f t="shared" si="945"/>
        <v>30.900000000000034</v>
      </c>
      <c r="S147" s="30">
        <f t="shared" si="945"/>
        <v>29</v>
      </c>
      <c r="T147" s="30">
        <f t="shared" si="945"/>
        <v>30.399999999999977</v>
      </c>
      <c r="U147" s="30">
        <f t="shared" si="945"/>
        <v>32.800000000000011</v>
      </c>
      <c r="V147" s="30">
        <f t="shared" si="945"/>
        <v>38.299999999999955</v>
      </c>
      <c r="W147" s="30">
        <f t="shared" ref="W147:X147" si="946">+W263</f>
        <v>35.000000000000057</v>
      </c>
      <c r="X147" s="30">
        <f t="shared" si="946"/>
        <v>36</v>
      </c>
      <c r="Y147" s="30">
        <f t="shared" ref="Y147:Z147" si="947">+Y263</f>
        <v>36.899999999999977</v>
      </c>
      <c r="Z147" s="30">
        <f t="shared" si="947"/>
        <v>48.5</v>
      </c>
      <c r="AA147" s="30">
        <f t="shared" ref="AA147:AB147" si="948">+AA263</f>
        <v>57.400000000000091</v>
      </c>
      <c r="AB147" s="30">
        <f t="shared" si="948"/>
        <v>52.299999999999955</v>
      </c>
      <c r="AC147" s="30">
        <f t="shared" ref="AC147:AD147" si="949">+AC263</f>
        <v>71.200000000000045</v>
      </c>
      <c r="AD147" s="30">
        <f t="shared" si="949"/>
        <v>102.40000000000009</v>
      </c>
      <c r="AE147" s="30">
        <f t="shared" ref="AE147" si="950">+AA147*(1+AE152)</f>
        <v>104.62474358974367</v>
      </c>
      <c r="AF147" s="30">
        <f t="shared" ref="AF147" si="951">+AB147*(1+AF152)</f>
        <v>103.1756666666666</v>
      </c>
      <c r="AG147" s="30">
        <f t="shared" ref="AG147" si="952">+AC147*(1+AG152)</f>
        <v>118.30572222222227</v>
      </c>
      <c r="AH147" s="30">
        <f t="shared" ref="AH147" si="953">+AD147*(1+AH152)</f>
        <v>125.5920000000001</v>
      </c>
      <c r="AI147" s="30">
        <f t="shared" ref="AI147" si="954">+AE147*(1+AI152)</f>
        <v>121.07164615384626</v>
      </c>
      <c r="AK147" s="18">
        <f t="shared" ref="AK147:AK148" si="955">+SUM(D147:G147)</f>
        <v>75.40000000000002</v>
      </c>
      <c r="AL147" s="18">
        <f t="shared" ref="AL147:AL148" si="956">+AK147</f>
        <v>75.40000000000002</v>
      </c>
      <c r="AM147" s="18">
        <f t="shared" ref="AM147:AM148" si="957">+SUM(H147:K147)</f>
        <v>87.800000000000011</v>
      </c>
      <c r="AN147" s="18">
        <f t="shared" ref="AN147:AN148" si="958">+SUM(L147:O147)</f>
        <v>82.7</v>
      </c>
      <c r="AO147" s="18">
        <f t="shared" ref="AO147:AO148" si="959">+SUM(P147:S147)</f>
        <v>109.50000000000003</v>
      </c>
      <c r="AP147" s="18">
        <f t="shared" ref="AP147:AP148" si="960">+SUM(T147:W147)</f>
        <v>136.5</v>
      </c>
      <c r="AQ147" s="18">
        <f t="shared" ref="AQ147:AQ148" si="961">+SUM(X147:AA147)</f>
        <v>178.80000000000007</v>
      </c>
      <c r="AR147" s="18">
        <f t="shared" ref="AR147:AR148" si="962">+SUM(AB147:AE147)</f>
        <v>330.52474358974376</v>
      </c>
      <c r="AS147" s="18">
        <f t="shared" si="944"/>
        <v>468.14503504273523</v>
      </c>
    </row>
    <row r="148" spans="2:45" x14ac:dyDescent="0.2">
      <c r="B148" s="31" t="s">
        <v>454</v>
      </c>
      <c r="D148" s="32">
        <f>SUM(D146:D147)</f>
        <v>25</v>
      </c>
      <c r="E148" s="32">
        <f t="shared" ref="E148:V148" si="963">SUM(E146:E147)</f>
        <v>28</v>
      </c>
      <c r="F148" s="32">
        <f t="shared" si="963"/>
        <v>28.200000000000003</v>
      </c>
      <c r="G148" s="32">
        <f t="shared" si="963"/>
        <v>29.600000000000009</v>
      </c>
      <c r="H148" s="32">
        <f t="shared" si="963"/>
        <v>29.299999999999997</v>
      </c>
      <c r="I148" s="32">
        <f t="shared" si="963"/>
        <v>30.099999999999994</v>
      </c>
      <c r="J148" s="32">
        <f t="shared" si="963"/>
        <v>34.100000000000023</v>
      </c>
      <c r="K148" s="32">
        <f t="shared" si="963"/>
        <v>38.900000000000006</v>
      </c>
      <c r="L148" s="32">
        <f t="shared" si="963"/>
        <v>34.800000000000011</v>
      </c>
      <c r="M148" s="32">
        <f t="shared" si="963"/>
        <v>27.968000000000018</v>
      </c>
      <c r="N148" s="32">
        <f t="shared" si="963"/>
        <v>30.974400000000003</v>
      </c>
      <c r="O148" s="32">
        <f t="shared" si="963"/>
        <v>33.663299999999992</v>
      </c>
      <c r="P148" s="32">
        <f t="shared" si="963"/>
        <v>37.678867999999994</v>
      </c>
      <c r="Q148" s="32">
        <f t="shared" si="963"/>
        <v>44.232258000000002</v>
      </c>
      <c r="R148" s="32">
        <f t="shared" si="963"/>
        <v>49.255007999999997</v>
      </c>
      <c r="S148" s="32">
        <f t="shared" si="963"/>
        <v>47.739999999999974</v>
      </c>
      <c r="T148" s="32">
        <f t="shared" si="963"/>
        <v>46.801159999999982</v>
      </c>
      <c r="U148" s="32">
        <f t="shared" si="963"/>
        <v>50.989819999999952</v>
      </c>
      <c r="V148" s="32">
        <f t="shared" si="963"/>
        <v>57.255601999999953</v>
      </c>
      <c r="W148" s="32">
        <f t="shared" ref="W148:X148" si="964">SUM(W146:W147)</f>
        <v>52.249307000000044</v>
      </c>
      <c r="X148" s="32">
        <f t="shared" si="964"/>
        <v>51.991615000000024</v>
      </c>
      <c r="Y148" s="32">
        <f t="shared" ref="Y148:Z148" si="965">SUM(Y146:Y147)</f>
        <v>53.138445000000047</v>
      </c>
      <c r="Z148" s="32">
        <f t="shared" si="965"/>
        <v>62.83215000000007</v>
      </c>
      <c r="AA148" s="32">
        <f t="shared" ref="AA148:AB148" si="966">SUM(AA146:AA147)</f>
        <v>64.176159999999868</v>
      </c>
      <c r="AB148" s="32">
        <f t="shared" si="966"/>
        <v>56.903339999999957</v>
      </c>
      <c r="AC148" s="32">
        <f t="shared" ref="AC148:AD148" si="967">SUM(AC146:AC147)</f>
        <v>72.094080000000076</v>
      </c>
      <c r="AD148" s="32">
        <f t="shared" si="967"/>
        <v>104.10000000000002</v>
      </c>
      <c r="AE148" s="32">
        <f t="shared" ref="AE148:AI148" si="968">SUM(AE146:AE147)</f>
        <v>106.31878358974362</v>
      </c>
      <c r="AF148" s="32">
        <f t="shared" si="968"/>
        <v>103.1756666666666</v>
      </c>
      <c r="AG148" s="32">
        <f t="shared" si="968"/>
        <v>118.30572222222227</v>
      </c>
      <c r="AH148" s="32">
        <f t="shared" si="968"/>
        <v>125.5920000000001</v>
      </c>
      <c r="AI148" s="32">
        <f t="shared" si="968"/>
        <v>121.07164615384626</v>
      </c>
      <c r="AK148" s="34">
        <f t="shared" si="955"/>
        <v>110.80000000000001</v>
      </c>
      <c r="AL148" s="34">
        <f t="shared" si="956"/>
        <v>110.80000000000001</v>
      </c>
      <c r="AM148" s="34">
        <f t="shared" si="957"/>
        <v>132.40000000000003</v>
      </c>
      <c r="AN148" s="34">
        <f t="shared" si="958"/>
        <v>127.40570000000002</v>
      </c>
      <c r="AO148" s="34">
        <f t="shared" si="959"/>
        <v>178.90613399999998</v>
      </c>
      <c r="AP148" s="34">
        <f t="shared" si="960"/>
        <v>207.29588899999993</v>
      </c>
      <c r="AQ148" s="34">
        <f t="shared" si="961"/>
        <v>232.13837000000001</v>
      </c>
      <c r="AR148" s="34">
        <f t="shared" si="962"/>
        <v>339.41620358974365</v>
      </c>
      <c r="AS148" s="34">
        <f t="shared" si="944"/>
        <v>468.14503504273523</v>
      </c>
    </row>
    <row r="149" spans="2:45" x14ac:dyDescent="0.2">
      <c r="D149" s="19"/>
      <c r="E149" s="19"/>
      <c r="F149" s="19"/>
      <c r="G149" s="19"/>
      <c r="H149" s="14"/>
      <c r="I149" s="14"/>
      <c r="J149" s="14"/>
      <c r="K149" s="14"/>
      <c r="L149" s="14"/>
      <c r="M149" s="14"/>
      <c r="N149" s="14"/>
      <c r="O149" s="14"/>
      <c r="P149" s="14"/>
      <c r="Q149" s="14"/>
      <c r="R149" s="14"/>
      <c r="S149" s="14"/>
      <c r="T149" s="14"/>
      <c r="U149" s="14"/>
      <c r="AK149" s="19"/>
      <c r="AL149" s="14"/>
      <c r="AM149" s="17"/>
      <c r="AN149" s="17"/>
      <c r="AO149" s="17"/>
      <c r="AP149" s="19"/>
      <c r="AQ149" s="19"/>
      <c r="AR149" s="19"/>
      <c r="AS149" s="19"/>
    </row>
    <row r="150" spans="2:45" x14ac:dyDescent="0.2">
      <c r="B150" s="27" t="s">
        <v>136</v>
      </c>
      <c r="D150" s="19"/>
      <c r="E150" s="19"/>
      <c r="F150" s="19"/>
      <c r="G150" s="19"/>
      <c r="H150" s="14"/>
      <c r="I150" s="14"/>
      <c r="J150" s="14"/>
      <c r="K150" s="14"/>
      <c r="L150" s="14"/>
      <c r="M150" s="14"/>
      <c r="N150" s="14"/>
      <c r="O150" s="14"/>
      <c r="P150" s="14"/>
      <c r="Q150" s="14"/>
      <c r="R150" s="14"/>
      <c r="S150" s="14"/>
      <c r="T150" s="14"/>
      <c r="U150" s="14"/>
      <c r="AK150" s="19"/>
      <c r="AL150" s="14"/>
      <c r="AM150" s="17"/>
      <c r="AN150" s="17"/>
      <c r="AO150" s="17"/>
      <c r="AP150" s="19"/>
      <c r="AQ150" s="19"/>
      <c r="AR150" s="19"/>
      <c r="AS150" s="19"/>
    </row>
    <row r="151" spans="2:45" x14ac:dyDescent="0.2">
      <c r="B151" s="24" t="s">
        <v>142</v>
      </c>
      <c r="D151" s="19"/>
      <c r="E151" s="19"/>
      <c r="F151" s="19"/>
      <c r="G151" s="19"/>
      <c r="H151" s="25">
        <f>+IFERROR(H146/D146-1,"n/a")</f>
        <v>0.15277777777777701</v>
      </c>
      <c r="I151" s="25">
        <f t="shared" ref="I151:AD153" si="969">+IFERROR(I146/E146-1,"n/a")</f>
        <v>1.1111111111110406E-2</v>
      </c>
      <c r="J151" s="25">
        <f t="shared" si="969"/>
        <v>0.22000000000000353</v>
      </c>
      <c r="K151" s="25">
        <f t="shared" si="969"/>
        <v>0.63043478260869512</v>
      </c>
      <c r="L151" s="25">
        <f t="shared" si="969"/>
        <v>0.42168674698795372</v>
      </c>
      <c r="M151" s="25">
        <f t="shared" si="969"/>
        <v>-0.19032967032966885</v>
      </c>
      <c r="N151" s="25">
        <f t="shared" si="969"/>
        <v>6.3475409836064367E-2</v>
      </c>
      <c r="O151" s="25">
        <f t="shared" si="969"/>
        <v>-0.16244666666666674</v>
      </c>
      <c r="P151" s="25">
        <f t="shared" si="969"/>
        <v>0.21007355932203176</v>
      </c>
      <c r="Q151" s="25">
        <f t="shared" si="969"/>
        <v>1.4473748642779576</v>
      </c>
      <c r="R151" s="25">
        <f t="shared" si="969"/>
        <v>0.41470958194598273</v>
      </c>
      <c r="S151" s="25">
        <f t="shared" si="969"/>
        <v>0.49164630312099344</v>
      </c>
      <c r="T151" s="25">
        <f t="shared" si="969"/>
        <v>0.14863167024164792</v>
      </c>
      <c r="U151" s="25">
        <f t="shared" si="969"/>
        <v>8.7377853622063739E-3</v>
      </c>
      <c r="V151" s="25">
        <f t="shared" si="969"/>
        <v>3.272098819025504E-2</v>
      </c>
      <c r="W151" s="25">
        <f t="shared" si="969"/>
        <v>-7.9546051227320613E-2</v>
      </c>
      <c r="X151" s="25">
        <f t="shared" si="969"/>
        <v>-2.4970489892177095E-2</v>
      </c>
      <c r="Y151" s="25">
        <f t="shared" si="969"/>
        <v>-0.10727841177097286</v>
      </c>
      <c r="Z151" s="25">
        <f t="shared" si="969"/>
        <v>-0.24390953133537674</v>
      </c>
      <c r="AA151" s="25">
        <f t="shared" si="969"/>
        <v>-0.60716334864932353</v>
      </c>
      <c r="AB151" s="25">
        <f t="shared" si="969"/>
        <v>-0.71214039357500813</v>
      </c>
      <c r="AC151" s="25">
        <f t="shared" si="969"/>
        <v>-0.94494054079685419</v>
      </c>
      <c r="AD151" s="25">
        <f t="shared" si="969"/>
        <v>-0.88138555624941661</v>
      </c>
      <c r="AE151" s="25">
        <f>+AE156+AE233/AA146</f>
        <v>-0.75</v>
      </c>
      <c r="AF151" s="25">
        <f t="shared" ref="AF151:AI151" si="970">+AF156+AF233/AB146</f>
        <v>-1</v>
      </c>
      <c r="AG151" s="25">
        <f t="shared" si="970"/>
        <v>-1</v>
      </c>
      <c r="AH151" s="25">
        <f t="shared" si="970"/>
        <v>-1</v>
      </c>
      <c r="AI151" s="25">
        <f t="shared" si="970"/>
        <v>-1</v>
      </c>
      <c r="AK151" s="19"/>
      <c r="AL151" s="14"/>
      <c r="AM151" s="25">
        <f>+IFERROR(AM146/AL146-1,"n/a")</f>
        <v>0.25988700564971801</v>
      </c>
      <c r="AN151" s="25">
        <f t="shared" ref="AN151:AO151" si="971">+IFERROR(AN146/AM146-1,"n/a")</f>
        <v>2.3699551569509314E-3</v>
      </c>
      <c r="AO151" s="25">
        <f t="shared" si="971"/>
        <v>0.55251196156194626</v>
      </c>
      <c r="AP151" s="25">
        <f t="shared" ref="AP151:AS151" si="972">+IFERROR(AP146/AO146-1,"n/a")</f>
        <v>2.0023518382395356E-2</v>
      </c>
      <c r="AQ151" s="25">
        <f t="shared" si="972"/>
        <v>-0.24658944532782134</v>
      </c>
      <c r="AR151" s="25">
        <f t="shared" si="972"/>
        <v>-0.83330086764931288</v>
      </c>
      <c r="AS151" s="25">
        <f t="shared" si="972"/>
        <v>-1</v>
      </c>
    </row>
    <row r="152" spans="2:45" ht="13.5" x14ac:dyDescent="0.35">
      <c r="B152" s="24" t="s">
        <v>144</v>
      </c>
      <c r="D152" s="19"/>
      <c r="E152" s="19"/>
      <c r="F152" s="19"/>
      <c r="G152" s="19"/>
      <c r="H152" s="42">
        <f t="shared" ref="H152:H153" si="973">+IFERROR(H147/D147-1,"n/a")</f>
        <v>0.17977528089887662</v>
      </c>
      <c r="I152" s="42">
        <f t="shared" si="969"/>
        <v>0.10526315789473695</v>
      </c>
      <c r="J152" s="42">
        <f t="shared" si="969"/>
        <v>0.20329670329670257</v>
      </c>
      <c r="K152" s="42">
        <f t="shared" si="969"/>
        <v>0.17156862745098045</v>
      </c>
      <c r="L152" s="42">
        <f t="shared" si="969"/>
        <v>9.5238095238095344E-2</v>
      </c>
      <c r="M152" s="42">
        <f t="shared" si="969"/>
        <v>-1.9047619047618647E-2</v>
      </c>
      <c r="N152" s="42">
        <f t="shared" si="969"/>
        <v>-0.17808219178082219</v>
      </c>
      <c r="O152" s="42">
        <f t="shared" si="969"/>
        <v>-0.11715481171548159</v>
      </c>
      <c r="P152" s="42">
        <f t="shared" si="969"/>
        <v>1.7391304347826431E-2</v>
      </c>
      <c r="Q152" s="42">
        <f t="shared" si="969"/>
        <v>0.27184466019417375</v>
      </c>
      <c r="R152" s="42">
        <f t="shared" si="969"/>
        <v>0.71666666666666856</v>
      </c>
      <c r="S152" s="42">
        <f t="shared" si="969"/>
        <v>0.37440758293838905</v>
      </c>
      <c r="T152" s="42">
        <f t="shared" si="969"/>
        <v>0.29914529914529786</v>
      </c>
      <c r="U152" s="42">
        <f t="shared" si="969"/>
        <v>0.25190839694656586</v>
      </c>
      <c r="V152" s="42">
        <f t="shared" si="969"/>
        <v>0.23948220064724635</v>
      </c>
      <c r="W152" s="42">
        <f t="shared" si="969"/>
        <v>0.2068965517241399</v>
      </c>
      <c r="X152" s="42">
        <f t="shared" si="969"/>
        <v>0.18421052631579027</v>
      </c>
      <c r="Y152" s="42">
        <f t="shared" si="969"/>
        <v>0.12499999999999889</v>
      </c>
      <c r="Z152" s="42">
        <f t="shared" si="969"/>
        <v>0.26631853785900939</v>
      </c>
      <c r="AA152" s="42">
        <f t="shared" si="969"/>
        <v>0.6399999999999999</v>
      </c>
      <c r="AB152" s="42">
        <f t="shared" si="969"/>
        <v>0.45277777777777661</v>
      </c>
      <c r="AC152" s="42">
        <f t="shared" si="969"/>
        <v>0.92953929539295643</v>
      </c>
      <c r="AD152" s="42">
        <f t="shared" si="969"/>
        <v>1.1113402061855688</v>
      </c>
      <c r="AE152" s="42">
        <f>+AE157+AE234/AA147</f>
        <v>0.82273072455999163</v>
      </c>
      <c r="AF152" s="42">
        <f t="shared" ref="AF152:AI152" si="974">+AF157+AF234/AB147</f>
        <v>0.97276609305290063</v>
      </c>
      <c r="AG152" s="42">
        <f t="shared" si="974"/>
        <v>0.66159722222222184</v>
      </c>
      <c r="AH152" s="42">
        <f t="shared" si="974"/>
        <v>0.22648437499999985</v>
      </c>
      <c r="AI152" s="42">
        <f t="shared" si="974"/>
        <v>0.15719897607199351</v>
      </c>
      <c r="AK152" s="19"/>
      <c r="AL152" s="14"/>
      <c r="AM152" s="42">
        <f>+IFERROR(AM147/AL147-1,"n/a")</f>
        <v>0.16445623342175053</v>
      </c>
      <c r="AN152" s="42">
        <f t="shared" ref="AN152:AO152" si="975">+IFERROR(AN147/AM147-1,"n/a")</f>
        <v>-5.8086560364464801E-2</v>
      </c>
      <c r="AO152" s="42">
        <f t="shared" si="975"/>
        <v>0.32406287787182619</v>
      </c>
      <c r="AP152" s="42">
        <f t="shared" ref="AP152:AS152" si="976">+IFERROR(AP147/AO147-1,"n/a")</f>
        <v>0.24657534246575308</v>
      </c>
      <c r="AQ152" s="42">
        <f t="shared" si="976"/>
        <v>0.30989010989011034</v>
      </c>
      <c r="AR152" s="42">
        <f t="shared" si="976"/>
        <v>0.8485723914415193</v>
      </c>
      <c r="AS152" s="42">
        <f t="shared" si="976"/>
        <v>0.41636910434702434</v>
      </c>
    </row>
    <row r="153" spans="2:45" x14ac:dyDescent="0.2">
      <c r="B153" s="28" t="s">
        <v>454</v>
      </c>
      <c r="D153" s="19"/>
      <c r="E153" s="19"/>
      <c r="F153" s="19"/>
      <c r="G153" s="19"/>
      <c r="H153" s="25">
        <f t="shared" si="973"/>
        <v>0.17199999999999993</v>
      </c>
      <c r="I153" s="25">
        <f t="shared" si="969"/>
        <v>7.4999999999999734E-2</v>
      </c>
      <c r="J153" s="25">
        <f t="shared" si="969"/>
        <v>0.20921985815602895</v>
      </c>
      <c r="K153" s="25">
        <f t="shared" si="969"/>
        <v>0.31418918918918903</v>
      </c>
      <c r="L153" s="25">
        <f t="shared" si="969"/>
        <v>0.18771331058020535</v>
      </c>
      <c r="M153" s="25">
        <f t="shared" si="969"/>
        <v>-7.0830564784052363E-2</v>
      </c>
      <c r="N153" s="25">
        <f t="shared" si="969"/>
        <v>-9.1659824046921301E-2</v>
      </c>
      <c r="O153" s="25">
        <f t="shared" si="969"/>
        <v>-0.13461953727506459</v>
      </c>
      <c r="P153" s="25">
        <f t="shared" si="969"/>
        <v>8.2726091954022474E-2</v>
      </c>
      <c r="Q153" s="25">
        <f t="shared" si="969"/>
        <v>0.5815309639588091</v>
      </c>
      <c r="R153" s="25">
        <f t="shared" si="969"/>
        <v>0.59018441035177416</v>
      </c>
      <c r="S153" s="25">
        <f t="shared" si="969"/>
        <v>0.4181616181420118</v>
      </c>
      <c r="T153" s="25">
        <f t="shared" si="969"/>
        <v>0.24210631805605165</v>
      </c>
      <c r="U153" s="25">
        <f t="shared" si="969"/>
        <v>0.15277452035118699</v>
      </c>
      <c r="V153" s="25">
        <f t="shared" si="969"/>
        <v>0.16243209218441224</v>
      </c>
      <c r="W153" s="25">
        <f t="shared" si="969"/>
        <v>9.4455529953918482E-2</v>
      </c>
      <c r="X153" s="25">
        <f t="shared" si="969"/>
        <v>0.11090440920695221</v>
      </c>
      <c r="Y153" s="25">
        <f t="shared" si="969"/>
        <v>4.2138313098577296E-2</v>
      </c>
      <c r="Z153" s="25">
        <f t="shared" si="969"/>
        <v>9.7397421478515156E-2</v>
      </c>
      <c r="AA153" s="25">
        <f t="shared" si="969"/>
        <v>0.22826815674320455</v>
      </c>
      <c r="AB153" s="25">
        <f t="shared" si="969"/>
        <v>9.4471483526717304E-2</v>
      </c>
      <c r="AC153" s="25">
        <f t="shared" si="969"/>
        <v>0.35672167298083357</v>
      </c>
      <c r="AD153" s="25">
        <f t="shared" si="969"/>
        <v>0.65679512797190465</v>
      </c>
      <c r="AE153" s="25">
        <f t="shared" ref="AE153" si="977">+IFERROR(AE148/AA148-1,"n/a")</f>
        <v>0.65667100664395983</v>
      </c>
      <c r="AF153" s="25">
        <f t="shared" ref="AF153" si="978">+IFERROR(AF148/AB148-1,"n/a")</f>
        <v>0.81317417688780091</v>
      </c>
      <c r="AG153" s="25">
        <f t="shared" ref="AG153" si="979">+IFERROR(AG148/AC148-1,"n/a")</f>
        <v>0.64099080288176435</v>
      </c>
      <c r="AH153" s="25">
        <f t="shared" ref="AH153" si="980">+IFERROR(AH148/AD148-1,"n/a")</f>
        <v>0.20645533141210448</v>
      </c>
      <c r="AI153" s="25">
        <f t="shared" ref="AI153" si="981">+IFERROR(AI148/AE148-1,"n/a")</f>
        <v>0.13876064102680186</v>
      </c>
      <c r="AK153" s="19"/>
      <c r="AL153" s="14"/>
      <c r="AM153" s="25">
        <f>+IFERROR(AM148/AL148-1,"n/a")</f>
        <v>0.19494584837545137</v>
      </c>
      <c r="AN153" s="25">
        <f t="shared" ref="AN153:AO153" si="982">+IFERROR(AN148/AM148-1,"n/a")</f>
        <v>-3.7721299093655625E-2</v>
      </c>
      <c r="AO153" s="25">
        <f t="shared" si="982"/>
        <v>0.40422393974523851</v>
      </c>
      <c r="AP153" s="25">
        <f t="shared" ref="AP153:AS153" si="983">+IFERROR(AP148/AO148-1,"n/a")</f>
        <v>0.1586851963387681</v>
      </c>
      <c r="AQ153" s="25">
        <f t="shared" si="983"/>
        <v>0.11984068338181131</v>
      </c>
      <c r="AR153" s="25">
        <f t="shared" si="983"/>
        <v>0.46212883113525627</v>
      </c>
      <c r="AS153" s="25">
        <f t="shared" si="983"/>
        <v>0.37926542719977996</v>
      </c>
    </row>
    <row r="154" spans="2:45" x14ac:dyDescent="0.2">
      <c r="B154" s="28"/>
      <c r="D154" s="19"/>
      <c r="E154" s="19"/>
      <c r="F154" s="19"/>
      <c r="G154" s="19"/>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K154" s="19"/>
      <c r="AL154" s="14"/>
      <c r="AM154" s="25"/>
      <c r="AN154" s="25"/>
      <c r="AO154" s="25"/>
      <c r="AP154" s="25"/>
      <c r="AQ154" s="25"/>
      <c r="AR154" s="25"/>
      <c r="AS154" s="25"/>
    </row>
    <row r="155" spans="2:45" x14ac:dyDescent="0.2">
      <c r="B155" s="27" t="s">
        <v>193</v>
      </c>
      <c r="D155" s="19"/>
      <c r="E155" s="19"/>
      <c r="F155" s="19"/>
      <c r="G155" s="19"/>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K155" s="19"/>
      <c r="AL155" s="14"/>
      <c r="AM155" s="25"/>
      <c r="AN155" s="25"/>
      <c r="AO155" s="25"/>
      <c r="AP155" s="25"/>
      <c r="AQ155" s="25"/>
      <c r="AR155" s="25"/>
      <c r="AS155" s="25"/>
    </row>
    <row r="156" spans="2:45" x14ac:dyDescent="0.2">
      <c r="B156" s="24" t="s">
        <v>142</v>
      </c>
      <c r="D156" s="19"/>
      <c r="E156" s="19"/>
      <c r="F156" s="19"/>
      <c r="G156" s="19"/>
      <c r="H156" s="55">
        <f>+H151</f>
        <v>0.15277777777777701</v>
      </c>
      <c r="I156" s="55">
        <f>+I151</f>
        <v>1.1111111111110406E-2</v>
      </c>
      <c r="J156" s="25">
        <f t="shared" ref="J156:S157" si="984">+J151-J233/F146</f>
        <v>0.22000000000000353</v>
      </c>
      <c r="K156" s="25">
        <f t="shared" si="984"/>
        <v>0.63043478260869512</v>
      </c>
      <c r="L156" s="25">
        <f t="shared" si="984"/>
        <v>0.42168674698795372</v>
      </c>
      <c r="M156" s="25">
        <f t="shared" si="984"/>
        <v>-0.19032967032966885</v>
      </c>
      <c r="N156" s="25">
        <f t="shared" si="984"/>
        <v>6.3475409836064367E-2</v>
      </c>
      <c r="O156" s="25">
        <f t="shared" si="984"/>
        <v>-0.16244666666666674</v>
      </c>
      <c r="P156" s="25">
        <f t="shared" si="984"/>
        <v>0.21007355932203176</v>
      </c>
      <c r="Q156" s="25">
        <f t="shared" si="984"/>
        <v>1.4473748642779576</v>
      </c>
      <c r="R156" s="25">
        <f t="shared" si="984"/>
        <v>0.41470958194598273</v>
      </c>
      <c r="S156" s="25">
        <f t="shared" si="984"/>
        <v>0.49164630312099344</v>
      </c>
      <c r="T156" s="25">
        <f t="shared" ref="T156:AD157" si="985">+T151-T233/P146</f>
        <v>0.14863167024164792</v>
      </c>
      <c r="U156" s="25">
        <f t="shared" si="985"/>
        <v>8.7377853622063739E-3</v>
      </c>
      <c r="V156" s="25">
        <f t="shared" si="985"/>
        <v>3.272098819025504E-2</v>
      </c>
      <c r="W156" s="25">
        <f t="shared" si="985"/>
        <v>-7.9546051227320613E-2</v>
      </c>
      <c r="X156" s="25">
        <f t="shared" si="985"/>
        <v>-2.4970489892177095E-2</v>
      </c>
      <c r="Y156" s="25">
        <f t="shared" si="985"/>
        <v>-0.10727841177097286</v>
      </c>
      <c r="Z156" s="25">
        <f t="shared" si="985"/>
        <v>-0.24390953133537674</v>
      </c>
      <c r="AA156" s="25">
        <f t="shared" si="985"/>
        <v>-0.60716334864932353</v>
      </c>
      <c r="AB156" s="25">
        <f t="shared" si="985"/>
        <v>-0.71214039357500813</v>
      </c>
      <c r="AC156" s="25">
        <f t="shared" si="985"/>
        <v>-0.94494054079685419</v>
      </c>
      <c r="AD156" s="25">
        <f t="shared" si="985"/>
        <v>-0.88138555624941661</v>
      </c>
      <c r="AE156" s="55">
        <v>-0.75</v>
      </c>
      <c r="AF156" s="55">
        <v>-1</v>
      </c>
      <c r="AG156" s="55">
        <v>-1</v>
      </c>
      <c r="AH156" s="55">
        <v>-1</v>
      </c>
      <c r="AI156" s="55">
        <v>-1</v>
      </c>
      <c r="AK156" s="19"/>
      <c r="AL156" s="14"/>
      <c r="AM156" s="25">
        <f>+AM151-AM233/AL146</f>
        <v>0.25988700564971801</v>
      </c>
      <c r="AN156" s="25">
        <f t="shared" ref="AN156:AR156" si="986">+AN151-AN233/AM146</f>
        <v>2.3699551569509314E-3</v>
      </c>
      <c r="AO156" s="25">
        <f t="shared" si="986"/>
        <v>0.55251196156194626</v>
      </c>
      <c r="AP156" s="25">
        <f t="shared" si="986"/>
        <v>2.0023518382395356E-2</v>
      </c>
      <c r="AQ156" s="25">
        <f t="shared" si="986"/>
        <v>-0.24658944532782134</v>
      </c>
      <c r="AR156" s="25">
        <f t="shared" si="986"/>
        <v>-0.83330086764931288</v>
      </c>
      <c r="AS156" s="25">
        <f t="shared" ref="AS156" si="987">+AS151-AS233/AR146</f>
        <v>-1</v>
      </c>
    </row>
    <row r="157" spans="2:45" ht="13.5" x14ac:dyDescent="0.35">
      <c r="B157" s="24" t="s">
        <v>144</v>
      </c>
      <c r="D157" s="19"/>
      <c r="E157" s="19"/>
      <c r="F157" s="19"/>
      <c r="G157" s="19"/>
      <c r="H157" s="58">
        <f>+H152</f>
        <v>0.17977528089887662</v>
      </c>
      <c r="I157" s="58">
        <f>+I152</f>
        <v>0.10526315789473695</v>
      </c>
      <c r="J157" s="42">
        <f t="shared" si="984"/>
        <v>5.6776556776556186E-2</v>
      </c>
      <c r="K157" s="42">
        <f t="shared" si="984"/>
        <v>6.6993464052287691E-2</v>
      </c>
      <c r="L157" s="42">
        <f t="shared" si="984"/>
        <v>-8.0952380952380859E-2</v>
      </c>
      <c r="M157" s="42">
        <f t="shared" si="984"/>
        <v>-0.19523809523809485</v>
      </c>
      <c r="N157" s="42">
        <f t="shared" si="984"/>
        <v>-0.29071537290715399</v>
      </c>
      <c r="O157" s="42">
        <f t="shared" si="984"/>
        <v>-0.18688981868898225</v>
      </c>
      <c r="P157" s="42">
        <f t="shared" si="984"/>
        <v>-0.1913043478260866</v>
      </c>
      <c r="Q157" s="42">
        <f t="shared" si="984"/>
        <v>-1.4563106796117387E-2</v>
      </c>
      <c r="R157" s="42">
        <f t="shared" si="984"/>
        <v>0.15000000000000191</v>
      </c>
      <c r="S157" s="42">
        <f t="shared" si="984"/>
        <v>-5.2132701421800653E-2</v>
      </c>
      <c r="T157" s="42">
        <f t="shared" si="985"/>
        <v>4.2735042735041529E-2</v>
      </c>
      <c r="U157" s="42">
        <f t="shared" si="985"/>
        <v>8.3969465648855851E-2</v>
      </c>
      <c r="V157" s="42">
        <f t="shared" si="985"/>
        <v>8.7378640776696354E-2</v>
      </c>
      <c r="W157" s="42">
        <f t="shared" si="985"/>
        <v>6.8965517241399987E-3</v>
      </c>
      <c r="X157" s="42">
        <f t="shared" si="985"/>
        <v>5.9210526315790185E-2</v>
      </c>
      <c r="Y157" s="42">
        <f t="shared" si="985"/>
        <v>9.1463414634135737E-3</v>
      </c>
      <c r="Z157" s="42">
        <f t="shared" si="985"/>
        <v>0.20626631853786048</v>
      </c>
      <c r="AA157" s="42">
        <f t="shared" si="985"/>
        <v>0.35619047619047645</v>
      </c>
      <c r="AB157" s="42">
        <f t="shared" si="985"/>
        <v>0.17685185185185059</v>
      </c>
      <c r="AC157" s="42">
        <f t="shared" si="985"/>
        <v>0.54091388136103791</v>
      </c>
      <c r="AD157" s="42">
        <f t="shared" si="985"/>
        <v>0.27113402061855851</v>
      </c>
      <c r="AE157" s="58">
        <v>0.15</v>
      </c>
      <c r="AF157" s="58">
        <v>0.08</v>
      </c>
      <c r="AG157" s="58">
        <v>0.08</v>
      </c>
      <c r="AH157" s="58">
        <v>0.08</v>
      </c>
      <c r="AI157" s="58">
        <v>0.08</v>
      </c>
      <c r="AK157" s="19"/>
      <c r="AL157" s="14"/>
      <c r="AM157" s="42">
        <f t="shared" ref="AM157:AR157" si="988">+AM152-AM234/AL147</f>
        <v>0.10079575596816964</v>
      </c>
      <c r="AN157" s="42">
        <f t="shared" si="988"/>
        <v>-0.18944570994684898</v>
      </c>
      <c r="AO157" s="42">
        <f t="shared" si="988"/>
        <v>-3.7484885126964573E-2</v>
      </c>
      <c r="AP157" s="42">
        <f t="shared" si="988"/>
        <v>5.570776255707735E-2</v>
      </c>
      <c r="AQ157" s="42">
        <f t="shared" si="988"/>
        <v>0.16459096459096503</v>
      </c>
      <c r="AR157" s="42">
        <f t="shared" si="988"/>
        <v>0.26893953517275715</v>
      </c>
      <c r="AS157" s="42">
        <f t="shared" ref="AS157" si="989">+AS152-AS234/AR147</f>
        <v>8.0000000000000016E-2</v>
      </c>
    </row>
    <row r="158" spans="2:45" x14ac:dyDescent="0.2">
      <c r="B158" s="28" t="s">
        <v>454</v>
      </c>
      <c r="D158" s="19"/>
      <c r="E158" s="19"/>
      <c r="F158" s="19"/>
      <c r="G158" s="19"/>
      <c r="H158" s="25">
        <f>+SUMPRODUCT(H156:H157,D146:D147)/D148</f>
        <v>0.17199999999999993</v>
      </c>
      <c r="I158" s="25">
        <f>+SUMPRODUCT(I156:I157,E146:E147)/E148</f>
        <v>7.4999999999999831E-2</v>
      </c>
      <c r="J158" s="25">
        <f>+J153-SUM(J233:J234)/F148</f>
        <v>0.11465721040189183</v>
      </c>
      <c r="K158" s="25">
        <f t="shared" ref="K158:AI158" si="990">+K153-SUM(K233:K234)/G148</f>
        <v>0.242117117117117</v>
      </c>
      <c r="L158" s="25">
        <f t="shared" si="990"/>
        <v>6.1433447098976662E-2</v>
      </c>
      <c r="M158" s="25">
        <f t="shared" si="990"/>
        <v>-0.1937541528239195</v>
      </c>
      <c r="N158" s="25">
        <f t="shared" si="990"/>
        <v>-0.16399608993157422</v>
      </c>
      <c r="O158" s="25">
        <f t="shared" si="990"/>
        <v>-0.17746443873179124</v>
      </c>
      <c r="P158" s="25">
        <f t="shared" si="990"/>
        <v>-5.520494252873609E-2</v>
      </c>
      <c r="Q158" s="25">
        <f t="shared" si="990"/>
        <v>0.37057558638443855</v>
      </c>
      <c r="R158" s="25">
        <f t="shared" si="990"/>
        <v>0.26088021075468759</v>
      </c>
      <c r="S158" s="25">
        <f t="shared" si="990"/>
        <v>0.15080815012194243</v>
      </c>
      <c r="T158" s="25">
        <f t="shared" si="990"/>
        <v>8.2865865290857099E-2</v>
      </c>
      <c r="U158" s="25">
        <f t="shared" si="990"/>
        <v>5.3299607720680986E-2</v>
      </c>
      <c r="V158" s="25">
        <f t="shared" si="990"/>
        <v>6.7010323092424662E-2</v>
      </c>
      <c r="W158" s="25">
        <f t="shared" si="990"/>
        <v>-2.7035881860073982E-2</v>
      </c>
      <c r="X158" s="25">
        <f t="shared" si="990"/>
        <v>2.9709840525321218E-2</v>
      </c>
      <c r="Y158" s="25">
        <f t="shared" si="990"/>
        <v>-3.2386366533553257E-2</v>
      </c>
      <c r="Z158" s="25">
        <f t="shared" si="990"/>
        <v>5.7226679757905852E-2</v>
      </c>
      <c r="AA158" s="25">
        <f t="shared" si="990"/>
        <v>3.8153992485804367E-2</v>
      </c>
      <c r="AB158" s="25">
        <f t="shared" si="990"/>
        <v>-9.6584965351305285E-2</v>
      </c>
      <c r="AC158" s="25">
        <f t="shared" si="990"/>
        <v>8.6855330866799696E-2</v>
      </c>
      <c r="AD158" s="25">
        <f t="shared" si="990"/>
        <v>8.2417997792524345E-3</v>
      </c>
      <c r="AE158" s="25">
        <f t="shared" si="990"/>
        <v>5.4971815078997621E-2</v>
      </c>
      <c r="AF158" s="25">
        <f t="shared" si="990"/>
        <v>-7.369338952687543E-3</v>
      </c>
      <c r="AG158" s="25">
        <f t="shared" si="990"/>
        <v>6.6606301099895737E-2</v>
      </c>
      <c r="AH158" s="25">
        <f t="shared" si="990"/>
        <v>6.2363112391931597E-2</v>
      </c>
      <c r="AI158" s="25">
        <f t="shared" si="990"/>
        <v>6.2791721855474519E-2</v>
      </c>
      <c r="AK158" s="19"/>
      <c r="AL158" s="14"/>
      <c r="AM158" s="25">
        <f>+AM153-SUM(AM233:AM234)/AL148</f>
        <v>0.15162454873646219</v>
      </c>
      <c r="AN158" s="25">
        <f t="shared" ref="AN158:AS158" si="991">+AN153-SUM(AN233:AN234)/AM148</f>
        <v>-0.12483106747230616</v>
      </c>
      <c r="AO158" s="25">
        <f t="shared" si="991"/>
        <v>0.16954056215695171</v>
      </c>
      <c r="AP158" s="25">
        <f t="shared" si="991"/>
        <v>4.1864159895154587E-2</v>
      </c>
      <c r="AQ158" s="25">
        <f t="shared" si="991"/>
        <v>2.4164240259809303E-2</v>
      </c>
      <c r="AR158" s="25">
        <f t="shared" si="991"/>
        <v>1.5678058258481509E-2</v>
      </c>
      <c r="AS158" s="25">
        <f t="shared" si="991"/>
        <v>5.1707960025365096E-2</v>
      </c>
    </row>
    <row r="159" spans="2:45" x14ac:dyDescent="0.2">
      <c r="D159" s="19"/>
      <c r="E159" s="19"/>
      <c r="F159" s="19"/>
      <c r="G159" s="19"/>
      <c r="H159" s="14"/>
      <c r="I159" s="14"/>
      <c r="J159" s="14"/>
      <c r="K159" s="14"/>
      <c r="L159" s="14"/>
      <c r="M159" s="14"/>
      <c r="N159" s="14"/>
      <c r="O159" s="14"/>
      <c r="P159" s="14"/>
      <c r="Q159" s="14"/>
      <c r="R159" s="14"/>
      <c r="S159" s="14"/>
      <c r="T159" s="14"/>
      <c r="U159" s="14"/>
      <c r="W159" s="20"/>
      <c r="AK159" s="19"/>
      <c r="AL159" s="14"/>
      <c r="AM159" s="17"/>
      <c r="AN159" s="17"/>
      <c r="AO159" s="17"/>
      <c r="AP159" s="19"/>
      <c r="AQ159" s="19"/>
      <c r="AR159" s="19"/>
      <c r="AS159" s="19"/>
    </row>
    <row r="160" spans="2:45" x14ac:dyDescent="0.2">
      <c r="B160" s="23" t="s">
        <v>143</v>
      </c>
      <c r="D160" s="19"/>
      <c r="E160" s="19"/>
      <c r="F160" s="19"/>
      <c r="G160" s="19"/>
      <c r="H160" s="14"/>
      <c r="I160" s="14"/>
      <c r="J160" s="14"/>
      <c r="K160" s="14"/>
      <c r="L160" s="14"/>
      <c r="M160" s="14"/>
      <c r="N160" s="14"/>
      <c r="O160" s="14"/>
      <c r="P160" s="14"/>
      <c r="Q160" s="14"/>
      <c r="R160" s="14"/>
      <c r="S160" s="14"/>
      <c r="T160" s="14"/>
      <c r="U160" s="14"/>
      <c r="AK160" s="19"/>
      <c r="AL160" s="14"/>
      <c r="AM160" s="17"/>
      <c r="AN160" s="17"/>
      <c r="AO160" s="17"/>
      <c r="AP160" s="19"/>
      <c r="AQ160" s="19"/>
      <c r="AR160" s="19"/>
      <c r="AS160" s="19"/>
    </row>
    <row r="161" spans="2:45" x14ac:dyDescent="0.2">
      <c r="B161" t="s">
        <v>452</v>
      </c>
      <c r="D161" s="29">
        <f t="shared" ref="D161:AE161" si="992">+D128</f>
        <v>95.8</v>
      </c>
      <c r="E161" s="29">
        <f t="shared" si="992"/>
        <v>111.6</v>
      </c>
      <c r="F161" s="29">
        <f t="shared" si="992"/>
        <v>120.7</v>
      </c>
      <c r="G161" s="29">
        <f t="shared" si="992"/>
        <v>121.7</v>
      </c>
      <c r="H161" s="29">
        <f t="shared" si="992"/>
        <v>125.7</v>
      </c>
      <c r="I161" s="29">
        <f t="shared" si="992"/>
        <v>150.4</v>
      </c>
      <c r="J161" s="29">
        <f t="shared" si="992"/>
        <v>159.69999999999999</v>
      </c>
      <c r="K161" s="29">
        <f t="shared" si="992"/>
        <v>163.19999999999999</v>
      </c>
      <c r="L161" s="29">
        <f t="shared" si="992"/>
        <v>164.6</v>
      </c>
      <c r="M161" s="29">
        <f t="shared" si="992"/>
        <v>113.83199999999999</v>
      </c>
      <c r="N161" s="29">
        <f t="shared" si="992"/>
        <v>183.82560000000001</v>
      </c>
      <c r="O161" s="29">
        <f t="shared" si="992"/>
        <v>177.23670000000001</v>
      </c>
      <c r="P161" s="29">
        <f t="shared" si="992"/>
        <v>201.62113200000002</v>
      </c>
      <c r="Q161" s="29">
        <f t="shared" si="992"/>
        <v>306.767742</v>
      </c>
      <c r="R161" s="29">
        <f t="shared" si="992"/>
        <v>350.94499200000001</v>
      </c>
      <c r="S161" s="29">
        <f t="shared" si="992"/>
        <v>352.56</v>
      </c>
      <c r="T161" s="29">
        <f t="shared" si="992"/>
        <v>355.09884</v>
      </c>
      <c r="U161" s="29">
        <f t="shared" si="992"/>
        <v>455.71018000000004</v>
      </c>
      <c r="V161" s="29">
        <f t="shared" si="992"/>
        <v>490.044398</v>
      </c>
      <c r="W161" s="29">
        <f t="shared" si="992"/>
        <v>485.450693</v>
      </c>
      <c r="X161" s="29">
        <f t="shared" si="992"/>
        <v>495.00838499999998</v>
      </c>
      <c r="Y161" s="29">
        <f t="shared" si="992"/>
        <v>583.86155499999995</v>
      </c>
      <c r="Z161" s="29">
        <f t="shared" si="992"/>
        <v>612.56784999999991</v>
      </c>
      <c r="AA161" s="29">
        <f t="shared" si="992"/>
        <v>641.22384000000022</v>
      </c>
      <c r="AB161" s="29">
        <f t="shared" si="992"/>
        <v>650.49666000000002</v>
      </c>
      <c r="AC161" s="29">
        <f t="shared" si="992"/>
        <v>754.90591999999992</v>
      </c>
      <c r="AD161" s="29">
        <f t="shared" ref="AD161" si="993">+AD128</f>
        <v>805.1</v>
      </c>
      <c r="AE161" s="29">
        <f t="shared" si="992"/>
        <v>862.69903837837842</v>
      </c>
      <c r="AF161" s="29">
        <f t="shared" ref="AF161:AI161" si="994">+AF128</f>
        <v>834.69135749999998</v>
      </c>
      <c r="AG161" s="29">
        <f t="shared" si="994"/>
        <v>940.3143359999998</v>
      </c>
      <c r="AH161" s="29">
        <f t="shared" si="994"/>
        <v>933.07499999999982</v>
      </c>
      <c r="AI161" s="29">
        <f t="shared" si="994"/>
        <v>973.89135888048042</v>
      </c>
      <c r="AK161" s="17">
        <f>+SUM(D161:G161)</f>
        <v>449.79999999999995</v>
      </c>
      <c r="AL161" s="17">
        <f>+AK161</f>
        <v>449.79999999999995</v>
      </c>
      <c r="AM161" s="17">
        <f t="shared" ref="AM161:AM163" si="995">+SUM(H161:K161)</f>
        <v>599</v>
      </c>
      <c r="AN161" s="17">
        <f>+SUM(L161:O161)</f>
        <v>639.49430000000007</v>
      </c>
      <c r="AO161" s="17">
        <f>+SUM(P161:S161)</f>
        <v>1211.8938659999999</v>
      </c>
      <c r="AP161" s="17">
        <f>+SUM(T161:W161)</f>
        <v>1786.3041110000001</v>
      </c>
      <c r="AQ161" s="17">
        <f>+SUM(X161:AA161)</f>
        <v>2332.6616300000001</v>
      </c>
      <c r="AR161" s="17">
        <f>+SUM(AB161:AE161)</f>
        <v>3073.201618378378</v>
      </c>
      <c r="AS161" s="17">
        <f t="shared" ref="AS161:AS163" si="996">+SUM(AF161:AI161)</f>
        <v>3681.9720523804799</v>
      </c>
    </row>
    <row r="162" spans="2:45" ht="13.5" x14ac:dyDescent="0.35">
      <c r="B162" t="s">
        <v>454</v>
      </c>
      <c r="D162" s="30">
        <f t="shared" ref="D162:AA162" si="997">+D148</f>
        <v>25</v>
      </c>
      <c r="E162" s="30">
        <f t="shared" si="997"/>
        <v>28</v>
      </c>
      <c r="F162" s="30">
        <f t="shared" si="997"/>
        <v>28.200000000000003</v>
      </c>
      <c r="G162" s="30">
        <f t="shared" si="997"/>
        <v>29.600000000000009</v>
      </c>
      <c r="H162" s="30">
        <f t="shared" si="997"/>
        <v>29.299999999999997</v>
      </c>
      <c r="I162" s="30">
        <f t="shared" si="997"/>
        <v>30.099999999999994</v>
      </c>
      <c r="J162" s="30">
        <f t="shared" si="997"/>
        <v>34.100000000000023</v>
      </c>
      <c r="K162" s="30">
        <f t="shared" si="997"/>
        <v>38.900000000000006</v>
      </c>
      <c r="L162" s="30">
        <f t="shared" si="997"/>
        <v>34.800000000000011</v>
      </c>
      <c r="M162" s="30">
        <f t="shared" si="997"/>
        <v>27.968000000000018</v>
      </c>
      <c r="N162" s="30">
        <f t="shared" si="997"/>
        <v>30.974400000000003</v>
      </c>
      <c r="O162" s="30">
        <f t="shared" si="997"/>
        <v>33.663299999999992</v>
      </c>
      <c r="P162" s="30">
        <f t="shared" si="997"/>
        <v>37.678867999999994</v>
      </c>
      <c r="Q162" s="30">
        <f t="shared" si="997"/>
        <v>44.232258000000002</v>
      </c>
      <c r="R162" s="30">
        <f t="shared" si="997"/>
        <v>49.255007999999997</v>
      </c>
      <c r="S162" s="30">
        <f t="shared" si="997"/>
        <v>47.739999999999974</v>
      </c>
      <c r="T162" s="30">
        <f t="shared" si="997"/>
        <v>46.801159999999982</v>
      </c>
      <c r="U162" s="30">
        <f t="shared" si="997"/>
        <v>50.989819999999952</v>
      </c>
      <c r="V162" s="30">
        <f t="shared" si="997"/>
        <v>57.255601999999953</v>
      </c>
      <c r="W162" s="30">
        <f t="shared" si="997"/>
        <v>52.249307000000044</v>
      </c>
      <c r="X162" s="30">
        <f t="shared" si="997"/>
        <v>51.991615000000024</v>
      </c>
      <c r="Y162" s="30">
        <f t="shared" si="997"/>
        <v>53.138445000000047</v>
      </c>
      <c r="Z162" s="30">
        <f t="shared" si="997"/>
        <v>62.83215000000007</v>
      </c>
      <c r="AA162" s="30">
        <f t="shared" si="997"/>
        <v>64.176159999999868</v>
      </c>
      <c r="AB162" s="30">
        <f t="shared" ref="AB162:AC162" si="998">+AB148</f>
        <v>56.903339999999957</v>
      </c>
      <c r="AC162" s="30">
        <f t="shared" si="998"/>
        <v>72.094080000000076</v>
      </c>
      <c r="AD162" s="30">
        <f t="shared" ref="AD162" si="999">+AD148</f>
        <v>104.10000000000002</v>
      </c>
      <c r="AE162" s="30">
        <f>+AE148</f>
        <v>106.31878358974362</v>
      </c>
      <c r="AF162" s="30">
        <f t="shared" ref="AF162:AI162" si="1000">+AF148</f>
        <v>103.1756666666666</v>
      </c>
      <c r="AG162" s="30">
        <f t="shared" si="1000"/>
        <v>118.30572222222227</v>
      </c>
      <c r="AH162" s="30">
        <f t="shared" si="1000"/>
        <v>125.5920000000001</v>
      </c>
      <c r="AI162" s="30">
        <f t="shared" si="1000"/>
        <v>121.07164615384626</v>
      </c>
      <c r="AK162" s="18">
        <f t="shared" ref="AK162:AK163" si="1001">+SUM(D162:G162)</f>
        <v>110.80000000000001</v>
      </c>
      <c r="AL162" s="18">
        <f t="shared" ref="AL162:AL163" si="1002">+AK162</f>
        <v>110.80000000000001</v>
      </c>
      <c r="AM162" s="18">
        <f t="shared" si="995"/>
        <v>132.40000000000003</v>
      </c>
      <c r="AN162" s="18">
        <f t="shared" ref="AN162:AN163" si="1003">+SUM(L162:O162)</f>
        <v>127.40570000000002</v>
      </c>
      <c r="AO162" s="18">
        <f t="shared" ref="AO162:AO163" si="1004">+SUM(P162:S162)</f>
        <v>178.90613399999998</v>
      </c>
      <c r="AP162" s="18">
        <f t="shared" ref="AP162:AP163" si="1005">+SUM(T162:W162)</f>
        <v>207.29588899999993</v>
      </c>
      <c r="AQ162" s="18">
        <f t="shared" ref="AQ162:AQ163" si="1006">+SUM(X162:AA162)</f>
        <v>232.13837000000001</v>
      </c>
      <c r="AR162" s="18">
        <f t="shared" ref="AR162:AR163" si="1007">+SUM(AB162:AE162)</f>
        <v>339.41620358974365</v>
      </c>
      <c r="AS162" s="18">
        <f t="shared" si="996"/>
        <v>468.14503504273523</v>
      </c>
    </row>
    <row r="163" spans="2:45" s="1" customFormat="1" x14ac:dyDescent="0.2">
      <c r="B163" s="40" t="s">
        <v>455</v>
      </c>
      <c r="D163" s="32">
        <f>SUM(D161:D162)</f>
        <v>120.8</v>
      </c>
      <c r="E163" s="32">
        <f t="shared" ref="E163:U163" si="1008">SUM(E161:E162)</f>
        <v>139.6</v>
      </c>
      <c r="F163" s="32">
        <f t="shared" si="1008"/>
        <v>148.9</v>
      </c>
      <c r="G163" s="32">
        <f t="shared" si="1008"/>
        <v>151.30000000000001</v>
      </c>
      <c r="H163" s="32">
        <f t="shared" si="1008"/>
        <v>155</v>
      </c>
      <c r="I163" s="32">
        <f t="shared" si="1008"/>
        <v>180.5</v>
      </c>
      <c r="J163" s="32">
        <f t="shared" si="1008"/>
        <v>193.8</v>
      </c>
      <c r="K163" s="32">
        <f t="shared" si="1008"/>
        <v>202.1</v>
      </c>
      <c r="L163" s="32">
        <f t="shared" si="1008"/>
        <v>199.4</v>
      </c>
      <c r="M163" s="32">
        <f t="shared" si="1008"/>
        <v>141.80000000000001</v>
      </c>
      <c r="N163" s="32">
        <f t="shared" si="1008"/>
        <v>214.8</v>
      </c>
      <c r="O163" s="32">
        <f t="shared" si="1008"/>
        <v>210.9</v>
      </c>
      <c r="P163" s="32">
        <f t="shared" si="1008"/>
        <v>239.3</v>
      </c>
      <c r="Q163" s="32">
        <f t="shared" si="1008"/>
        <v>351</v>
      </c>
      <c r="R163" s="32">
        <f t="shared" si="1008"/>
        <v>400.2</v>
      </c>
      <c r="S163" s="32">
        <f t="shared" si="1008"/>
        <v>400.29999999999995</v>
      </c>
      <c r="T163" s="32">
        <f t="shared" si="1008"/>
        <v>401.9</v>
      </c>
      <c r="U163" s="32">
        <f t="shared" si="1008"/>
        <v>506.7</v>
      </c>
      <c r="V163" s="32">
        <f t="shared" ref="V163:W163" si="1009">SUM(V161:V162)</f>
        <v>547.29999999999995</v>
      </c>
      <c r="W163" s="32">
        <f t="shared" si="1009"/>
        <v>537.70000000000005</v>
      </c>
      <c r="X163" s="32">
        <f t="shared" ref="X163:Z163" si="1010">SUM(X161:X162)</f>
        <v>547</v>
      </c>
      <c r="Y163" s="32">
        <f t="shared" si="1010"/>
        <v>637</v>
      </c>
      <c r="Z163" s="32">
        <f t="shared" si="1010"/>
        <v>675.4</v>
      </c>
      <c r="AA163" s="32">
        <f t="shared" ref="AA163:AE163" si="1011">SUM(AA161:AA162)</f>
        <v>705.40000000000009</v>
      </c>
      <c r="AB163" s="32">
        <f t="shared" ref="AB163:AC163" si="1012">SUM(AB161:AB162)</f>
        <v>707.4</v>
      </c>
      <c r="AC163" s="32">
        <f t="shared" si="1012"/>
        <v>827</v>
      </c>
      <c r="AD163" s="32">
        <f t="shared" ref="AD163" si="1013">SUM(AD161:AD162)</f>
        <v>909.2</v>
      </c>
      <c r="AE163" s="32">
        <f t="shared" si="1011"/>
        <v>969.01782196812201</v>
      </c>
      <c r="AF163" s="32">
        <f t="shared" ref="AF163:AI163" si="1014">SUM(AF161:AF162)</f>
        <v>937.86702416666662</v>
      </c>
      <c r="AG163" s="32">
        <f t="shared" si="1014"/>
        <v>1058.620058222222</v>
      </c>
      <c r="AH163" s="32">
        <f t="shared" si="1014"/>
        <v>1058.6669999999999</v>
      </c>
      <c r="AI163" s="32">
        <f t="shared" si="1014"/>
        <v>1094.9630050343267</v>
      </c>
      <c r="AK163" s="34">
        <f t="shared" si="1001"/>
        <v>560.59999999999991</v>
      </c>
      <c r="AL163" s="34">
        <f t="shared" si="1002"/>
        <v>560.59999999999991</v>
      </c>
      <c r="AM163" s="34">
        <f t="shared" si="995"/>
        <v>731.4</v>
      </c>
      <c r="AN163" s="34">
        <f t="shared" si="1003"/>
        <v>766.9</v>
      </c>
      <c r="AO163" s="34">
        <f t="shared" si="1004"/>
        <v>1390.8</v>
      </c>
      <c r="AP163" s="34">
        <f t="shared" si="1005"/>
        <v>1993.6</v>
      </c>
      <c r="AQ163" s="34">
        <f t="shared" si="1006"/>
        <v>2564.8000000000002</v>
      </c>
      <c r="AR163" s="34">
        <f t="shared" si="1007"/>
        <v>3412.6178219681224</v>
      </c>
      <c r="AS163" s="34">
        <f t="shared" si="996"/>
        <v>4150.1170874232157</v>
      </c>
    </row>
    <row r="164" spans="2:45" s="1" customFormat="1" x14ac:dyDescent="0.2">
      <c r="B164" s="40"/>
      <c r="D164" s="26"/>
      <c r="E164" s="26"/>
      <c r="F164" s="26"/>
      <c r="G164" s="26"/>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K164" s="26"/>
      <c r="AL164" s="33"/>
      <c r="AM164" s="34"/>
      <c r="AN164" s="34"/>
      <c r="AO164" s="34"/>
      <c r="AP164" s="26"/>
      <c r="AQ164" s="26"/>
      <c r="AR164" s="26"/>
      <c r="AS164" s="26"/>
    </row>
    <row r="165" spans="2:45" s="1" customFormat="1" x14ac:dyDescent="0.2">
      <c r="B165" s="27" t="s">
        <v>136</v>
      </c>
      <c r="D165" s="26"/>
      <c r="E165" s="26"/>
      <c r="F165" s="26"/>
      <c r="G165" s="26"/>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K165" s="26"/>
      <c r="AL165" s="33"/>
      <c r="AM165" s="34"/>
      <c r="AN165" s="34"/>
      <c r="AO165" s="34"/>
      <c r="AP165" s="26"/>
      <c r="AQ165" s="26"/>
      <c r="AR165" s="26"/>
      <c r="AS165" s="26"/>
    </row>
    <row r="166" spans="2:45" s="1" customFormat="1" x14ac:dyDescent="0.2">
      <c r="B166" s="24" t="s">
        <v>452</v>
      </c>
      <c r="D166" s="26"/>
      <c r="E166" s="26"/>
      <c r="F166" s="26"/>
      <c r="G166" s="26"/>
      <c r="H166" s="25">
        <f>+IFERROR(H161/D161-1,"n/a")</f>
        <v>0.31210855949895633</v>
      </c>
      <c r="I166" s="25">
        <f t="shared" ref="I166:I168" si="1015">+IFERROR(I161/E161-1,"n/a")</f>
        <v>0.34767025089605741</v>
      </c>
      <c r="J166" s="25">
        <f t="shared" ref="J166:J168" si="1016">+IFERROR(J161/F161-1,"n/a")</f>
        <v>0.32311516155758069</v>
      </c>
      <c r="K166" s="25">
        <f t="shared" ref="K166:K168" si="1017">+IFERROR(K161/G161-1,"n/a")</f>
        <v>0.34100246507806076</v>
      </c>
      <c r="L166" s="25">
        <f t="shared" ref="L166:L168" si="1018">+IFERROR(L161/H161-1,"n/a")</f>
        <v>0.30946698488464586</v>
      </c>
      <c r="M166" s="25">
        <f t="shared" ref="M166:M168" si="1019">+IFERROR(M161/I161-1,"n/a")</f>
        <v>-0.24313829787234054</v>
      </c>
      <c r="N166" s="25">
        <f t="shared" ref="N166:N168" si="1020">+IFERROR(N161/J161-1,"n/a")</f>
        <v>0.15106825297432702</v>
      </c>
      <c r="O166" s="25">
        <f t="shared" ref="O166:O168" si="1021">+IFERROR(O161/K161-1,"n/a")</f>
        <v>8.6009191176470656E-2</v>
      </c>
      <c r="P166" s="25">
        <f t="shared" ref="P166:P168" si="1022">+IFERROR(P161/L161-1,"n/a")</f>
        <v>0.22491574726609986</v>
      </c>
      <c r="Q166" s="25">
        <f t="shared" ref="Q166:Q168" si="1023">+IFERROR(Q161/M161-1,"n/a")</f>
        <v>1.6949165612481552</v>
      </c>
      <c r="R166" s="25">
        <f t="shared" ref="R166:R168" si="1024">+IFERROR(R161/N161-1,"n/a")</f>
        <v>0.90911925216074363</v>
      </c>
      <c r="S166" s="25">
        <f t="shared" ref="S166:S168" si="1025">+IFERROR(S161/O161-1,"n/a")</f>
        <v>0.98920426751344381</v>
      </c>
      <c r="T166" s="25">
        <f t="shared" ref="T166:T168" si="1026">+IFERROR(T161/P161-1,"n/a")</f>
        <v>0.76121836276566479</v>
      </c>
      <c r="U166" s="25">
        <f t="shared" ref="U166:U168" si="1027">+IFERROR(U161/Q161-1,"n/a")</f>
        <v>0.48552183821205053</v>
      </c>
      <c r="V166" s="25">
        <f t="shared" ref="V166:Y168" si="1028">+IFERROR(V161/R161-1,"n/a")</f>
        <v>0.3963567202007543</v>
      </c>
      <c r="W166" s="25">
        <f t="shared" si="1028"/>
        <v>0.37693071533923295</v>
      </c>
      <c r="X166" s="25">
        <f t="shared" si="1028"/>
        <v>0.39400169541528207</v>
      </c>
      <c r="Y166" s="25">
        <f t="shared" si="1028"/>
        <v>0.28121244734976059</v>
      </c>
      <c r="Z166" s="25">
        <f t="shared" ref="Z166:Z168" si="1029">+IFERROR(Z161/V161-1,"n/a")</f>
        <v>0.25002520689972241</v>
      </c>
      <c r="AA166" s="25">
        <f t="shared" ref="AA166:AA168" si="1030">+IFERROR(AA161/W161-1,"n/a")</f>
        <v>0.32088356087690295</v>
      </c>
      <c r="AB166" s="25">
        <f t="shared" ref="AB166:AB168" si="1031">+IFERROR(AB161/X161-1,"n/a")</f>
        <v>0.31411240639893423</v>
      </c>
      <c r="AC166" s="25">
        <f t="shared" ref="AC166:AD168" si="1032">+IFERROR(AC161/Y161-1,"n/a")</f>
        <v>0.29295363521580042</v>
      </c>
      <c r="AD166" s="25">
        <f t="shared" si="1032"/>
        <v>0.31430338696358318</v>
      </c>
      <c r="AE166" s="25">
        <f t="shared" ref="AE166:AE168" si="1033">+IFERROR(AE161/AA161-1,"n/a")</f>
        <v>0.34539451680146227</v>
      </c>
      <c r="AF166" s="25">
        <f t="shared" ref="AF166:AF168" si="1034">+IFERROR(AF161/AB161-1,"n/a")</f>
        <v>0.28316009724016111</v>
      </c>
      <c r="AG166" s="25">
        <f t="shared" ref="AG166:AG168" si="1035">+IFERROR(AG161/AC161-1,"n/a")</f>
        <v>0.24560466554560856</v>
      </c>
      <c r="AH166" s="25">
        <f t="shared" ref="AH166:AH168" si="1036">+IFERROR(AH161/AD161-1,"n/a")</f>
        <v>0.15895540926592955</v>
      </c>
      <c r="AI166" s="25">
        <f t="shared" ref="AI166:AI168" si="1037">+IFERROR(AI161/AE161-1,"n/a")</f>
        <v>0.12888888888888883</v>
      </c>
      <c r="AK166" s="26"/>
      <c r="AL166" s="33"/>
      <c r="AM166" s="25">
        <f>+IFERROR(AM161/AL161-1,"n/a")</f>
        <v>0.33170297910182311</v>
      </c>
      <c r="AN166" s="25">
        <f t="shared" ref="AN166:AO166" si="1038">+IFERROR(AN161/AM161-1,"n/a")</f>
        <v>6.7603171953255492E-2</v>
      </c>
      <c r="AO166" s="25">
        <f t="shared" si="1038"/>
        <v>0.8950815761766755</v>
      </c>
      <c r="AP166" s="25">
        <f t="shared" ref="AP166:AS166" si="1039">+IFERROR(AP161/AO161-1,"n/a")</f>
        <v>0.47397735157774967</v>
      </c>
      <c r="AQ166" s="25">
        <f t="shared" si="1039"/>
        <v>0.30585918469064066</v>
      </c>
      <c r="AR166" s="25">
        <f t="shared" si="1039"/>
        <v>0.31746567048319729</v>
      </c>
      <c r="AS166" s="25">
        <f t="shared" si="1039"/>
        <v>0.19808997573134457</v>
      </c>
    </row>
    <row r="167" spans="2:45" s="1" customFormat="1" ht="13.5" x14ac:dyDescent="0.35">
      <c r="B167" s="24" t="s">
        <v>454</v>
      </c>
      <c r="D167" s="26"/>
      <c r="E167" s="26"/>
      <c r="F167" s="26"/>
      <c r="G167" s="26"/>
      <c r="H167" s="42">
        <f t="shared" ref="H167:H168" si="1040">+IFERROR(H162/D162-1,"n/a")</f>
        <v>0.17199999999999993</v>
      </c>
      <c r="I167" s="42">
        <f t="shared" si="1015"/>
        <v>7.4999999999999734E-2</v>
      </c>
      <c r="J167" s="42">
        <f t="shared" si="1016"/>
        <v>0.20921985815602895</v>
      </c>
      <c r="K167" s="42">
        <f t="shared" si="1017"/>
        <v>0.31418918918918903</v>
      </c>
      <c r="L167" s="42">
        <f t="shared" si="1018"/>
        <v>0.18771331058020535</v>
      </c>
      <c r="M167" s="42">
        <f t="shared" si="1019"/>
        <v>-7.0830564784052363E-2</v>
      </c>
      <c r="N167" s="42">
        <f t="shared" si="1020"/>
        <v>-9.1659824046921301E-2</v>
      </c>
      <c r="O167" s="42">
        <f t="shared" si="1021"/>
        <v>-0.13461953727506459</v>
      </c>
      <c r="P167" s="42">
        <f t="shared" si="1022"/>
        <v>8.2726091954022474E-2</v>
      </c>
      <c r="Q167" s="42">
        <f t="shared" si="1023"/>
        <v>0.5815309639588091</v>
      </c>
      <c r="R167" s="42">
        <f t="shared" si="1024"/>
        <v>0.59018441035177416</v>
      </c>
      <c r="S167" s="42">
        <f t="shared" si="1025"/>
        <v>0.4181616181420118</v>
      </c>
      <c r="T167" s="42">
        <f t="shared" si="1026"/>
        <v>0.24210631805605165</v>
      </c>
      <c r="U167" s="42">
        <f t="shared" si="1027"/>
        <v>0.15277452035118699</v>
      </c>
      <c r="V167" s="42">
        <f t="shared" si="1028"/>
        <v>0.16243209218441224</v>
      </c>
      <c r="W167" s="42">
        <f t="shared" si="1028"/>
        <v>9.4455529953918482E-2</v>
      </c>
      <c r="X167" s="42">
        <f t="shared" si="1028"/>
        <v>0.11090440920695221</v>
      </c>
      <c r="Y167" s="42">
        <f t="shared" si="1028"/>
        <v>4.2138313098577296E-2</v>
      </c>
      <c r="Z167" s="42">
        <f t="shared" si="1029"/>
        <v>9.7397421478515156E-2</v>
      </c>
      <c r="AA167" s="42">
        <f t="shared" si="1030"/>
        <v>0.22826815674320455</v>
      </c>
      <c r="AB167" s="42">
        <f t="shared" si="1031"/>
        <v>9.4471483526717304E-2</v>
      </c>
      <c r="AC167" s="42">
        <f t="shared" si="1032"/>
        <v>0.35672167298083357</v>
      </c>
      <c r="AD167" s="42">
        <f t="shared" si="1032"/>
        <v>0.65679512797190465</v>
      </c>
      <c r="AE167" s="42">
        <f t="shared" si="1033"/>
        <v>0.65667100664395983</v>
      </c>
      <c r="AF167" s="42">
        <f t="shared" si="1034"/>
        <v>0.81317417688780091</v>
      </c>
      <c r="AG167" s="42">
        <f t="shared" si="1035"/>
        <v>0.64099080288176435</v>
      </c>
      <c r="AH167" s="42">
        <f t="shared" si="1036"/>
        <v>0.20645533141210448</v>
      </c>
      <c r="AI167" s="42">
        <f t="shared" si="1037"/>
        <v>0.13876064102680186</v>
      </c>
      <c r="AK167" s="26"/>
      <c r="AL167" s="33"/>
      <c r="AM167" s="42">
        <f>+IFERROR(AM162/AL162-1,"n/a")</f>
        <v>0.19494584837545137</v>
      </c>
      <c r="AN167" s="42">
        <f t="shared" ref="AN167:AO167" si="1041">+IFERROR(AN162/AM162-1,"n/a")</f>
        <v>-3.7721299093655625E-2</v>
      </c>
      <c r="AO167" s="42">
        <f t="shared" si="1041"/>
        <v>0.40422393974523851</v>
      </c>
      <c r="AP167" s="42">
        <f t="shared" ref="AP167:AS167" si="1042">+IFERROR(AP162/AO162-1,"n/a")</f>
        <v>0.1586851963387681</v>
      </c>
      <c r="AQ167" s="42">
        <f t="shared" si="1042"/>
        <v>0.11984068338181131</v>
      </c>
      <c r="AR167" s="42">
        <f t="shared" si="1042"/>
        <v>0.46212883113525627</v>
      </c>
      <c r="AS167" s="42">
        <f t="shared" si="1042"/>
        <v>0.37926542719977996</v>
      </c>
    </row>
    <row r="168" spans="2:45" x14ac:dyDescent="0.2">
      <c r="B168" s="28" t="s">
        <v>455</v>
      </c>
      <c r="D168" s="19"/>
      <c r="E168" s="19"/>
      <c r="F168" s="19"/>
      <c r="G168" s="19"/>
      <c r="H168" s="25">
        <f t="shared" si="1040"/>
        <v>0.2831125827814569</v>
      </c>
      <c r="I168" s="25">
        <f t="shared" si="1015"/>
        <v>0.29297994269340988</v>
      </c>
      <c r="J168" s="25">
        <f t="shared" si="1016"/>
        <v>0.30154466084620557</v>
      </c>
      <c r="K168" s="25">
        <f t="shared" si="1017"/>
        <v>0.33575677461996012</v>
      </c>
      <c r="L168" s="25">
        <f t="shared" si="1018"/>
        <v>0.28645161290322574</v>
      </c>
      <c r="M168" s="25">
        <f t="shared" si="1019"/>
        <v>-0.2144044321329639</v>
      </c>
      <c r="N168" s="25">
        <f t="shared" si="1020"/>
        <v>0.1083591331269349</v>
      </c>
      <c r="O168" s="25">
        <f t="shared" si="1021"/>
        <v>4.3542800593765474E-2</v>
      </c>
      <c r="P168" s="25">
        <f t="shared" si="1022"/>
        <v>0.20010030090270825</v>
      </c>
      <c r="Q168" s="25">
        <f t="shared" si="1023"/>
        <v>1.4753173483779971</v>
      </c>
      <c r="R168" s="25">
        <f t="shared" si="1024"/>
        <v>0.86312849162011163</v>
      </c>
      <c r="S168" s="25">
        <f t="shared" si="1025"/>
        <v>0.89805595068752941</v>
      </c>
      <c r="T168" s="25">
        <f t="shared" si="1026"/>
        <v>0.679481821980777</v>
      </c>
      <c r="U168" s="25">
        <f t="shared" si="1027"/>
        <v>0.44358974358974357</v>
      </c>
      <c r="V168" s="25">
        <f t="shared" si="1028"/>
        <v>0.36756621689155411</v>
      </c>
      <c r="W168" s="25">
        <f t="shared" si="1028"/>
        <v>0.34324256807394482</v>
      </c>
      <c r="X168" s="25">
        <f t="shared" si="1028"/>
        <v>0.36103508335406831</v>
      </c>
      <c r="Y168" s="25">
        <f t="shared" si="1028"/>
        <v>0.25715413459640812</v>
      </c>
      <c r="Z168" s="25">
        <f t="shared" si="1029"/>
        <v>0.23405810341677324</v>
      </c>
      <c r="AA168" s="25">
        <f t="shared" si="1030"/>
        <v>0.31188395015808079</v>
      </c>
      <c r="AB168" s="25">
        <f t="shared" si="1031"/>
        <v>0.29323583180987201</v>
      </c>
      <c r="AC168" s="25">
        <f t="shared" si="1032"/>
        <v>0.29827315541601251</v>
      </c>
      <c r="AD168" s="25">
        <f t="shared" si="1032"/>
        <v>0.34616523541604982</v>
      </c>
      <c r="AE168" s="25">
        <f t="shared" si="1033"/>
        <v>0.37371395232225946</v>
      </c>
      <c r="AF168" s="25">
        <f t="shared" si="1034"/>
        <v>0.32579449274337957</v>
      </c>
      <c r="AG168" s="25">
        <f t="shared" si="1035"/>
        <v>0.28007262179228776</v>
      </c>
      <c r="AH168" s="25">
        <f t="shared" si="1036"/>
        <v>0.16439397272327305</v>
      </c>
      <c r="AI168" s="25">
        <f t="shared" si="1037"/>
        <v>0.12997199866809872</v>
      </c>
      <c r="AK168" s="19"/>
      <c r="AL168" s="14"/>
      <c r="AM168" s="25">
        <f>+IFERROR(AM163/AL163-1,"n/a")</f>
        <v>0.3046735640385303</v>
      </c>
      <c r="AN168" s="25">
        <f t="shared" ref="AN168:AO168" si="1043">+IFERROR(AN163/AM163-1,"n/a")</f>
        <v>4.8537052228602606E-2</v>
      </c>
      <c r="AO168" s="25">
        <f t="shared" si="1043"/>
        <v>0.81353501108358328</v>
      </c>
      <c r="AP168" s="25">
        <f t="shared" ref="AP168:AS168" si="1044">+IFERROR(AP163/AO163-1,"n/a")</f>
        <v>0.43341961461029621</v>
      </c>
      <c r="AQ168" s="25">
        <f t="shared" si="1044"/>
        <v>0.28651685393258441</v>
      </c>
      <c r="AR168" s="25">
        <f t="shared" si="1044"/>
        <v>0.33055903850909307</v>
      </c>
      <c r="AS168" s="25">
        <f t="shared" si="1044"/>
        <v>0.21610953934178401</v>
      </c>
    </row>
    <row r="169" spans="2:45" x14ac:dyDescent="0.2">
      <c r="B169" s="28"/>
      <c r="D169" s="19"/>
      <c r="E169" s="19"/>
      <c r="F169" s="19"/>
      <c r="G169" s="19"/>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K169" s="19"/>
      <c r="AL169" s="14"/>
      <c r="AM169" s="25"/>
      <c r="AN169" s="25"/>
      <c r="AO169" s="25"/>
      <c r="AP169" s="25"/>
      <c r="AQ169" s="25"/>
      <c r="AR169" s="25"/>
      <c r="AS169" s="25"/>
    </row>
    <row r="170" spans="2:45" x14ac:dyDescent="0.2">
      <c r="B170" s="27" t="s">
        <v>193</v>
      </c>
      <c r="D170" s="19"/>
      <c r="E170" s="19"/>
      <c r="F170" s="19"/>
      <c r="G170" s="19"/>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K170" s="19"/>
      <c r="AL170" s="14"/>
      <c r="AM170" s="25"/>
      <c r="AN170" s="25"/>
      <c r="AO170" s="25"/>
      <c r="AP170" s="25"/>
      <c r="AQ170" s="25"/>
      <c r="AR170" s="25"/>
      <c r="AS170" s="25"/>
    </row>
    <row r="171" spans="2:45" x14ac:dyDescent="0.2">
      <c r="B171" s="24" t="s">
        <v>452</v>
      </c>
      <c r="D171" s="19"/>
      <c r="E171" s="19"/>
      <c r="F171" s="19"/>
      <c r="G171" s="19"/>
      <c r="H171" s="25">
        <f t="shared" ref="H171:AE171" si="1045">+H130</f>
        <v>0.31210855949895633</v>
      </c>
      <c r="I171" s="25">
        <f t="shared" si="1045"/>
        <v>0.34767025089605741</v>
      </c>
      <c r="J171" s="25">
        <f t="shared" si="1045"/>
        <v>0.32311516155758069</v>
      </c>
      <c r="K171" s="25">
        <f t="shared" si="1045"/>
        <v>0.34100246507806076</v>
      </c>
      <c r="L171" s="25">
        <f t="shared" si="1045"/>
        <v>0.30946698488464586</v>
      </c>
      <c r="M171" s="25">
        <f t="shared" si="1045"/>
        <v>-0.24313829787234054</v>
      </c>
      <c r="N171" s="25">
        <f t="shared" si="1045"/>
        <v>0.15106825297432702</v>
      </c>
      <c r="O171" s="25">
        <f t="shared" si="1045"/>
        <v>8.6009191176470656E-2</v>
      </c>
      <c r="P171" s="25">
        <f t="shared" si="1045"/>
        <v>0.22491574726609986</v>
      </c>
      <c r="Q171" s="25">
        <f t="shared" si="1045"/>
        <v>1.6949165612481552</v>
      </c>
      <c r="R171" s="25">
        <f t="shared" si="1045"/>
        <v>0.90911925216074363</v>
      </c>
      <c r="S171" s="25">
        <f t="shared" si="1045"/>
        <v>0.98920426751344381</v>
      </c>
      <c r="T171" s="25">
        <f t="shared" si="1045"/>
        <v>0.76121836276566479</v>
      </c>
      <c r="U171" s="25">
        <f t="shared" si="1045"/>
        <v>0.48552183821205053</v>
      </c>
      <c r="V171" s="25">
        <f t="shared" si="1045"/>
        <v>0.3963567202007543</v>
      </c>
      <c r="W171" s="25">
        <f t="shared" si="1045"/>
        <v>0.37693071533923295</v>
      </c>
      <c r="X171" s="25">
        <f t="shared" si="1045"/>
        <v>0.39400169541528207</v>
      </c>
      <c r="Y171" s="25">
        <f t="shared" si="1045"/>
        <v>0.28121244734976059</v>
      </c>
      <c r="Z171" s="25">
        <f t="shared" si="1045"/>
        <v>0.25002520689972241</v>
      </c>
      <c r="AA171" s="25">
        <f t="shared" si="1045"/>
        <v>0.18369146091629995</v>
      </c>
      <c r="AB171" s="25">
        <f t="shared" si="1045"/>
        <v>0.15249898241622734</v>
      </c>
      <c r="AC171" s="25">
        <f t="shared" si="1045"/>
        <v>0.15593485171326271</v>
      </c>
      <c r="AD171" s="25">
        <f t="shared" ref="AD171" si="1046">+AD130</f>
        <v>0.18370560910109821</v>
      </c>
      <c r="AE171" s="25">
        <f t="shared" si="1045"/>
        <v>0.29330662187852863</v>
      </c>
      <c r="AF171" s="25">
        <f t="shared" ref="AF171:AI171" si="1047">+AF130</f>
        <v>0.28316009724016111</v>
      </c>
      <c r="AG171" s="25">
        <f t="shared" si="1047"/>
        <v>0.24560466554560856</v>
      </c>
      <c r="AH171" s="25">
        <f t="shared" si="1047"/>
        <v>0.15895540926592955</v>
      </c>
      <c r="AI171" s="25">
        <f t="shared" si="1047"/>
        <v>0.12888888888888883</v>
      </c>
      <c r="AK171" s="19"/>
      <c r="AL171" s="14"/>
      <c r="AM171" s="25">
        <f t="shared" ref="AM171:AS171" si="1048">+AM130</f>
        <v>0.33170297910182311</v>
      </c>
      <c r="AN171" s="25">
        <f t="shared" si="1048"/>
        <v>6.7603171953255492E-2</v>
      </c>
      <c r="AO171" s="25">
        <f t="shared" si="1048"/>
        <v>0.8950815761766755</v>
      </c>
      <c r="AP171" s="25">
        <f t="shared" si="1048"/>
        <v>0.47397735157774967</v>
      </c>
      <c r="AQ171" s="25">
        <f t="shared" si="1048"/>
        <v>0.26857549957236798</v>
      </c>
      <c r="AR171" s="25">
        <f t="shared" si="1048"/>
        <v>0.2002605017249664</v>
      </c>
      <c r="AS171" s="25">
        <f t="shared" si="1048"/>
        <v>0.19808997573134457</v>
      </c>
    </row>
    <row r="172" spans="2:45" ht="13.5" x14ac:dyDescent="0.35">
      <c r="B172" s="24" t="s">
        <v>454</v>
      </c>
      <c r="D172" s="19"/>
      <c r="E172" s="19"/>
      <c r="F172" s="19"/>
      <c r="G172" s="19"/>
      <c r="H172" s="42">
        <f>+H158</f>
        <v>0.17199999999999993</v>
      </c>
      <c r="I172" s="42">
        <f t="shared" ref="I172:K172" si="1049">+I158</f>
        <v>7.4999999999999831E-2</v>
      </c>
      <c r="J172" s="42">
        <f t="shared" si="1049"/>
        <v>0.11465721040189183</v>
      </c>
      <c r="K172" s="42">
        <f t="shared" si="1049"/>
        <v>0.242117117117117</v>
      </c>
      <c r="L172" s="42">
        <f>+L158</f>
        <v>6.1433447098976662E-2</v>
      </c>
      <c r="M172" s="42">
        <f t="shared" ref="M172:U172" si="1050">+M158</f>
        <v>-0.1937541528239195</v>
      </c>
      <c r="N172" s="42">
        <f t="shared" si="1050"/>
        <v>-0.16399608993157422</v>
      </c>
      <c r="O172" s="42">
        <f t="shared" si="1050"/>
        <v>-0.17746443873179124</v>
      </c>
      <c r="P172" s="42">
        <f t="shared" si="1050"/>
        <v>-5.520494252873609E-2</v>
      </c>
      <c r="Q172" s="42">
        <f t="shared" si="1050"/>
        <v>0.37057558638443855</v>
      </c>
      <c r="R172" s="42">
        <f t="shared" si="1050"/>
        <v>0.26088021075468759</v>
      </c>
      <c r="S172" s="42">
        <f t="shared" si="1050"/>
        <v>0.15080815012194243</v>
      </c>
      <c r="T172" s="42">
        <f t="shared" si="1050"/>
        <v>8.2865865290857099E-2</v>
      </c>
      <c r="U172" s="42">
        <f t="shared" si="1050"/>
        <v>5.3299607720680986E-2</v>
      </c>
      <c r="V172" s="42">
        <f>+V158</f>
        <v>6.7010323092424662E-2</v>
      </c>
      <c r="W172" s="42">
        <f>+W158</f>
        <v>-2.7035881860073982E-2</v>
      </c>
      <c r="X172" s="42">
        <f>+X158</f>
        <v>2.9709840525321218E-2</v>
      </c>
      <c r="Y172" s="42">
        <f>+Y158</f>
        <v>-3.2386366533553257E-2</v>
      </c>
      <c r="Z172" s="42">
        <f t="shared" ref="Z172:AA172" si="1051">+Z158</f>
        <v>5.7226679757905852E-2</v>
      </c>
      <c r="AA172" s="42">
        <f t="shared" si="1051"/>
        <v>3.8153992485804367E-2</v>
      </c>
      <c r="AB172" s="42">
        <f t="shared" ref="AB172:AC172" si="1052">+AB158</f>
        <v>-9.6584965351305285E-2</v>
      </c>
      <c r="AC172" s="42">
        <f t="shared" si="1052"/>
        <v>8.6855330866799696E-2</v>
      </c>
      <c r="AD172" s="42">
        <f t="shared" ref="AD172" si="1053">+AD158</f>
        <v>8.2417997792524345E-3</v>
      </c>
      <c r="AE172" s="42">
        <f t="shared" ref="AE172" si="1054">+AE158</f>
        <v>5.4971815078997621E-2</v>
      </c>
      <c r="AF172" s="42">
        <f t="shared" ref="AF172:AI172" si="1055">+AF158</f>
        <v>-7.369338952687543E-3</v>
      </c>
      <c r="AG172" s="42">
        <f t="shared" si="1055"/>
        <v>6.6606301099895737E-2</v>
      </c>
      <c r="AH172" s="42">
        <f t="shared" si="1055"/>
        <v>6.2363112391931597E-2</v>
      </c>
      <c r="AI172" s="42">
        <f t="shared" si="1055"/>
        <v>6.2791721855474519E-2</v>
      </c>
      <c r="AK172" s="19"/>
      <c r="AL172" s="14"/>
      <c r="AM172" s="42">
        <f t="shared" ref="AM172:AR172" si="1056">+AM158</f>
        <v>0.15162454873646219</v>
      </c>
      <c r="AN172" s="42">
        <f t="shared" si="1056"/>
        <v>-0.12483106747230616</v>
      </c>
      <c r="AO172" s="42">
        <f t="shared" si="1056"/>
        <v>0.16954056215695171</v>
      </c>
      <c r="AP172" s="42">
        <f t="shared" si="1056"/>
        <v>4.1864159895154587E-2</v>
      </c>
      <c r="AQ172" s="42">
        <f t="shared" si="1056"/>
        <v>2.4164240259809303E-2</v>
      </c>
      <c r="AR172" s="42">
        <f t="shared" si="1056"/>
        <v>1.5678058258481509E-2</v>
      </c>
      <c r="AS172" s="42">
        <f t="shared" ref="AS172" si="1057">+AS158</f>
        <v>5.1707960025365096E-2</v>
      </c>
    </row>
    <row r="173" spans="2:45" x14ac:dyDescent="0.2">
      <c r="B173" s="28" t="s">
        <v>455</v>
      </c>
      <c r="D173" s="19"/>
      <c r="E173" s="19"/>
      <c r="F173" s="19"/>
      <c r="G173" s="19"/>
      <c r="H173" s="25">
        <f>+SUMPRODUCT(H171:H172,D161:D162)/D163</f>
        <v>0.28311258278145712</v>
      </c>
      <c r="I173" s="25">
        <f t="shared" ref="I173:K173" si="1058">+SUMPRODUCT(I171:I172,E161:E162)/E163</f>
        <v>0.29297994269340977</v>
      </c>
      <c r="J173" s="25">
        <f t="shared" si="1058"/>
        <v>0.28363554958585185</v>
      </c>
      <c r="K173" s="25">
        <f t="shared" si="1058"/>
        <v>0.32165675258867582</v>
      </c>
      <c r="L173" s="25">
        <f>+SUMPRODUCT(L171:L172,H161:H162)/H163</f>
        <v>0.26258064516129032</v>
      </c>
      <c r="M173" s="25">
        <f t="shared" ref="M173:Y173" si="1059">+SUMPRODUCT(M171:M172,I161:I162)/I163</f>
        <v>-0.23490304709141269</v>
      </c>
      <c r="N173" s="25">
        <f t="shared" si="1059"/>
        <v>9.5631234950120422E-2</v>
      </c>
      <c r="O173" s="25">
        <f t="shared" si="1059"/>
        <v>3.5296058057067446E-2</v>
      </c>
      <c r="P173" s="25">
        <f t="shared" si="1059"/>
        <v>0.17602808425275837</v>
      </c>
      <c r="Q173" s="25">
        <f t="shared" si="1059"/>
        <v>1.4337094499294778</v>
      </c>
      <c r="R173" s="25">
        <f t="shared" si="1059"/>
        <v>0.81564245810055858</v>
      </c>
      <c r="S173" s="25">
        <f t="shared" si="1059"/>
        <v>0.85538169748696047</v>
      </c>
      <c r="T173" s="25">
        <f t="shared" si="1059"/>
        <v>0.65440869201838692</v>
      </c>
      <c r="U173" s="25">
        <f t="shared" si="1059"/>
        <v>0.4310541310541311</v>
      </c>
      <c r="V173" s="25">
        <f t="shared" si="1059"/>
        <v>0.35582208895552203</v>
      </c>
      <c r="W173" s="25">
        <f t="shared" si="1059"/>
        <v>0.32875343492380732</v>
      </c>
      <c r="X173" s="25">
        <f t="shared" si="1059"/>
        <v>0.35157999502363779</v>
      </c>
      <c r="Y173" s="25">
        <f t="shared" si="1059"/>
        <v>0.24965462798500102</v>
      </c>
      <c r="Z173" s="25">
        <f t="shared" ref="Z173" si="1060">+SUMPRODUCT(Z171:Z172,V161:V162)/V163</f>
        <v>0.22985565503380237</v>
      </c>
      <c r="AA173" s="25">
        <f t="shared" ref="AA173" si="1061">+SUMPRODUCT(AA171:AA172,W161:W162)/W163</f>
        <v>0.16954931498357209</v>
      </c>
      <c r="AB173" s="25">
        <f t="shared" ref="AB173" si="1062">+SUMPRODUCT(AB171:AB172,X161:X162)/X163</f>
        <v>0.12882388787324806</v>
      </c>
      <c r="AC173" s="25">
        <f t="shared" ref="AC173:AD173" si="1063">+SUMPRODUCT(AC171:AC172,Y161:Y162)/Y163</f>
        <v>0.15017224838653409</v>
      </c>
      <c r="AD173" s="25">
        <f t="shared" si="1063"/>
        <v>0.167382291975126</v>
      </c>
      <c r="AE173" s="25">
        <f t="shared" ref="AE173" si="1064">+SUMPRODUCT(AE171:AE172,AA161:AA162)/AA163</f>
        <v>0.27162330362684767</v>
      </c>
      <c r="AF173" s="25">
        <f t="shared" ref="AF173" si="1065">+SUMPRODUCT(AF171:AF172,AB161:AB162)/AB163</f>
        <v>0.25978987489397792</v>
      </c>
      <c r="AG173" s="25">
        <f t="shared" ref="AG173" si="1066">+SUMPRODUCT(AG171:AG172,AC161:AC162)/AC163</f>
        <v>0.23000040628778703</v>
      </c>
      <c r="AH173" s="25">
        <f t="shared" ref="AH173" si="1067">+SUMPRODUCT(AH171:AH172,AD161:AD162)/AD163</f>
        <v>0.14789595248570167</v>
      </c>
      <c r="AI173" s="25">
        <f t="shared" ref="AI173" si="1068">+SUMPRODUCT(AI171:AI172,AE161:AE162)/AE163</f>
        <v>0.12163683403663877</v>
      </c>
      <c r="AK173" s="19"/>
      <c r="AL173" s="14"/>
      <c r="AM173" s="25">
        <f>+SUMPRODUCT(AM171:AM172,AL161:AL162)/AL163</f>
        <v>0.29611130931145213</v>
      </c>
      <c r="AN173" s="25">
        <f t="shared" ref="AN173:AS173" si="1069">+SUMPRODUCT(AN171:AN172,AM161:AM162)/AM163</f>
        <v>3.2768207091422891E-2</v>
      </c>
      <c r="AO173" s="25">
        <f t="shared" si="1069"/>
        <v>0.77454687703742309</v>
      </c>
      <c r="AP173" s="25">
        <f t="shared" si="1069"/>
        <v>0.41839229220592472</v>
      </c>
      <c r="AQ173" s="25">
        <f t="shared" si="1069"/>
        <v>0.24316144997324765</v>
      </c>
      <c r="AR173" s="25">
        <f t="shared" si="1069"/>
        <v>0.18355406552841036</v>
      </c>
      <c r="AS173" s="25">
        <f t="shared" si="1069"/>
        <v>0.18353093905137904</v>
      </c>
    </row>
    <row r="174" spans="2:45" x14ac:dyDescent="0.2">
      <c r="B174" s="28"/>
      <c r="D174" s="19"/>
      <c r="E174" s="19"/>
      <c r="F174" s="19"/>
      <c r="G174" s="19"/>
      <c r="H174" s="14"/>
      <c r="I174" s="14"/>
      <c r="J174" s="14"/>
      <c r="K174" s="14"/>
      <c r="L174" s="14"/>
      <c r="M174" s="14"/>
      <c r="N174" s="14"/>
      <c r="O174" s="14"/>
      <c r="P174" s="14"/>
      <c r="Q174" s="14"/>
      <c r="R174" s="20"/>
      <c r="S174" s="14"/>
      <c r="T174" s="14"/>
      <c r="U174" s="14"/>
      <c r="V174" s="20"/>
      <c r="AK174" s="19"/>
      <c r="AL174" s="14"/>
      <c r="AM174" s="17"/>
      <c r="AN174" s="17"/>
      <c r="AO174" s="17"/>
      <c r="AP174" s="19"/>
      <c r="AQ174" s="19"/>
      <c r="AR174" s="19"/>
      <c r="AS174" s="19"/>
    </row>
    <row r="175" spans="2:45" x14ac:dyDescent="0.2">
      <c r="B175" t="s">
        <v>450</v>
      </c>
      <c r="D175" s="29">
        <f t="shared" ref="D175:AE175" si="1070">+D140</f>
        <v>32.199999999999996</v>
      </c>
      <c r="E175" s="29">
        <f t="shared" si="1070"/>
        <v>35.5</v>
      </c>
      <c r="F175" s="29">
        <f t="shared" si="1070"/>
        <v>37.299999999999997</v>
      </c>
      <c r="G175" s="29">
        <f t="shared" si="1070"/>
        <v>36.900000000000006</v>
      </c>
      <c r="H175" s="29">
        <f t="shared" si="1070"/>
        <v>37</v>
      </c>
      <c r="I175" s="29">
        <f t="shared" si="1070"/>
        <v>45.2</v>
      </c>
      <c r="J175" s="29">
        <f t="shared" si="1070"/>
        <v>45.599999999999994</v>
      </c>
      <c r="K175" s="29">
        <f t="shared" si="1070"/>
        <v>45.299999999999983</v>
      </c>
      <c r="L175" s="29">
        <f t="shared" si="1070"/>
        <v>44.3</v>
      </c>
      <c r="M175" s="29">
        <f t="shared" si="1070"/>
        <v>39.431999999999995</v>
      </c>
      <c r="N175" s="29">
        <f t="shared" si="1070"/>
        <v>56.7256</v>
      </c>
      <c r="O175" s="29">
        <f t="shared" si="1070"/>
        <v>55.136699999999998</v>
      </c>
      <c r="P175" s="29">
        <f t="shared" si="1070"/>
        <v>59.821132000000006</v>
      </c>
      <c r="Q175" s="29">
        <f t="shared" si="1070"/>
        <v>92.067741999999996</v>
      </c>
      <c r="R175" s="29">
        <f t="shared" si="1070"/>
        <v>99.044992000000008</v>
      </c>
      <c r="S175" s="29">
        <f t="shared" si="1070"/>
        <v>99.160000000000011</v>
      </c>
      <c r="T175" s="29">
        <f t="shared" si="1070"/>
        <v>101.99884</v>
      </c>
      <c r="U175" s="29">
        <f t="shared" si="1070"/>
        <v>131.61017999999999</v>
      </c>
      <c r="V175" s="29">
        <f t="shared" si="1070"/>
        <v>139.44439800000001</v>
      </c>
      <c r="W175" s="29">
        <f t="shared" si="1070"/>
        <v>147.15069299999996</v>
      </c>
      <c r="X175" s="29">
        <f t="shared" si="1070"/>
        <v>148.008385</v>
      </c>
      <c r="Y175" s="29">
        <f t="shared" si="1070"/>
        <v>174.961555</v>
      </c>
      <c r="Z175" s="29">
        <f t="shared" si="1070"/>
        <v>180.16784999999999</v>
      </c>
      <c r="AA175" s="29">
        <f t="shared" si="1070"/>
        <v>205.12384000000006</v>
      </c>
      <c r="AB175" s="29">
        <f t="shared" si="1070"/>
        <v>206.79666</v>
      </c>
      <c r="AC175" s="29">
        <f t="shared" si="1070"/>
        <v>248.50591999999997</v>
      </c>
      <c r="AD175" s="29">
        <f t="shared" ref="AD175" si="1071">+AD140</f>
        <v>261</v>
      </c>
      <c r="AE175" s="29">
        <f t="shared" si="1070"/>
        <v>294.27622753573576</v>
      </c>
      <c r="AF175" s="29">
        <f t="shared" ref="AF175:AI175" si="1072">+AF140</f>
        <v>276.64056420000003</v>
      </c>
      <c r="AG175" s="29">
        <f t="shared" si="1072"/>
        <v>320.81312639999993</v>
      </c>
      <c r="AH175" s="29">
        <f t="shared" si="1072"/>
        <v>316.68</v>
      </c>
      <c r="AI175" s="29">
        <f t="shared" si="1072"/>
        <v>346.94879660117124</v>
      </c>
      <c r="AK175" s="17">
        <f>+SUM(D175:G175)</f>
        <v>141.89999999999998</v>
      </c>
      <c r="AL175" s="17">
        <f>+AK175</f>
        <v>141.89999999999998</v>
      </c>
      <c r="AM175" s="17">
        <f t="shared" ref="AM175:AM177" si="1073">+SUM(H175:K175)</f>
        <v>173.09999999999997</v>
      </c>
      <c r="AN175" s="17">
        <f>+SUM(L175:O175)</f>
        <v>195.5943</v>
      </c>
      <c r="AO175" s="17">
        <f>+SUM(P175:S175)</f>
        <v>350.09386599999999</v>
      </c>
      <c r="AP175" s="17">
        <f>+SUM(T175:W175)</f>
        <v>520.2041109999999</v>
      </c>
      <c r="AQ175" s="17">
        <f>+SUM(X175:AA175)</f>
        <v>708.26163000000008</v>
      </c>
      <c r="AR175" s="17">
        <f>+SUM(AB175:AE175)</f>
        <v>1010.5788075357358</v>
      </c>
      <c r="AS175" s="17">
        <f t="shared" ref="AS175:AS177" si="1074">+SUM(AF175:AI175)</f>
        <v>1261.0824872011713</v>
      </c>
    </row>
    <row r="176" spans="2:45" ht="13.5" x14ac:dyDescent="0.35">
      <c r="B176" t="s">
        <v>454</v>
      </c>
      <c r="D176" s="30">
        <f t="shared" ref="D176:AA176" si="1075">+D148</f>
        <v>25</v>
      </c>
      <c r="E176" s="30">
        <f t="shared" si="1075"/>
        <v>28</v>
      </c>
      <c r="F176" s="30">
        <f t="shared" si="1075"/>
        <v>28.200000000000003</v>
      </c>
      <c r="G176" s="30">
        <f t="shared" si="1075"/>
        <v>29.600000000000009</v>
      </c>
      <c r="H176" s="30">
        <f t="shared" si="1075"/>
        <v>29.299999999999997</v>
      </c>
      <c r="I176" s="30">
        <f t="shared" si="1075"/>
        <v>30.099999999999994</v>
      </c>
      <c r="J176" s="30">
        <f t="shared" si="1075"/>
        <v>34.100000000000023</v>
      </c>
      <c r="K176" s="30">
        <f t="shared" si="1075"/>
        <v>38.900000000000006</v>
      </c>
      <c r="L176" s="30">
        <f t="shared" si="1075"/>
        <v>34.800000000000011</v>
      </c>
      <c r="M176" s="30">
        <f t="shared" si="1075"/>
        <v>27.968000000000018</v>
      </c>
      <c r="N176" s="30">
        <f t="shared" si="1075"/>
        <v>30.974400000000003</v>
      </c>
      <c r="O176" s="30">
        <f t="shared" si="1075"/>
        <v>33.663299999999992</v>
      </c>
      <c r="P176" s="30">
        <f t="shared" si="1075"/>
        <v>37.678867999999994</v>
      </c>
      <c r="Q176" s="30">
        <f t="shared" si="1075"/>
        <v>44.232258000000002</v>
      </c>
      <c r="R176" s="30">
        <f t="shared" si="1075"/>
        <v>49.255007999999997</v>
      </c>
      <c r="S176" s="30">
        <f t="shared" si="1075"/>
        <v>47.739999999999974</v>
      </c>
      <c r="T176" s="30">
        <f t="shared" si="1075"/>
        <v>46.801159999999982</v>
      </c>
      <c r="U176" s="30">
        <f t="shared" si="1075"/>
        <v>50.989819999999952</v>
      </c>
      <c r="V176" s="30">
        <f t="shared" si="1075"/>
        <v>57.255601999999953</v>
      </c>
      <c r="W176" s="30">
        <f t="shared" si="1075"/>
        <v>52.249307000000044</v>
      </c>
      <c r="X176" s="30">
        <f t="shared" si="1075"/>
        <v>51.991615000000024</v>
      </c>
      <c r="Y176" s="30">
        <f t="shared" si="1075"/>
        <v>53.138445000000047</v>
      </c>
      <c r="Z176" s="30">
        <f t="shared" si="1075"/>
        <v>62.83215000000007</v>
      </c>
      <c r="AA176" s="30">
        <f t="shared" si="1075"/>
        <v>64.176159999999868</v>
      </c>
      <c r="AB176" s="30">
        <f t="shared" ref="AB176:AC176" si="1076">+AB148</f>
        <v>56.903339999999957</v>
      </c>
      <c r="AC176" s="30">
        <f t="shared" si="1076"/>
        <v>72.094080000000076</v>
      </c>
      <c r="AD176" s="30">
        <f t="shared" ref="AD176" si="1077">+AD148</f>
        <v>104.10000000000002</v>
      </c>
      <c r="AE176" s="30">
        <f>+AE148</f>
        <v>106.31878358974362</v>
      </c>
      <c r="AF176" s="30">
        <f t="shared" ref="AF176:AI176" si="1078">+AF148</f>
        <v>103.1756666666666</v>
      </c>
      <c r="AG176" s="30">
        <f t="shared" si="1078"/>
        <v>118.30572222222227</v>
      </c>
      <c r="AH176" s="30">
        <f t="shared" si="1078"/>
        <v>125.5920000000001</v>
      </c>
      <c r="AI176" s="30">
        <f t="shared" si="1078"/>
        <v>121.07164615384626</v>
      </c>
      <c r="AK176" s="18">
        <f t="shared" ref="AK176:AK177" si="1079">+SUM(D176:G176)</f>
        <v>110.80000000000001</v>
      </c>
      <c r="AL176" s="18">
        <f t="shared" ref="AL176:AL177" si="1080">+AK176</f>
        <v>110.80000000000001</v>
      </c>
      <c r="AM176" s="18">
        <f t="shared" si="1073"/>
        <v>132.40000000000003</v>
      </c>
      <c r="AN176" s="18">
        <f t="shared" ref="AN176:AN177" si="1081">+SUM(L176:O176)</f>
        <v>127.40570000000002</v>
      </c>
      <c r="AO176" s="18">
        <f t="shared" ref="AO176:AO177" si="1082">+SUM(P176:S176)</f>
        <v>178.90613399999998</v>
      </c>
      <c r="AP176" s="18">
        <f t="shared" ref="AP176:AP177" si="1083">+SUM(T176:W176)</f>
        <v>207.29588899999993</v>
      </c>
      <c r="AQ176" s="18">
        <f t="shared" ref="AQ176:AQ177" si="1084">+SUM(X176:AA176)</f>
        <v>232.13837000000001</v>
      </c>
      <c r="AR176" s="18">
        <f t="shared" ref="AR176:AR177" si="1085">+SUM(AB176:AE176)</f>
        <v>339.41620358974365</v>
      </c>
      <c r="AS176" s="18">
        <f t="shared" si="1074"/>
        <v>468.14503504273523</v>
      </c>
    </row>
    <row r="177" spans="2:46" s="1" customFormat="1" x14ac:dyDescent="0.2">
      <c r="B177" s="31" t="s">
        <v>451</v>
      </c>
      <c r="D177" s="34">
        <f>SUM(D175:D176)</f>
        <v>57.199999999999996</v>
      </c>
      <c r="E177" s="34">
        <f t="shared" ref="E177:U177" si="1086">SUM(E175:E176)</f>
        <v>63.5</v>
      </c>
      <c r="F177" s="34">
        <f t="shared" si="1086"/>
        <v>65.5</v>
      </c>
      <c r="G177" s="34">
        <f t="shared" si="1086"/>
        <v>66.500000000000014</v>
      </c>
      <c r="H177" s="34">
        <f t="shared" si="1086"/>
        <v>66.3</v>
      </c>
      <c r="I177" s="34">
        <f t="shared" si="1086"/>
        <v>75.3</v>
      </c>
      <c r="J177" s="34">
        <f t="shared" si="1086"/>
        <v>79.700000000000017</v>
      </c>
      <c r="K177" s="34">
        <f t="shared" si="1086"/>
        <v>84.199999999999989</v>
      </c>
      <c r="L177" s="34">
        <f t="shared" si="1086"/>
        <v>79.100000000000009</v>
      </c>
      <c r="M177" s="34">
        <f t="shared" si="1086"/>
        <v>67.400000000000006</v>
      </c>
      <c r="N177" s="34">
        <f t="shared" si="1086"/>
        <v>87.7</v>
      </c>
      <c r="O177" s="34">
        <f t="shared" si="1086"/>
        <v>88.799999999999983</v>
      </c>
      <c r="P177" s="34">
        <f t="shared" si="1086"/>
        <v>97.5</v>
      </c>
      <c r="Q177" s="34">
        <f t="shared" si="1086"/>
        <v>136.30000000000001</v>
      </c>
      <c r="R177" s="34">
        <f t="shared" si="1086"/>
        <v>148.30000000000001</v>
      </c>
      <c r="S177" s="34">
        <f t="shared" si="1086"/>
        <v>146.89999999999998</v>
      </c>
      <c r="T177" s="34">
        <f t="shared" si="1086"/>
        <v>148.79999999999998</v>
      </c>
      <c r="U177" s="34">
        <f t="shared" si="1086"/>
        <v>182.59999999999994</v>
      </c>
      <c r="V177" s="34">
        <f t="shared" ref="V177:W177" si="1087">SUM(V175:V176)</f>
        <v>196.69999999999996</v>
      </c>
      <c r="W177" s="34">
        <f t="shared" si="1087"/>
        <v>199.4</v>
      </c>
      <c r="X177" s="34">
        <f t="shared" ref="X177:Y177" si="1088">SUM(X175:X176)</f>
        <v>200.00000000000003</v>
      </c>
      <c r="Y177" s="34">
        <f t="shared" si="1088"/>
        <v>228.10000000000005</v>
      </c>
      <c r="Z177" s="34">
        <f t="shared" ref="Z177:AA177" si="1089">SUM(Z175:Z176)</f>
        <v>243.00000000000006</v>
      </c>
      <c r="AA177" s="34">
        <f t="shared" si="1089"/>
        <v>269.29999999999995</v>
      </c>
      <c r="AB177" s="34">
        <f t="shared" ref="AB177:AC177" si="1090">SUM(AB175:AB176)</f>
        <v>263.69999999999993</v>
      </c>
      <c r="AC177" s="34">
        <f t="shared" si="1090"/>
        <v>320.60000000000002</v>
      </c>
      <c r="AD177" s="34">
        <f t="shared" ref="AD177" si="1091">SUM(AD175:AD176)</f>
        <v>365.1</v>
      </c>
      <c r="AE177" s="34">
        <f t="shared" ref="AE177" si="1092">SUM(AE175:AE176)</f>
        <v>400.59501112547935</v>
      </c>
      <c r="AF177" s="34">
        <f t="shared" ref="AF177:AI177" si="1093">SUM(AF175:AF176)</f>
        <v>379.81623086666661</v>
      </c>
      <c r="AG177" s="34">
        <f t="shared" si="1093"/>
        <v>439.11884862222223</v>
      </c>
      <c r="AH177" s="34">
        <f t="shared" si="1093"/>
        <v>442.27200000000011</v>
      </c>
      <c r="AI177" s="34">
        <f t="shared" si="1093"/>
        <v>468.02044275501748</v>
      </c>
      <c r="AK177" s="34">
        <f t="shared" si="1079"/>
        <v>252.7</v>
      </c>
      <c r="AL177" s="34">
        <f t="shared" si="1080"/>
        <v>252.7</v>
      </c>
      <c r="AM177" s="34">
        <f t="shared" si="1073"/>
        <v>305.5</v>
      </c>
      <c r="AN177" s="34">
        <f t="shared" si="1081"/>
        <v>323</v>
      </c>
      <c r="AO177" s="34">
        <f t="shared" si="1082"/>
        <v>529</v>
      </c>
      <c r="AP177" s="34">
        <f t="shared" si="1083"/>
        <v>727.49999999999989</v>
      </c>
      <c r="AQ177" s="34">
        <f t="shared" si="1084"/>
        <v>940.40000000000009</v>
      </c>
      <c r="AR177" s="34">
        <f t="shared" si="1085"/>
        <v>1349.9950111254793</v>
      </c>
      <c r="AS177" s="34">
        <f t="shared" si="1074"/>
        <v>1729.2275222439064</v>
      </c>
    </row>
    <row r="178" spans="2:46" x14ac:dyDescent="0.2">
      <c r="B178" s="28" t="s">
        <v>136</v>
      </c>
      <c r="D178" s="19"/>
      <c r="E178" s="19"/>
      <c r="F178" s="19"/>
      <c r="G178" s="19"/>
      <c r="H178" s="25">
        <f>+IFERROR(H177/D177-1,"n/a")</f>
        <v>0.15909090909090917</v>
      </c>
      <c r="I178" s="25">
        <f t="shared" ref="I178" si="1094">+IFERROR(I177/E177-1,"n/a")</f>
        <v>0.18582677165354333</v>
      </c>
      <c r="J178" s="25">
        <f t="shared" ref="J178" si="1095">+IFERROR(J177/F177-1,"n/a")</f>
        <v>0.21679389312977126</v>
      </c>
      <c r="K178" s="25">
        <f t="shared" ref="K178" si="1096">+IFERROR(K177/G177-1,"n/a")</f>
        <v>0.26616541353383405</v>
      </c>
      <c r="L178" s="25">
        <f t="shared" ref="L178" si="1097">+IFERROR(L177/H177-1,"n/a")</f>
        <v>0.19306184012066385</v>
      </c>
      <c r="M178" s="25">
        <f t="shared" ref="M178" si="1098">+IFERROR(M177/I177-1,"n/a")</f>
        <v>-0.10491367861885781</v>
      </c>
      <c r="N178" s="25">
        <f t="shared" ref="N178" si="1099">+IFERROR(N177/J177-1,"n/a")</f>
        <v>0.10037641154328703</v>
      </c>
      <c r="O178" s="25">
        <f t="shared" ref="O178" si="1100">+IFERROR(O177/K177-1,"n/a")</f>
        <v>5.4631828978622288E-2</v>
      </c>
      <c r="P178" s="25">
        <f t="shared" ref="P178" si="1101">+IFERROR(P177/L177-1,"n/a")</f>
        <v>0.23261694058154214</v>
      </c>
      <c r="Q178" s="25">
        <f t="shared" ref="Q178" si="1102">+IFERROR(Q177/M177-1,"n/a")</f>
        <v>1.0222551928783381</v>
      </c>
      <c r="R178" s="25">
        <f t="shared" ref="R178" si="1103">+IFERROR(R177/N177-1,"n/a")</f>
        <v>0.69099201824401368</v>
      </c>
      <c r="S178" s="25">
        <f t="shared" ref="S178" si="1104">+IFERROR(S177/O177-1,"n/a")</f>
        <v>0.65427927927927931</v>
      </c>
      <c r="T178" s="25">
        <f t="shared" ref="T178" si="1105">+IFERROR(T177/P177-1,"n/a")</f>
        <v>0.52615384615384597</v>
      </c>
      <c r="U178" s="25">
        <f t="shared" ref="U178" si="1106">+IFERROR(U177/Q177-1,"n/a")</f>
        <v>0.33969185619955922</v>
      </c>
      <c r="V178" s="25">
        <f t="shared" ref="V178:Y178" si="1107">+IFERROR(V177/R177-1,"n/a")</f>
        <v>0.3263654753877272</v>
      </c>
      <c r="W178" s="25">
        <f t="shared" si="1107"/>
        <v>0.35738597685500362</v>
      </c>
      <c r="X178" s="25">
        <f t="shared" si="1107"/>
        <v>0.3440860215053767</v>
      </c>
      <c r="Y178" s="25">
        <f t="shared" si="1107"/>
        <v>0.24917853231106313</v>
      </c>
      <c r="Z178" s="25">
        <f t="shared" ref="Z178" si="1108">+IFERROR(Z177/V177-1,"n/a")</f>
        <v>0.23538383324860246</v>
      </c>
      <c r="AA178" s="25">
        <f t="shared" ref="AA178" si="1109">+IFERROR(AA177/W177-1,"n/a")</f>
        <v>0.35055165496489438</v>
      </c>
      <c r="AB178" s="25">
        <f t="shared" ref="AB178" si="1110">+IFERROR(AB177/X177-1,"n/a")</f>
        <v>0.31849999999999956</v>
      </c>
      <c r="AC178" s="25">
        <f t="shared" ref="AC178:AD178" si="1111">+IFERROR(AC177/Y177-1,"n/a")</f>
        <v>0.40552389302937297</v>
      </c>
      <c r="AD178" s="25">
        <f t="shared" si="1111"/>
        <v>0.50246913580246888</v>
      </c>
      <c r="AE178" s="25">
        <f t="shared" ref="AE178" si="1112">+IFERROR(AE177/AA177-1,"n/a")</f>
        <v>0.48754181628473603</v>
      </c>
      <c r="AF178" s="25">
        <f t="shared" ref="AF178" si="1113">+IFERROR(AF177/AB177-1,"n/a")</f>
        <v>0.44033458804196712</v>
      </c>
      <c r="AG178" s="25">
        <f t="shared" ref="AG178" si="1114">+IFERROR(AG177/AC177-1,"n/a")</f>
        <v>0.36967825521591458</v>
      </c>
      <c r="AH178" s="25">
        <f t="shared" ref="AH178" si="1115">+IFERROR(AH177/AD177-1,"n/a")</f>
        <v>0.21137222678718182</v>
      </c>
      <c r="AI178" s="25">
        <f t="shared" ref="AI178" si="1116">+IFERROR(AI177/AE177-1,"n/a")</f>
        <v>0.16831320849479647</v>
      </c>
      <c r="AK178" s="19"/>
      <c r="AL178" s="14"/>
      <c r="AM178" s="25">
        <f>+IFERROR(AM177/AL177-1,"n/a")</f>
        <v>0.20894341115947768</v>
      </c>
      <c r="AN178" s="25">
        <f t="shared" ref="AN178" si="1117">+IFERROR(AN177/AM177-1,"n/a")</f>
        <v>5.7283142389525477E-2</v>
      </c>
      <c r="AO178" s="25">
        <f t="shared" ref="AO178" si="1118">+IFERROR(AO177/AN177-1,"n/a")</f>
        <v>0.63777089783281737</v>
      </c>
      <c r="AP178" s="25">
        <f t="shared" ref="AP178" si="1119">+IFERROR(AP177/AO177-1,"n/a")</f>
        <v>0.37523629489602994</v>
      </c>
      <c r="AQ178" s="25">
        <f t="shared" ref="AQ178:AS178" si="1120">+IFERROR(AQ177/AP177-1,"n/a")</f>
        <v>0.29264604810996597</v>
      </c>
      <c r="AR178" s="25">
        <f t="shared" si="1120"/>
        <v>0.43555403139672388</v>
      </c>
      <c r="AS178" s="25">
        <f t="shared" si="1120"/>
        <v>0.28091400930605226</v>
      </c>
    </row>
    <row r="179" spans="2:46" x14ac:dyDescent="0.2">
      <c r="B179" s="28" t="s">
        <v>140</v>
      </c>
      <c r="D179" s="36">
        <f>+IFERROR(D177/D$119,"n/a")</f>
        <v>1.7094468726386546E-2</v>
      </c>
      <c r="E179" s="36">
        <f t="shared" ref="E179:U179" si="1121">+IFERROR(E177/E$119,"n/a")</f>
        <v>1.6050212232601141E-2</v>
      </c>
      <c r="F179" s="36">
        <f t="shared" si="1121"/>
        <v>1.4901026811596763E-2</v>
      </c>
      <c r="G179" s="36">
        <f t="shared" si="1121"/>
        <v>1.4953829758683087E-2</v>
      </c>
      <c r="H179" s="36">
        <f t="shared" si="1121"/>
        <v>1.4222584520336364E-2</v>
      </c>
      <c r="I179" s="36">
        <f t="shared" si="1121"/>
        <v>1.3686927439290387E-2</v>
      </c>
      <c r="J179" s="36">
        <f t="shared" si="1121"/>
        <v>1.3506185392306391E-2</v>
      </c>
      <c r="K179" s="36">
        <f t="shared" si="1121"/>
        <v>1.3892097013694107E-2</v>
      </c>
      <c r="L179" s="36">
        <f t="shared" si="1121"/>
        <v>1.2869950049624965E-2</v>
      </c>
      <c r="M179" s="36">
        <f t="shared" si="1121"/>
        <v>1.589622641509434E-2</v>
      </c>
      <c r="N179" s="36">
        <f t="shared" si="1121"/>
        <v>1.2368313424626624E-2</v>
      </c>
      <c r="O179" s="36">
        <f t="shared" si="1121"/>
        <v>1.3045394446892901E-2</v>
      </c>
      <c r="P179" s="36">
        <f t="shared" si="1121"/>
        <v>1.2207642610307006E-2</v>
      </c>
      <c r="Q179" s="36">
        <f t="shared" si="1121"/>
        <v>1.1517758304531897E-2</v>
      </c>
      <c r="R179" s="36">
        <f t="shared" si="1121"/>
        <v>1.1020123056802307E-2</v>
      </c>
      <c r="S179" s="36">
        <f t="shared" si="1121"/>
        <v>1.0962686567164178E-2</v>
      </c>
      <c r="T179" s="36">
        <f t="shared" si="1121"/>
        <v>1.1087184913083324E-2</v>
      </c>
      <c r="U179" s="36">
        <f t="shared" si="1121"/>
        <v>1.0821959213185482E-2</v>
      </c>
      <c r="V179" s="36">
        <f t="shared" ref="V179" si="1122">+IFERROR(V177/V$119,"n/a")</f>
        <v>9.5497489974462769E-3</v>
      </c>
      <c r="W179" s="36">
        <f t="shared" ref="W179:X179" si="1123">+IFERROR(W177/W$119,"n/a")</f>
        <v>9.6345723631760284E-3</v>
      </c>
      <c r="X179" s="36">
        <f t="shared" si="1123"/>
        <v>8.9859773822949292E-3</v>
      </c>
      <c r="Y179" s="36">
        <f>+IFERROR(Y177/Y$119,"n/a")</f>
        <v>8.5132588127717554E-3</v>
      </c>
      <c r="Z179" s="36">
        <f t="shared" ref="Z179:AA179" si="1124">+IFERROR(Z177/Z$119,"n/a")</f>
        <v>8.6993878208570536E-3</v>
      </c>
      <c r="AA179" s="36">
        <f t="shared" si="1124"/>
        <v>8.402338801769698E-3</v>
      </c>
      <c r="AB179" s="36">
        <f t="shared" ref="AB179:AC179" si="1125">+IFERROR(AB177/AB$119,"n/a")</f>
        <v>7.9060271089484695E-3</v>
      </c>
      <c r="AC179" s="36">
        <f t="shared" si="1125"/>
        <v>7.9986826873178728E-3</v>
      </c>
      <c r="AD179" s="36">
        <f t="shared" ref="AD179" si="1126">+IFERROR(AD177/AD$119,"n/a")</f>
        <v>8.3931034482758633E-3</v>
      </c>
      <c r="AE179" s="36">
        <f>+IFERROR(AE177/AE$119,"n/a")</f>
        <v>8.3583148693577441E-3</v>
      </c>
      <c r="AF179" s="36">
        <f t="shared" ref="AF179:AI179" si="1127">+IFERROR(AF177/AF$119,"n/a")</f>
        <v>7.9631638454656754E-3</v>
      </c>
      <c r="AG179" s="36">
        <f t="shared" si="1127"/>
        <v>7.9388563385444106E-3</v>
      </c>
      <c r="AH179" s="36">
        <f t="shared" si="1127"/>
        <v>7.8209018567639271E-3</v>
      </c>
      <c r="AI179" s="36">
        <f t="shared" si="1127"/>
        <v>7.6890784745111121E-3</v>
      </c>
      <c r="AK179" s="36">
        <f t="shared" ref="AK179:AO179" si="1128">+IFERROR(AK177/AK$119,"n/a")</f>
        <v>1.5651807669199942E-2</v>
      </c>
      <c r="AL179" s="36">
        <f t="shared" si="1128"/>
        <v>1.5651807669199942E-2</v>
      </c>
      <c r="AM179" s="36">
        <f t="shared" si="1128"/>
        <v>1.3807784788386093E-2</v>
      </c>
      <c r="AN179" s="36">
        <f t="shared" si="1128"/>
        <v>1.3301048435582569E-2</v>
      </c>
      <c r="AO179" s="36">
        <f t="shared" si="1128"/>
        <v>1.1332986274018325E-2</v>
      </c>
      <c r="AP179" s="36">
        <f t="shared" ref="AP179:AQ179" si="1129">+IFERROR(AP177/AP$119,"n/a")</f>
        <v>1.0162360293737609E-2</v>
      </c>
      <c r="AQ179" s="36">
        <f t="shared" si="1129"/>
        <v>8.624832621017299E-3</v>
      </c>
      <c r="AR179" s="36">
        <f t="shared" ref="AR179:AS179" si="1130">+IFERROR(AR177/AR$119,"n/a")</f>
        <v>8.1885559438134702E-3</v>
      </c>
      <c r="AS179" s="36">
        <f t="shared" si="1130"/>
        <v>7.8448822477863549E-3</v>
      </c>
    </row>
    <row r="180" spans="2:46" x14ac:dyDescent="0.2">
      <c r="D180" s="19"/>
      <c r="E180" s="19"/>
      <c r="F180" s="19"/>
      <c r="G180" s="19"/>
      <c r="H180" s="19"/>
      <c r="I180" s="19"/>
      <c r="J180" s="19"/>
      <c r="K180" s="19"/>
      <c r="AK180" s="19"/>
      <c r="AL180" s="19"/>
      <c r="AM180" s="19"/>
      <c r="AN180" s="19"/>
      <c r="AO180" s="19"/>
      <c r="AP180" s="19"/>
      <c r="AQ180" s="19"/>
      <c r="AR180" s="19"/>
      <c r="AS180" s="19"/>
    </row>
    <row r="181" spans="2:46" x14ac:dyDescent="0.2">
      <c r="B181" s="27" t="s">
        <v>136</v>
      </c>
      <c r="D181" s="19"/>
      <c r="E181" s="19"/>
      <c r="F181" s="19"/>
      <c r="G181" s="19"/>
      <c r="H181" s="19"/>
      <c r="I181" s="19"/>
      <c r="J181" s="19"/>
      <c r="K181" s="19"/>
      <c r="AK181" s="19"/>
      <c r="AL181" s="19"/>
      <c r="AM181" s="19"/>
      <c r="AN181" s="19"/>
      <c r="AO181" s="19"/>
      <c r="AP181" s="19"/>
      <c r="AQ181" s="19"/>
      <c r="AR181" s="19"/>
      <c r="AS181" s="19"/>
    </row>
    <row r="182" spans="2:46" x14ac:dyDescent="0.2">
      <c r="B182" s="24" t="s">
        <v>450</v>
      </c>
      <c r="D182" s="19"/>
      <c r="E182" s="19"/>
      <c r="F182" s="19"/>
      <c r="G182" s="19"/>
      <c r="H182" s="43">
        <f>+IFERROR(H175/D175-1,"n/a")</f>
        <v>0.14906832298136652</v>
      </c>
      <c r="I182" s="43">
        <f t="shared" ref="I182:U182" si="1131">+IFERROR(I175/E175-1,"n/a")</f>
        <v>0.27323943661971839</v>
      </c>
      <c r="J182" s="43">
        <f t="shared" si="1131"/>
        <v>0.22252010723860582</v>
      </c>
      <c r="K182" s="43">
        <f t="shared" si="1131"/>
        <v>0.22764227642276347</v>
      </c>
      <c r="L182" s="43">
        <f t="shared" si="1131"/>
        <v>0.19729729729729728</v>
      </c>
      <c r="M182" s="43">
        <f t="shared" si="1131"/>
        <v>-0.12761061946902674</v>
      </c>
      <c r="N182" s="43">
        <f t="shared" si="1131"/>
        <v>0.24398245614035097</v>
      </c>
      <c r="O182" s="43">
        <f t="shared" si="1131"/>
        <v>0.21714569536423878</v>
      </c>
      <c r="P182" s="43">
        <f t="shared" si="1131"/>
        <v>0.35036415349887151</v>
      </c>
      <c r="Q182" s="43">
        <f t="shared" si="1131"/>
        <v>1.3348483972408198</v>
      </c>
      <c r="R182" s="43">
        <f t="shared" si="1131"/>
        <v>0.74603692160153456</v>
      </c>
      <c r="S182" s="43">
        <f t="shared" si="1131"/>
        <v>0.79843915214367223</v>
      </c>
      <c r="T182" s="43">
        <f t="shared" si="1131"/>
        <v>0.70506368886499837</v>
      </c>
      <c r="U182" s="43">
        <f t="shared" si="1131"/>
        <v>0.42949286189727554</v>
      </c>
      <c r="V182" s="43">
        <f t="shared" ref="V182:Y184" si="1132">+IFERROR(V175/R175-1,"n/a")</f>
        <v>0.40788943675213774</v>
      </c>
      <c r="W182" s="43">
        <f t="shared" si="1132"/>
        <v>0.48397229729729685</v>
      </c>
      <c r="X182" s="43">
        <f t="shared" si="1132"/>
        <v>0.45107910050741751</v>
      </c>
      <c r="Y182" s="43">
        <f t="shared" si="1132"/>
        <v>0.32939226281735978</v>
      </c>
      <c r="Z182" s="43">
        <f t="shared" ref="Z182:Z184" si="1133">+IFERROR(Z175/V175-1,"n/a")</f>
        <v>0.29204078890282825</v>
      </c>
      <c r="AA182" s="43">
        <f t="shared" ref="AA182:AA184" si="1134">+IFERROR(AA175/W175-1,"n/a")</f>
        <v>0.3939712808556064</v>
      </c>
      <c r="AB182" s="43">
        <f t="shared" ref="AB182:AB184" si="1135">+IFERROR(AB175/X175-1,"n/a")</f>
        <v>0.39719557104822134</v>
      </c>
      <c r="AC182" s="43">
        <f t="shared" ref="AC182:AD184" si="1136">+IFERROR(AC175/Y175-1,"n/a")</f>
        <v>0.42034585826583437</v>
      </c>
      <c r="AD182" s="43">
        <f t="shared" si="1136"/>
        <v>0.44864913468190926</v>
      </c>
      <c r="AE182" s="43">
        <f t="shared" ref="AE182:AE184" si="1137">+IFERROR(AE175/AA175-1,"n/a")</f>
        <v>0.43462713810221021</v>
      </c>
      <c r="AF182" s="43">
        <f t="shared" ref="AF182:AF184" si="1138">+IFERROR(AF175/AB175-1,"n/a")</f>
        <v>0.3377419354838711</v>
      </c>
      <c r="AG182" s="43">
        <f t="shared" ref="AG182:AG184" si="1139">+IFERROR(AG175/AC175-1,"n/a")</f>
        <v>0.29096774193548369</v>
      </c>
      <c r="AH182" s="43">
        <f t="shared" ref="AH182:AH184" si="1140">+IFERROR(AH175/AD175-1,"n/a")</f>
        <v>0.21333333333333337</v>
      </c>
      <c r="AI182" s="43">
        <f t="shared" ref="AI182:AI184" si="1141">+IFERROR(AI175/AE175-1,"n/a")</f>
        <v>0.17899022801302955</v>
      </c>
      <c r="AK182" s="19"/>
      <c r="AL182" s="19"/>
      <c r="AM182" s="43">
        <f>+IFERROR(AM175/AL175-1,"n/a")</f>
        <v>0.21987315010570829</v>
      </c>
      <c r="AN182" s="43">
        <f t="shared" ref="AN182:AO182" si="1142">+IFERROR(AN175/AM175-1,"n/a")</f>
        <v>0.12994974003466231</v>
      </c>
      <c r="AO182" s="43">
        <f t="shared" si="1142"/>
        <v>0.78989810030251384</v>
      </c>
      <c r="AP182" s="43">
        <f t="shared" ref="AP182:AS182" si="1143">+IFERROR(AP175/AO175-1,"n/a")</f>
        <v>0.48589895888093038</v>
      </c>
      <c r="AQ182" s="43">
        <f t="shared" si="1143"/>
        <v>0.36150717578623714</v>
      </c>
      <c r="AR182" s="43">
        <f t="shared" si="1143"/>
        <v>0.42684392988468911</v>
      </c>
      <c r="AS182" s="43">
        <f t="shared" si="1143"/>
        <v>0.24788139014737576</v>
      </c>
      <c r="AT182" s="43"/>
    </row>
    <row r="183" spans="2:46" ht="13.5" x14ac:dyDescent="0.35">
      <c r="B183" s="24" t="s">
        <v>454</v>
      </c>
      <c r="D183" s="19"/>
      <c r="E183" s="19"/>
      <c r="F183" s="19"/>
      <c r="G183" s="19"/>
      <c r="H183" s="44">
        <f t="shared" ref="H183:H184" si="1144">+IFERROR(H176/D176-1,"n/a")</f>
        <v>0.17199999999999993</v>
      </c>
      <c r="I183" s="44">
        <f t="shared" ref="I183:I184" si="1145">+IFERROR(I176/E176-1,"n/a")</f>
        <v>7.4999999999999734E-2</v>
      </c>
      <c r="J183" s="44">
        <f t="shared" ref="J183:J184" si="1146">+IFERROR(J176/F176-1,"n/a")</f>
        <v>0.20921985815602895</v>
      </c>
      <c r="K183" s="44">
        <f t="shared" ref="K183:K184" si="1147">+IFERROR(K176/G176-1,"n/a")</f>
        <v>0.31418918918918903</v>
      </c>
      <c r="L183" s="44">
        <f t="shared" ref="L183:L184" si="1148">+IFERROR(L176/H176-1,"n/a")</f>
        <v>0.18771331058020535</v>
      </c>
      <c r="M183" s="44">
        <f t="shared" ref="M183:M184" si="1149">+IFERROR(M176/I176-1,"n/a")</f>
        <v>-7.0830564784052363E-2</v>
      </c>
      <c r="N183" s="44">
        <f t="shared" ref="N183:N184" si="1150">+IFERROR(N176/J176-1,"n/a")</f>
        <v>-9.1659824046921301E-2</v>
      </c>
      <c r="O183" s="44">
        <f t="shared" ref="O183:O184" si="1151">+IFERROR(O176/K176-1,"n/a")</f>
        <v>-0.13461953727506459</v>
      </c>
      <c r="P183" s="44">
        <f t="shared" ref="P183:P184" si="1152">+IFERROR(P176/L176-1,"n/a")</f>
        <v>8.2726091954022474E-2</v>
      </c>
      <c r="Q183" s="44">
        <f t="shared" ref="Q183:Q184" si="1153">+IFERROR(Q176/M176-1,"n/a")</f>
        <v>0.5815309639588091</v>
      </c>
      <c r="R183" s="44">
        <f t="shared" ref="R183:R184" si="1154">+IFERROR(R176/N176-1,"n/a")</f>
        <v>0.59018441035177416</v>
      </c>
      <c r="S183" s="44">
        <f t="shared" ref="S183:S184" si="1155">+IFERROR(S176/O176-1,"n/a")</f>
        <v>0.4181616181420118</v>
      </c>
      <c r="T183" s="44">
        <f t="shared" ref="T183:T184" si="1156">+IFERROR(T176/P176-1,"n/a")</f>
        <v>0.24210631805605165</v>
      </c>
      <c r="U183" s="44">
        <f t="shared" ref="U183:U184" si="1157">+IFERROR(U176/Q176-1,"n/a")</f>
        <v>0.15277452035118699</v>
      </c>
      <c r="V183" s="44">
        <f>+IFERROR(V176/R176-1,"n/a")</f>
        <v>0.16243209218441224</v>
      </c>
      <c r="W183" s="44">
        <f>+IFERROR(W176/S176-1,"n/a")</f>
        <v>9.4455529953918482E-2</v>
      </c>
      <c r="X183" s="44">
        <f>+IFERROR(X176/T176-1,"n/a")</f>
        <v>0.11090440920695221</v>
      </c>
      <c r="Y183" s="44">
        <f>+IFERROR(Y176/U176-1,"n/a")</f>
        <v>4.2138313098577296E-2</v>
      </c>
      <c r="Z183" s="44">
        <f t="shared" si="1133"/>
        <v>9.7397421478515156E-2</v>
      </c>
      <c r="AA183" s="44">
        <f t="shared" si="1134"/>
        <v>0.22826815674320455</v>
      </c>
      <c r="AB183" s="44">
        <f t="shared" si="1135"/>
        <v>9.4471483526717304E-2</v>
      </c>
      <c r="AC183" s="44">
        <f t="shared" si="1136"/>
        <v>0.35672167298083357</v>
      </c>
      <c r="AD183" s="44">
        <f t="shared" si="1136"/>
        <v>0.65679512797190465</v>
      </c>
      <c r="AE183" s="44">
        <f t="shared" si="1137"/>
        <v>0.65667100664395983</v>
      </c>
      <c r="AF183" s="44">
        <f t="shared" si="1138"/>
        <v>0.81317417688780091</v>
      </c>
      <c r="AG183" s="44">
        <f t="shared" si="1139"/>
        <v>0.64099080288176435</v>
      </c>
      <c r="AH183" s="44">
        <f t="shared" si="1140"/>
        <v>0.20645533141210448</v>
      </c>
      <c r="AI183" s="44">
        <f t="shared" si="1141"/>
        <v>0.13876064102680186</v>
      </c>
      <c r="AK183" s="19"/>
      <c r="AL183" s="19"/>
      <c r="AM183" s="44">
        <f>+IFERROR(AM176/AL176-1,"n/a")</f>
        <v>0.19494584837545137</v>
      </c>
      <c r="AN183" s="44">
        <f t="shared" ref="AN183:AO183" si="1158">+IFERROR(AN176/AM176-1,"n/a")</f>
        <v>-3.7721299093655625E-2</v>
      </c>
      <c r="AO183" s="44">
        <f t="shared" si="1158"/>
        <v>0.40422393974523851</v>
      </c>
      <c r="AP183" s="44">
        <f t="shared" ref="AP183:AS183" si="1159">+IFERROR(AP176/AO176-1,"n/a")</f>
        <v>0.1586851963387681</v>
      </c>
      <c r="AQ183" s="44">
        <f t="shared" si="1159"/>
        <v>0.11984068338181131</v>
      </c>
      <c r="AR183" s="44">
        <f t="shared" si="1159"/>
        <v>0.46212883113525627</v>
      </c>
      <c r="AS183" s="44">
        <f t="shared" si="1159"/>
        <v>0.37926542719977996</v>
      </c>
      <c r="AT183" s="44"/>
    </row>
    <row r="184" spans="2:46" x14ac:dyDescent="0.2">
      <c r="B184" s="28" t="s">
        <v>451</v>
      </c>
      <c r="D184" s="19"/>
      <c r="E184" s="19"/>
      <c r="F184" s="19"/>
      <c r="G184" s="19"/>
      <c r="H184" s="43">
        <f t="shared" si="1144"/>
        <v>0.15909090909090917</v>
      </c>
      <c r="I184" s="43">
        <f t="shared" si="1145"/>
        <v>0.18582677165354333</v>
      </c>
      <c r="J184" s="43">
        <f t="shared" si="1146"/>
        <v>0.21679389312977126</v>
      </c>
      <c r="K184" s="43">
        <f t="shared" si="1147"/>
        <v>0.26616541353383405</v>
      </c>
      <c r="L184" s="43">
        <f t="shared" si="1148"/>
        <v>0.19306184012066385</v>
      </c>
      <c r="M184" s="43">
        <f t="shared" si="1149"/>
        <v>-0.10491367861885781</v>
      </c>
      <c r="N184" s="43">
        <f t="shared" si="1150"/>
        <v>0.10037641154328703</v>
      </c>
      <c r="O184" s="43">
        <f t="shared" si="1151"/>
        <v>5.4631828978622288E-2</v>
      </c>
      <c r="P184" s="43">
        <f t="shared" si="1152"/>
        <v>0.23261694058154214</v>
      </c>
      <c r="Q184" s="43">
        <f t="shared" si="1153"/>
        <v>1.0222551928783381</v>
      </c>
      <c r="R184" s="43">
        <f t="shared" si="1154"/>
        <v>0.69099201824401368</v>
      </c>
      <c r="S184" s="43">
        <f t="shared" si="1155"/>
        <v>0.65427927927927931</v>
      </c>
      <c r="T184" s="43">
        <f t="shared" si="1156"/>
        <v>0.52615384615384597</v>
      </c>
      <c r="U184" s="43">
        <f t="shared" si="1157"/>
        <v>0.33969185619955922</v>
      </c>
      <c r="V184" s="43">
        <f t="shared" si="1132"/>
        <v>0.3263654753877272</v>
      </c>
      <c r="W184" s="43">
        <f t="shared" si="1132"/>
        <v>0.35738597685500362</v>
      </c>
      <c r="X184" s="43">
        <f t="shared" si="1132"/>
        <v>0.3440860215053767</v>
      </c>
      <c r="Y184" s="43">
        <f t="shared" si="1132"/>
        <v>0.24917853231106313</v>
      </c>
      <c r="Z184" s="43">
        <f t="shared" si="1133"/>
        <v>0.23538383324860246</v>
      </c>
      <c r="AA184" s="43">
        <f t="shared" si="1134"/>
        <v>0.35055165496489438</v>
      </c>
      <c r="AB184" s="43">
        <f t="shared" si="1135"/>
        <v>0.31849999999999956</v>
      </c>
      <c r="AC184" s="43">
        <f t="shared" si="1136"/>
        <v>0.40552389302937297</v>
      </c>
      <c r="AD184" s="43">
        <f t="shared" si="1136"/>
        <v>0.50246913580246888</v>
      </c>
      <c r="AE184" s="43">
        <f t="shared" si="1137"/>
        <v>0.48754181628473603</v>
      </c>
      <c r="AF184" s="43">
        <f t="shared" si="1138"/>
        <v>0.44033458804196712</v>
      </c>
      <c r="AG184" s="43">
        <f t="shared" si="1139"/>
        <v>0.36967825521591458</v>
      </c>
      <c r="AH184" s="43">
        <f t="shared" si="1140"/>
        <v>0.21137222678718182</v>
      </c>
      <c r="AI184" s="43">
        <f t="shared" si="1141"/>
        <v>0.16831320849479647</v>
      </c>
      <c r="AK184" s="19"/>
      <c r="AL184" s="19"/>
      <c r="AM184" s="43">
        <f>+IFERROR(AM177/AL177-1,"n/a")</f>
        <v>0.20894341115947768</v>
      </c>
      <c r="AN184" s="43">
        <f t="shared" ref="AN184:AO184" si="1160">+IFERROR(AN177/AM177-1,"n/a")</f>
        <v>5.7283142389525477E-2</v>
      </c>
      <c r="AO184" s="43">
        <f t="shared" si="1160"/>
        <v>0.63777089783281737</v>
      </c>
      <c r="AP184" s="43">
        <f t="shared" ref="AP184:AS184" si="1161">+IFERROR(AP177/AO177-1,"n/a")</f>
        <v>0.37523629489602994</v>
      </c>
      <c r="AQ184" s="43">
        <f t="shared" si="1161"/>
        <v>0.29264604810996597</v>
      </c>
      <c r="AR184" s="43">
        <f t="shared" si="1161"/>
        <v>0.43555403139672388</v>
      </c>
      <c r="AS184" s="43">
        <f t="shared" si="1161"/>
        <v>0.28091400930605226</v>
      </c>
      <c r="AT184" s="43"/>
    </row>
    <row r="185" spans="2:46" x14ac:dyDescent="0.2">
      <c r="B185" s="28"/>
      <c r="D185" s="19"/>
      <c r="E185" s="19"/>
      <c r="F185" s="19"/>
      <c r="G185" s="19"/>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K185" s="19"/>
      <c r="AL185" s="19"/>
      <c r="AM185" s="43"/>
      <c r="AN185" s="43"/>
      <c r="AO185" s="43"/>
      <c r="AP185" s="43"/>
      <c r="AQ185" s="43"/>
      <c r="AR185" s="43"/>
      <c r="AS185" s="43"/>
      <c r="AT185" s="43"/>
    </row>
    <row r="186" spans="2:46" x14ac:dyDescent="0.2">
      <c r="B186" s="27" t="s">
        <v>193</v>
      </c>
      <c r="D186" s="19"/>
      <c r="E186" s="19"/>
      <c r="F186" s="19"/>
      <c r="G186" s="19"/>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K186" s="19"/>
      <c r="AL186" s="19"/>
      <c r="AM186" s="43"/>
      <c r="AN186" s="43"/>
      <c r="AO186" s="43"/>
      <c r="AP186" s="43"/>
      <c r="AQ186" s="43"/>
      <c r="AR186" s="43"/>
      <c r="AS186" s="43"/>
      <c r="AT186" s="43"/>
    </row>
    <row r="187" spans="2:46" x14ac:dyDescent="0.2">
      <c r="B187" s="24" t="s">
        <v>450</v>
      </c>
      <c r="D187" s="19"/>
      <c r="E187" s="19"/>
      <c r="F187" s="19"/>
      <c r="G187" s="19"/>
      <c r="H187" s="43">
        <f t="shared" ref="H187:AA187" si="1162">+H142</f>
        <v>0.14906832298136652</v>
      </c>
      <c r="I187" s="43">
        <f t="shared" si="1162"/>
        <v>0.27323943661971839</v>
      </c>
      <c r="J187" s="43">
        <f t="shared" si="1162"/>
        <v>0.22252010723860582</v>
      </c>
      <c r="K187" s="43">
        <f t="shared" si="1162"/>
        <v>0.22764227642276347</v>
      </c>
      <c r="L187" s="43">
        <f t="shared" si="1162"/>
        <v>0.19729729729729728</v>
      </c>
      <c r="M187" s="43">
        <f t="shared" si="1162"/>
        <v>-0.12761061946902674</v>
      </c>
      <c r="N187" s="43">
        <f t="shared" si="1162"/>
        <v>0.24398245614035097</v>
      </c>
      <c r="O187" s="43">
        <f t="shared" si="1162"/>
        <v>0.21714569536423878</v>
      </c>
      <c r="P187" s="43">
        <f t="shared" si="1162"/>
        <v>0.35036415349887151</v>
      </c>
      <c r="Q187" s="43">
        <f t="shared" si="1162"/>
        <v>1.3348483972408198</v>
      </c>
      <c r="R187" s="43">
        <f t="shared" si="1162"/>
        <v>0.74603692160153456</v>
      </c>
      <c r="S187" s="43">
        <f t="shared" si="1162"/>
        <v>0.79843915214367223</v>
      </c>
      <c r="T187" s="43">
        <f t="shared" si="1162"/>
        <v>0.70506368886499837</v>
      </c>
      <c r="U187" s="43">
        <f t="shared" si="1162"/>
        <v>0.42949286189727554</v>
      </c>
      <c r="V187" s="43">
        <f t="shared" si="1162"/>
        <v>0.40788943675213774</v>
      </c>
      <c r="W187" s="43">
        <f t="shared" si="1162"/>
        <v>0.48397229729729685</v>
      </c>
      <c r="X187" s="43">
        <f t="shared" si="1162"/>
        <v>0.45107910050741751</v>
      </c>
      <c r="Y187" s="43">
        <f t="shared" si="1162"/>
        <v>0.32939226281735978</v>
      </c>
      <c r="Z187" s="43">
        <f t="shared" si="1162"/>
        <v>0.29204078890282825</v>
      </c>
      <c r="AA187" s="43">
        <f t="shared" si="1162"/>
        <v>0.28659835805190609</v>
      </c>
      <c r="AB187" s="43">
        <f t="shared" ref="AB187:AC187" si="1163">+AB142</f>
        <v>0.26896649146614915</v>
      </c>
      <c r="AC187" s="43">
        <f t="shared" si="1163"/>
        <v>0.31187071937615668</v>
      </c>
      <c r="AD187" s="43">
        <f t="shared" ref="AD187" si="1164">+AD142</f>
        <v>0.34330859263193203</v>
      </c>
      <c r="AE187" s="43">
        <f>+AE142</f>
        <v>0.39599816292446527</v>
      </c>
      <c r="AF187" s="43">
        <f t="shared" ref="AF187:AI187" si="1165">+AF142</f>
        <v>0.3377419354838711</v>
      </c>
      <c r="AG187" s="43">
        <f t="shared" si="1165"/>
        <v>0.29096774193548369</v>
      </c>
      <c r="AH187" s="43">
        <f t="shared" si="1165"/>
        <v>0.21333333333333337</v>
      </c>
      <c r="AI187" s="43">
        <f t="shared" si="1165"/>
        <v>0.17899022801302955</v>
      </c>
      <c r="AK187" s="19"/>
      <c r="AL187" s="19"/>
      <c r="AM187" s="43">
        <f t="shared" ref="AM187:AS187" si="1166">+AM142</f>
        <v>0.21987315010570829</v>
      </c>
      <c r="AN187" s="43">
        <f t="shared" si="1166"/>
        <v>0.12994974003466231</v>
      </c>
      <c r="AO187" s="43">
        <f t="shared" si="1166"/>
        <v>0.78989810030251384</v>
      </c>
      <c r="AP187" s="43">
        <f t="shared" si="1166"/>
        <v>0.48589895888093038</v>
      </c>
      <c r="AQ187" s="43">
        <f t="shared" si="1166"/>
        <v>0.33113448232630405</v>
      </c>
      <c r="AR187" s="43">
        <f t="shared" si="1166"/>
        <v>0.33526666815915884</v>
      </c>
      <c r="AS187" s="43">
        <f t="shared" si="1166"/>
        <v>0.24788139014737576</v>
      </c>
      <c r="AT187" s="43"/>
    </row>
    <row r="188" spans="2:46" ht="13.5" x14ac:dyDescent="0.35">
      <c r="B188" s="24" t="s">
        <v>454</v>
      </c>
      <c r="D188" s="19"/>
      <c r="E188" s="19"/>
      <c r="F188" s="19"/>
      <c r="G188" s="19"/>
      <c r="H188" s="42">
        <f>+H172</f>
        <v>0.17199999999999993</v>
      </c>
      <c r="I188" s="42">
        <f t="shared" ref="I188:K188" si="1167">+I172</f>
        <v>7.4999999999999831E-2</v>
      </c>
      <c r="J188" s="42">
        <f t="shared" si="1167"/>
        <v>0.11465721040189183</v>
      </c>
      <c r="K188" s="42">
        <f t="shared" si="1167"/>
        <v>0.242117117117117</v>
      </c>
      <c r="L188" s="42">
        <f>+L172</f>
        <v>6.1433447098976662E-2</v>
      </c>
      <c r="M188" s="42">
        <f t="shared" ref="M188:V188" si="1168">+M172</f>
        <v>-0.1937541528239195</v>
      </c>
      <c r="N188" s="42">
        <f t="shared" si="1168"/>
        <v>-0.16399608993157422</v>
      </c>
      <c r="O188" s="42">
        <f t="shared" si="1168"/>
        <v>-0.17746443873179124</v>
      </c>
      <c r="P188" s="42">
        <f t="shared" si="1168"/>
        <v>-5.520494252873609E-2</v>
      </c>
      <c r="Q188" s="42">
        <f t="shared" si="1168"/>
        <v>0.37057558638443855</v>
      </c>
      <c r="R188" s="42">
        <f t="shared" si="1168"/>
        <v>0.26088021075468759</v>
      </c>
      <c r="S188" s="42">
        <f t="shared" si="1168"/>
        <v>0.15080815012194243</v>
      </c>
      <c r="T188" s="42">
        <f t="shared" si="1168"/>
        <v>8.2865865290857099E-2</v>
      </c>
      <c r="U188" s="42">
        <f t="shared" si="1168"/>
        <v>5.3299607720680986E-2</v>
      </c>
      <c r="V188" s="42">
        <f t="shared" si="1168"/>
        <v>6.7010323092424662E-2</v>
      </c>
      <c r="W188" s="42">
        <f t="shared" ref="W188:X188" si="1169">+W172</f>
        <v>-2.7035881860073982E-2</v>
      </c>
      <c r="X188" s="42">
        <f t="shared" si="1169"/>
        <v>2.9709840525321218E-2</v>
      </c>
      <c r="Y188" s="42">
        <f t="shared" ref="Y188" si="1170">+Y172</f>
        <v>-3.2386366533553257E-2</v>
      </c>
      <c r="Z188" s="42">
        <f t="shared" ref="Z188:AA188" si="1171">+Z172</f>
        <v>5.7226679757905852E-2</v>
      </c>
      <c r="AA188" s="42">
        <f t="shared" si="1171"/>
        <v>3.8153992485804367E-2</v>
      </c>
      <c r="AB188" s="42">
        <f t="shared" ref="AB188:AC188" si="1172">+AB172</f>
        <v>-9.6584965351305285E-2</v>
      </c>
      <c r="AC188" s="42">
        <f t="shared" si="1172"/>
        <v>8.6855330866799696E-2</v>
      </c>
      <c r="AD188" s="42">
        <f t="shared" ref="AD188" si="1173">+AD172</f>
        <v>8.2417997792524345E-3</v>
      </c>
      <c r="AE188" s="42">
        <f t="shared" ref="AE188" si="1174">+AE172</f>
        <v>5.4971815078997621E-2</v>
      </c>
      <c r="AF188" s="42">
        <f t="shared" ref="AF188:AI188" si="1175">+AF172</f>
        <v>-7.369338952687543E-3</v>
      </c>
      <c r="AG188" s="42">
        <f t="shared" si="1175"/>
        <v>6.6606301099895737E-2</v>
      </c>
      <c r="AH188" s="42">
        <f t="shared" si="1175"/>
        <v>6.2363112391931597E-2</v>
      </c>
      <c r="AI188" s="42">
        <f t="shared" si="1175"/>
        <v>6.2791721855474519E-2</v>
      </c>
      <c r="AK188" s="19"/>
      <c r="AL188" s="19"/>
      <c r="AM188" s="42">
        <f t="shared" ref="AM188:AQ188" si="1176">+AM172</f>
        <v>0.15162454873646219</v>
      </c>
      <c r="AN188" s="42">
        <f t="shared" si="1176"/>
        <v>-0.12483106747230616</v>
      </c>
      <c r="AO188" s="42">
        <f t="shared" si="1176"/>
        <v>0.16954056215695171</v>
      </c>
      <c r="AP188" s="42">
        <f t="shared" si="1176"/>
        <v>4.1864159895154587E-2</v>
      </c>
      <c r="AQ188" s="42">
        <f t="shared" si="1176"/>
        <v>2.4164240259809303E-2</v>
      </c>
      <c r="AR188" s="42">
        <f t="shared" ref="AR188:AS188" si="1177">+AR172</f>
        <v>1.5678058258481509E-2</v>
      </c>
      <c r="AS188" s="42">
        <f t="shared" si="1177"/>
        <v>5.1707960025365096E-2</v>
      </c>
      <c r="AT188" s="43"/>
    </row>
    <row r="189" spans="2:46" x14ac:dyDescent="0.2">
      <c r="B189" s="28" t="s">
        <v>451</v>
      </c>
      <c r="D189" s="19"/>
      <c r="E189" s="19"/>
      <c r="F189" s="19"/>
      <c r="G189" s="19"/>
      <c r="H189" s="25">
        <f>+SUMPRODUCT(H187:H188,D175:D176)/D177</f>
        <v>0.15909090909090909</v>
      </c>
      <c r="I189" s="25">
        <f t="shared" ref="I189:K189" si="1178">+SUMPRODUCT(I187:I188,E175:E176)/E177</f>
        <v>0.18582677165354325</v>
      </c>
      <c r="J189" s="25">
        <f t="shared" si="1178"/>
        <v>0.17608142493638698</v>
      </c>
      <c r="K189" s="25">
        <f t="shared" si="1178"/>
        <v>0.23408521303258098</v>
      </c>
      <c r="L189" s="25">
        <f>+SUMPRODUCT(L187:L188,H175:H176)/H177</f>
        <v>0.13725490196078455</v>
      </c>
      <c r="M189" s="25">
        <f t="shared" ref="M189:Y189" si="1179">+SUMPRODUCT(M187:M188,I175:I176)/I177</f>
        <v>-0.15405046480743673</v>
      </c>
      <c r="N189" s="25">
        <f t="shared" si="1179"/>
        <v>6.9427017984106845E-2</v>
      </c>
      <c r="O189" s="25">
        <f t="shared" si="1179"/>
        <v>3.4837688044338871E-2</v>
      </c>
      <c r="P189" s="25">
        <f t="shared" si="1179"/>
        <v>0.17193426042983551</v>
      </c>
      <c r="Q189" s="25">
        <f t="shared" si="1179"/>
        <v>0.93471810089020746</v>
      </c>
      <c r="R189" s="25">
        <f t="shared" si="1179"/>
        <v>0.57468643101482331</v>
      </c>
      <c r="S189" s="25">
        <f t="shared" si="1179"/>
        <v>0.552927927927928</v>
      </c>
      <c r="T189" s="25">
        <f t="shared" si="1179"/>
        <v>0.46461538461538449</v>
      </c>
      <c r="U189" s="25">
        <f t="shared" si="1179"/>
        <v>0.30741012472487117</v>
      </c>
      <c r="V189" s="25">
        <f t="shared" si="1179"/>
        <v>0.29467296021577849</v>
      </c>
      <c r="W189" s="25">
        <f t="shared" si="1179"/>
        <v>0.31790333560245088</v>
      </c>
      <c r="X189" s="25">
        <f t="shared" si="1179"/>
        <v>0.31854838709677447</v>
      </c>
      <c r="Y189" s="25">
        <f t="shared" si="1179"/>
        <v>0.22836801752464478</v>
      </c>
      <c r="Z189" s="25">
        <f t="shared" ref="Z189" si="1180">+SUMPRODUCT(Z187:Z188,V175:V176)/V177</f>
        <v>0.22369089984748391</v>
      </c>
      <c r="AA189" s="25">
        <f t="shared" ref="AA189" si="1181">+SUMPRODUCT(AA187:AA188,W175:W176)/W177</f>
        <v>0.22149782681377425</v>
      </c>
      <c r="AB189" s="25">
        <f t="shared" ref="AB189" si="1182">+SUMPRODUCT(AB187:AB188,X175:X176)/X177</f>
        <v>0.17393843843843806</v>
      </c>
      <c r="AC189" s="25">
        <f t="shared" ref="AC189:AD189" si="1183">+SUMPRODUCT(AC187:AC188,Y175:Y176)/Y177</f>
        <v>0.25945086910672177</v>
      </c>
      <c r="AD189" s="25">
        <f t="shared" si="1183"/>
        <v>0.25667086839926329</v>
      </c>
      <c r="AE189" s="25">
        <f t="shared" ref="AE189" si="1184">+SUMPRODUCT(AE187:AE188,AA175:AA176)/AA177</f>
        <v>0.31472908953587875</v>
      </c>
      <c r="AF189" s="25">
        <f t="shared" ref="AF189" si="1185">+SUMPRODUCT(AF187:AF188,AB175:AB176)/AB177</f>
        <v>0.26327100568828221</v>
      </c>
      <c r="AG189" s="25">
        <f t="shared" ref="AG189" si="1186">+SUMPRODUCT(AG187:AG188,AC175:AC176)/AC177</f>
        <v>0.24051505427323741</v>
      </c>
      <c r="AH189" s="25">
        <f t="shared" ref="AH189" si="1187">+SUMPRODUCT(AH187:AH188,AD175:AD176)/AD177</f>
        <v>0.17028759244042754</v>
      </c>
      <c r="AI189" s="25">
        <f t="shared" ref="AI189" si="1188">+SUMPRODUCT(AI187:AI188,AE175:AE176)/AE177</f>
        <v>0.14815089280786176</v>
      </c>
      <c r="AK189" s="19"/>
      <c r="AL189" s="19"/>
      <c r="AM189" s="25">
        <f>+SUMPRODUCT(AM187:AM188,AL175:AL176)/AL177</f>
        <v>0.1899485555995252</v>
      </c>
      <c r="AN189" s="25">
        <f t="shared" ref="AN189:AS189" si="1189">+SUMPRODUCT(AN187:AN188,AM175:AM176)/AM177</f>
        <v>1.9530823786143056E-2</v>
      </c>
      <c r="AO189" s="25">
        <f t="shared" si="1189"/>
        <v>0.54520123839009271</v>
      </c>
      <c r="AP189" s="25">
        <f t="shared" si="1189"/>
        <v>0.33572778827977295</v>
      </c>
      <c r="AQ189" s="25">
        <f t="shared" si="1189"/>
        <v>0.24366552119129478</v>
      </c>
      <c r="AR189" s="25">
        <f t="shared" si="1189"/>
        <v>0.25637600570391739</v>
      </c>
      <c r="AS189" s="25">
        <f t="shared" si="1189"/>
        <v>0.19855939980781159</v>
      </c>
      <c r="AT189" s="43"/>
    </row>
    <row r="190" spans="2:46" x14ac:dyDescent="0.2">
      <c r="B190" s="28" t="s">
        <v>303</v>
      </c>
      <c r="D190" s="19"/>
      <c r="E190" s="19"/>
      <c r="F190" s="19"/>
      <c r="G190" s="19"/>
      <c r="H190" s="25"/>
      <c r="I190" s="25"/>
      <c r="J190" s="25"/>
      <c r="K190" s="25"/>
      <c r="L190" s="25"/>
      <c r="M190" s="25"/>
      <c r="N190" s="25"/>
      <c r="O190" s="25"/>
      <c r="P190" s="25"/>
      <c r="Q190" s="25"/>
      <c r="R190" s="25"/>
      <c r="S190" s="25"/>
      <c r="T190" s="25"/>
      <c r="U190" s="25"/>
      <c r="V190" s="25"/>
      <c r="W190" s="25"/>
      <c r="X190" s="25"/>
      <c r="Y190" s="25"/>
      <c r="Z190" s="25"/>
      <c r="AA190" s="25"/>
      <c r="AB190" s="25"/>
      <c r="AC190" s="54">
        <v>0.24</v>
      </c>
      <c r="AD190" s="25"/>
      <c r="AE190" s="25"/>
      <c r="AF190" s="25"/>
      <c r="AG190" s="25"/>
      <c r="AH190" s="25"/>
      <c r="AI190" s="25"/>
      <c r="AK190" s="19"/>
      <c r="AL190" s="19"/>
      <c r="AM190" s="25"/>
      <c r="AN190" s="25"/>
      <c r="AO190" s="25"/>
      <c r="AP190" s="25"/>
      <c r="AQ190" s="25"/>
      <c r="AR190" s="25"/>
      <c r="AS190" s="25"/>
      <c r="AT190" s="43"/>
    </row>
    <row r="191" spans="2:46" x14ac:dyDescent="0.2">
      <c r="B191" s="28"/>
      <c r="D191" s="19"/>
      <c r="E191" s="19"/>
      <c r="F191" s="19"/>
      <c r="G191" s="19"/>
      <c r="H191" s="19"/>
      <c r="I191" s="19"/>
      <c r="J191" s="19"/>
      <c r="K191" s="19"/>
      <c r="AK191" s="19"/>
      <c r="AL191" s="19"/>
      <c r="AM191" s="19"/>
      <c r="AN191" s="19"/>
      <c r="AO191" s="19"/>
      <c r="AP191" s="19"/>
      <c r="AQ191" s="19"/>
      <c r="AR191" s="19"/>
      <c r="AS191" s="19"/>
    </row>
    <row r="192" spans="2:46" s="2" customFormat="1" x14ac:dyDescent="0.2">
      <c r="B192" s="2" t="s">
        <v>148</v>
      </c>
      <c r="D192" s="48"/>
      <c r="E192" s="48"/>
      <c r="F192" s="48"/>
      <c r="G192" s="48"/>
      <c r="H192" s="48"/>
      <c r="I192" s="48"/>
      <c r="J192" s="48"/>
      <c r="K192" s="48"/>
      <c r="AK192" s="48"/>
      <c r="AL192" s="48"/>
      <c r="AM192" s="48"/>
      <c r="AN192" s="48"/>
      <c r="AO192" s="48"/>
      <c r="AP192" s="48"/>
      <c r="AQ192" s="48"/>
      <c r="AR192" s="48"/>
      <c r="AS192" s="48"/>
    </row>
    <row r="193" spans="2:45" x14ac:dyDescent="0.2">
      <c r="B193" s="47" t="s">
        <v>149</v>
      </c>
      <c r="D193" s="19"/>
      <c r="E193" s="19"/>
      <c r="F193" s="19"/>
      <c r="G193" s="19"/>
      <c r="H193" s="19"/>
      <c r="I193" s="19"/>
      <c r="J193" s="19"/>
      <c r="K193" s="19"/>
      <c r="AK193" s="19"/>
      <c r="AL193" s="19"/>
      <c r="AM193" s="19"/>
      <c r="AN193" s="19"/>
      <c r="AO193" s="19"/>
      <c r="AP193" s="19"/>
      <c r="AQ193" s="19"/>
      <c r="AR193" s="19"/>
      <c r="AS193" s="19"/>
    </row>
    <row r="194" spans="2:45" x14ac:dyDescent="0.2">
      <c r="B194" s="47"/>
      <c r="D194" s="19"/>
      <c r="E194" s="19"/>
      <c r="F194" s="19"/>
      <c r="G194" s="19"/>
      <c r="H194" s="19"/>
      <c r="I194" s="19"/>
      <c r="J194" s="19"/>
      <c r="K194" s="19"/>
      <c r="AK194" s="19"/>
      <c r="AL194" s="19"/>
      <c r="AM194" s="19"/>
      <c r="AN194" s="19"/>
      <c r="AO194" s="19"/>
      <c r="AP194" s="19"/>
      <c r="AQ194" s="19"/>
      <c r="AR194" s="19"/>
      <c r="AS194" s="19"/>
    </row>
    <row r="195" spans="2:45" x14ac:dyDescent="0.2">
      <c r="B195" s="161" t="s">
        <v>274</v>
      </c>
      <c r="C195" s="9"/>
      <c r="D195" s="19"/>
      <c r="E195" s="19"/>
      <c r="F195" s="19"/>
      <c r="G195" s="19"/>
      <c r="H195" s="19"/>
      <c r="I195" s="19"/>
      <c r="J195" s="19"/>
      <c r="K195" s="19"/>
      <c r="AK195" s="19"/>
      <c r="AL195" s="19"/>
      <c r="AM195" s="19"/>
      <c r="AN195" s="19"/>
      <c r="AO195" s="19"/>
      <c r="AP195" s="19"/>
      <c r="AQ195" s="19"/>
      <c r="AR195" s="19"/>
      <c r="AS195" s="19"/>
    </row>
    <row r="196" spans="2:45" x14ac:dyDescent="0.2">
      <c r="B196" s="47"/>
      <c r="H196" s="19"/>
      <c r="I196" s="19"/>
      <c r="J196" s="162" t="s">
        <v>290</v>
      </c>
      <c r="K196" s="162" t="s">
        <v>278</v>
      </c>
      <c r="AK196" s="19"/>
      <c r="AL196" s="19"/>
      <c r="AM196" s="19"/>
      <c r="AN196" s="19"/>
      <c r="AO196" s="19"/>
      <c r="AP196" s="19"/>
      <c r="AQ196" s="19"/>
      <c r="AR196" s="19"/>
      <c r="AS196" s="19"/>
    </row>
    <row r="197" spans="2:45" ht="13.5" x14ac:dyDescent="0.35">
      <c r="B197" s="47"/>
      <c r="H197" s="4" t="s">
        <v>276</v>
      </c>
      <c r="I197" s="4" t="s">
        <v>226</v>
      </c>
      <c r="J197" s="4" t="s">
        <v>277</v>
      </c>
      <c r="K197" s="4" t="s">
        <v>291</v>
      </c>
      <c r="AK197" s="19"/>
      <c r="AL197" s="19"/>
      <c r="AM197" s="19"/>
      <c r="AN197" s="19"/>
      <c r="AO197" s="19"/>
      <c r="AP197" s="19"/>
      <c r="AQ197" s="19"/>
      <c r="AR197" s="19"/>
      <c r="AS197" s="19"/>
    </row>
    <row r="198" spans="2:45" s="167" customFormat="1" x14ac:dyDescent="0.2">
      <c r="B198" s="166"/>
      <c r="H198" s="168"/>
      <c r="I198" s="168"/>
      <c r="J198" s="168"/>
      <c r="K198" s="168"/>
      <c r="AK198" s="169"/>
      <c r="AL198" s="169"/>
      <c r="AM198" s="169"/>
      <c r="AN198" s="169"/>
      <c r="AO198" s="169"/>
      <c r="AP198" s="169"/>
      <c r="AQ198" s="169"/>
      <c r="AR198" s="169"/>
      <c r="AS198" s="169"/>
    </row>
    <row r="199" spans="2:45" s="167" customFormat="1" x14ac:dyDescent="0.2">
      <c r="B199" s="47" t="s">
        <v>288</v>
      </c>
      <c r="C199"/>
      <c r="H199" s="163">
        <v>43707</v>
      </c>
      <c r="I199" s="14">
        <v>60.2</v>
      </c>
      <c r="J199" s="17">
        <f>+SUM(J215:N215)</f>
        <v>14.666666666666666</v>
      </c>
      <c r="K199" s="164">
        <f t="shared" ref="K199:K207" si="1190">+IFERROR(I199/J199,"n/a")</f>
        <v>4.1045454545454545</v>
      </c>
      <c r="AK199" s="169"/>
      <c r="AL199" s="169"/>
      <c r="AM199" s="169"/>
      <c r="AN199" s="169"/>
      <c r="AO199" s="169"/>
      <c r="AP199" s="169"/>
      <c r="AQ199" s="169"/>
      <c r="AR199" s="169"/>
      <c r="AS199" s="169"/>
    </row>
    <row r="200" spans="2:45" x14ac:dyDescent="0.2">
      <c r="B200" s="47" t="s">
        <v>287</v>
      </c>
      <c r="H200" s="163">
        <v>44120</v>
      </c>
      <c r="I200" s="14">
        <v>9.5</v>
      </c>
      <c r="J200" s="17">
        <f>+SUM(O216:S216)</f>
        <v>0</v>
      </c>
      <c r="K200" s="175" t="str">
        <f t="shared" si="1190"/>
        <v>n/a</v>
      </c>
      <c r="AK200" s="19"/>
      <c r="AL200" s="19"/>
      <c r="AM200" s="19"/>
      <c r="AN200" s="19"/>
      <c r="AO200" s="19"/>
      <c r="AP200" s="19"/>
      <c r="AQ200" s="19"/>
      <c r="AR200" s="19"/>
      <c r="AS200" s="19"/>
    </row>
    <row r="201" spans="2:45" x14ac:dyDescent="0.2">
      <c r="B201" s="47" t="s">
        <v>286</v>
      </c>
      <c r="H201" s="163">
        <v>44140</v>
      </c>
      <c r="I201" s="14">
        <v>39.9</v>
      </c>
      <c r="J201" s="17">
        <f>+SUM(O217:S217)</f>
        <v>10</v>
      </c>
      <c r="K201" s="164">
        <f t="shared" si="1190"/>
        <v>3.9899999999999998</v>
      </c>
      <c r="AK201" s="19"/>
      <c r="AL201" s="19"/>
      <c r="AM201" s="19"/>
      <c r="AN201" s="19"/>
      <c r="AO201" s="19"/>
      <c r="AP201" s="19"/>
      <c r="AQ201" s="19"/>
      <c r="AR201" s="19"/>
      <c r="AS201" s="19"/>
    </row>
    <row r="202" spans="2:45" x14ac:dyDescent="0.2">
      <c r="B202" s="47" t="s">
        <v>285</v>
      </c>
      <c r="H202" s="163">
        <v>44258</v>
      </c>
      <c r="I202" s="14">
        <v>66.900000000000006</v>
      </c>
      <c r="J202" s="17">
        <f>+SUM(P218:T218)</f>
        <v>20.2</v>
      </c>
      <c r="K202" s="164">
        <f t="shared" si="1190"/>
        <v>3.3118811881188122</v>
      </c>
      <c r="AK202" s="19"/>
      <c r="AL202" s="19"/>
      <c r="AM202" s="19"/>
      <c r="AN202" s="19"/>
      <c r="AO202" s="19"/>
      <c r="AP202" s="19"/>
      <c r="AQ202" s="19"/>
      <c r="AR202" s="19"/>
      <c r="AS202" s="19"/>
    </row>
    <row r="203" spans="2:45" x14ac:dyDescent="0.2">
      <c r="B203" s="47" t="s">
        <v>284</v>
      </c>
      <c r="H203" s="163">
        <v>44440</v>
      </c>
      <c r="I203" s="14">
        <v>14.3</v>
      </c>
      <c r="J203" s="17">
        <f>+SUM(R219:V219)</f>
        <v>11.666666666666666</v>
      </c>
      <c r="K203" s="164">
        <f t="shared" si="1190"/>
        <v>1.2257142857142858</v>
      </c>
      <c r="AK203" s="19"/>
      <c r="AL203" s="19"/>
      <c r="AM203" s="19"/>
      <c r="AN203" s="19"/>
      <c r="AO203" s="19"/>
      <c r="AP203" s="19"/>
      <c r="AQ203" s="19"/>
      <c r="AR203" s="19"/>
      <c r="AS203" s="19"/>
    </row>
    <row r="204" spans="2:45" x14ac:dyDescent="0.2">
      <c r="B204" s="47" t="s">
        <v>283</v>
      </c>
      <c r="H204" s="163">
        <v>44620</v>
      </c>
      <c r="I204" s="14">
        <v>106.9</v>
      </c>
      <c r="J204" s="17">
        <f>+SUM(T220:X220)</f>
        <v>5.5</v>
      </c>
      <c r="K204" s="164">
        <f t="shared" si="1190"/>
        <v>19.436363636363637</v>
      </c>
      <c r="AK204" s="19"/>
      <c r="AL204" s="19"/>
      <c r="AM204" s="19"/>
      <c r="AN204" s="19"/>
      <c r="AO204" s="19"/>
      <c r="AP204" s="19"/>
      <c r="AQ204" s="19"/>
      <c r="AR204" s="19"/>
      <c r="AS204" s="19"/>
    </row>
    <row r="205" spans="2:45" x14ac:dyDescent="0.2">
      <c r="B205" s="47" t="s">
        <v>282</v>
      </c>
      <c r="H205" s="165">
        <v>44742</v>
      </c>
      <c r="I205" s="14">
        <v>81.8</v>
      </c>
      <c r="J205" s="17">
        <f>+SUM(V221:Y221)</f>
        <v>7.0249999999999995</v>
      </c>
      <c r="K205" s="164">
        <f t="shared" si="1190"/>
        <v>11.644128113879004</v>
      </c>
      <c r="AK205" s="19"/>
      <c r="AL205" s="19"/>
      <c r="AM205" s="19"/>
      <c r="AN205" s="19"/>
      <c r="AO205" s="19"/>
      <c r="AP205" s="19"/>
      <c r="AQ205" s="19"/>
      <c r="AR205" s="19"/>
      <c r="AS205" s="19"/>
    </row>
    <row r="206" spans="2:45" x14ac:dyDescent="0.2">
      <c r="B206" s="47" t="s">
        <v>281</v>
      </c>
      <c r="H206" s="163">
        <v>44833</v>
      </c>
      <c r="I206" s="14">
        <v>125.9</v>
      </c>
      <c r="J206" s="17">
        <f>+SUM(W222:Z222)</f>
        <v>6.1999999999999966</v>
      </c>
      <c r="K206" s="164">
        <f t="shared" si="1190"/>
        <v>20.306451612903238</v>
      </c>
      <c r="AK206" s="19"/>
      <c r="AL206" s="19"/>
      <c r="AM206" s="19"/>
      <c r="AN206" s="19"/>
      <c r="AO206" s="19"/>
      <c r="AP206" s="19"/>
      <c r="AQ206" s="19"/>
      <c r="AR206" s="19"/>
      <c r="AS206" s="19"/>
    </row>
    <row r="207" spans="2:45" x14ac:dyDescent="0.2">
      <c r="B207" s="47" t="s">
        <v>280</v>
      </c>
      <c r="H207" s="163">
        <v>45019</v>
      </c>
      <c r="I207" s="14">
        <v>45.2</v>
      </c>
      <c r="J207" s="17">
        <f>+SUM(Y223:AB223)</f>
        <v>3.5</v>
      </c>
      <c r="K207" s="164">
        <f t="shared" si="1190"/>
        <v>12.914285714285715</v>
      </c>
      <c r="AK207" s="19"/>
      <c r="AL207" s="19"/>
      <c r="AM207" s="19"/>
      <c r="AN207" s="19"/>
      <c r="AO207" s="19"/>
      <c r="AP207" s="19"/>
      <c r="AQ207" s="19"/>
      <c r="AR207" s="19"/>
      <c r="AS207" s="19"/>
    </row>
    <row r="208" spans="2:45" x14ac:dyDescent="0.2">
      <c r="B208" s="47" t="s">
        <v>279</v>
      </c>
      <c r="H208" s="163">
        <v>45201</v>
      </c>
      <c r="I208" s="14">
        <v>108.7</v>
      </c>
      <c r="J208" s="17">
        <f>+I208/K208</f>
        <v>36.233333333333334</v>
      </c>
      <c r="K208" s="172">
        <v>3</v>
      </c>
      <c r="AK208" s="19"/>
      <c r="AL208" s="19"/>
      <c r="AM208" s="19"/>
      <c r="AN208" s="19"/>
      <c r="AO208" s="19"/>
      <c r="AP208" s="19"/>
      <c r="AQ208" s="19"/>
      <c r="AR208" s="19"/>
      <c r="AS208" s="19"/>
    </row>
    <row r="209" spans="2:45" x14ac:dyDescent="0.2">
      <c r="B209" s="47" t="s">
        <v>275</v>
      </c>
      <c r="H209" s="163">
        <v>45225</v>
      </c>
      <c r="I209" s="14">
        <v>330.8</v>
      </c>
      <c r="J209" s="17">
        <f>+SUM(AA225:AE225)</f>
        <v>340</v>
      </c>
      <c r="K209" s="164">
        <f>+IFERROR(I209/J209,"n/a")</f>
        <v>0.97294117647058831</v>
      </c>
      <c r="AK209" s="19"/>
      <c r="AL209" s="19"/>
      <c r="AM209" s="19"/>
      <c r="AN209" s="19"/>
      <c r="AO209" s="19"/>
      <c r="AP209" s="19"/>
      <c r="AQ209" s="19"/>
      <c r="AR209" s="19"/>
      <c r="AS209" s="19"/>
    </row>
    <row r="210" spans="2:45" x14ac:dyDescent="0.2">
      <c r="B210" s="47" t="s">
        <v>295</v>
      </c>
      <c r="H210" s="163">
        <v>45456</v>
      </c>
      <c r="I210" s="14">
        <v>245.3</v>
      </c>
      <c r="J210" s="17">
        <f>+I210/K210</f>
        <v>81.766666666666666</v>
      </c>
      <c r="K210" s="172">
        <v>3</v>
      </c>
      <c r="AK210" s="19"/>
      <c r="AL210" s="19"/>
      <c r="AM210" s="19"/>
      <c r="AN210" s="19"/>
      <c r="AO210" s="19"/>
      <c r="AP210" s="19"/>
      <c r="AQ210" s="19"/>
      <c r="AR210" s="19"/>
      <c r="AS210" s="19"/>
    </row>
    <row r="211" spans="2:45" x14ac:dyDescent="0.2">
      <c r="B211" s="47" t="s">
        <v>294</v>
      </c>
      <c r="H211" s="163">
        <v>45457</v>
      </c>
      <c r="I211" s="14">
        <f>59/0.74</f>
        <v>79.729729729729726</v>
      </c>
      <c r="J211" s="17">
        <f>+SUM(AC227:AG227)</f>
        <v>45</v>
      </c>
      <c r="K211" s="164">
        <f>+IFERROR(I211/J211,"n/a")</f>
        <v>1.7717717717717716</v>
      </c>
      <c r="AK211" s="19"/>
      <c r="AL211" s="19"/>
      <c r="AM211" s="19"/>
      <c r="AN211" s="19"/>
      <c r="AO211" s="19"/>
      <c r="AP211" s="19"/>
      <c r="AQ211" s="19"/>
      <c r="AR211" s="19"/>
      <c r="AS211" s="19"/>
    </row>
    <row r="212" spans="2:45" x14ac:dyDescent="0.2">
      <c r="B212" s="47" t="s">
        <v>364</v>
      </c>
      <c r="H212" s="163">
        <v>45604</v>
      </c>
      <c r="I212" s="49">
        <v>130</v>
      </c>
      <c r="J212" s="49">
        <v>60</v>
      </c>
      <c r="K212" s="164">
        <f>+IFERROR(I212/J212,"n/a")</f>
        <v>2.1666666666666665</v>
      </c>
      <c r="AK212" s="19"/>
      <c r="AL212" s="19"/>
      <c r="AM212" s="19"/>
      <c r="AN212" s="19"/>
      <c r="AO212" s="19"/>
      <c r="AP212" s="19"/>
      <c r="AQ212" s="19"/>
      <c r="AR212" s="19"/>
      <c r="AS212" s="19"/>
    </row>
    <row r="213" spans="2:45" x14ac:dyDescent="0.2">
      <c r="B213" s="47"/>
      <c r="D213" s="19"/>
      <c r="E213" s="19"/>
      <c r="F213" s="19"/>
      <c r="G213" s="19"/>
      <c r="H213" s="19"/>
      <c r="I213" s="19"/>
      <c r="J213" s="19"/>
      <c r="K213" s="19"/>
      <c r="AK213" s="19"/>
      <c r="AL213" s="19"/>
      <c r="AM213" s="19"/>
      <c r="AN213" s="19"/>
      <c r="AO213" s="19"/>
      <c r="AP213" s="19"/>
      <c r="AQ213" s="19"/>
      <c r="AR213" s="19"/>
      <c r="AS213" s="19"/>
    </row>
    <row r="214" spans="2:45" x14ac:dyDescent="0.2">
      <c r="B214" s="170" t="s">
        <v>292</v>
      </c>
      <c r="D214" s="19"/>
      <c r="E214" s="19"/>
      <c r="F214" s="19"/>
      <c r="G214" s="19"/>
      <c r="H214" s="19"/>
      <c r="I214" s="19"/>
      <c r="J214" s="19"/>
      <c r="K214" s="19"/>
      <c r="AK214" s="19"/>
      <c r="AL214" s="19"/>
      <c r="AM214" s="19"/>
      <c r="AN214" s="19"/>
      <c r="AO214" s="19"/>
      <c r="AP214" s="19"/>
      <c r="AQ214" s="19"/>
      <c r="AR214" s="19"/>
      <c r="AS214" s="19"/>
    </row>
    <row r="215" spans="2:45" x14ac:dyDescent="0.2">
      <c r="B215" s="47" t="s">
        <v>288</v>
      </c>
      <c r="D215" s="19"/>
      <c r="E215" s="19"/>
      <c r="F215" s="19"/>
      <c r="G215" s="19"/>
      <c r="H215" s="19"/>
      <c r="I215" s="19"/>
      <c r="J215" s="176">
        <f>+SUM(L215:N215)-7.2</f>
        <v>2.666666666666667</v>
      </c>
      <c r="K215" s="176">
        <f>4.8-J215</f>
        <v>2.1333333333333329</v>
      </c>
      <c r="L215" s="176">
        <v>3.7</v>
      </c>
      <c r="M215" s="176">
        <v>3.7</v>
      </c>
      <c r="N215" s="174">
        <f>+M215/3*2</f>
        <v>2.4666666666666668</v>
      </c>
      <c r="O215" s="152"/>
      <c r="P215" s="152"/>
      <c r="Q215" s="152"/>
      <c r="R215" s="152"/>
      <c r="S215" s="152"/>
      <c r="T215" s="152"/>
      <c r="U215" s="152"/>
      <c r="V215" s="152"/>
      <c r="W215" s="152"/>
      <c r="X215" s="152"/>
      <c r="Y215" s="152"/>
      <c r="AK215" s="19"/>
      <c r="AL215" s="19"/>
      <c r="AM215" s="17">
        <f>+SUM(H215:K215)</f>
        <v>4.8</v>
      </c>
      <c r="AN215" s="17">
        <f>+SUM(L215:O215)</f>
        <v>9.8666666666666671</v>
      </c>
      <c r="AO215" s="17">
        <f>+SUM(P215:S215)</f>
        <v>0</v>
      </c>
      <c r="AP215" s="17">
        <f>+SUM(T215:W215)</f>
        <v>0</v>
      </c>
      <c r="AQ215" s="17">
        <f>+SUM(X215:AA215)</f>
        <v>0</v>
      </c>
      <c r="AR215" s="17">
        <f>+SUM(AB215:AE215)</f>
        <v>0</v>
      </c>
      <c r="AS215" s="17">
        <f>+SUM(AF215:AI215)</f>
        <v>0</v>
      </c>
    </row>
    <row r="216" spans="2:45" x14ac:dyDescent="0.2">
      <c r="B216" s="47" t="s">
        <v>287</v>
      </c>
      <c r="D216" s="19"/>
      <c r="E216" s="19"/>
      <c r="F216" s="19"/>
      <c r="G216" s="19"/>
      <c r="H216" s="19"/>
      <c r="I216" s="19"/>
      <c r="J216" s="177"/>
      <c r="K216" s="177"/>
      <c r="L216" s="152"/>
      <c r="M216" s="152"/>
      <c r="N216" s="152"/>
      <c r="O216" s="174">
        <v>0</v>
      </c>
      <c r="P216" s="174">
        <v>0</v>
      </c>
      <c r="Q216" s="174">
        <v>0</v>
      </c>
      <c r="R216" s="174">
        <v>0</v>
      </c>
      <c r="S216" s="174">
        <v>0</v>
      </c>
      <c r="T216" s="152"/>
      <c r="U216" s="152"/>
      <c r="V216" s="152"/>
      <c r="W216" s="152"/>
      <c r="X216" s="152"/>
      <c r="Y216" s="152"/>
      <c r="AK216" s="19"/>
      <c r="AL216" s="19"/>
      <c r="AM216" s="17">
        <f t="shared" ref="AM216:AM229" si="1191">+SUM(H216:K216)</f>
        <v>0</v>
      </c>
      <c r="AN216" s="17">
        <f t="shared" ref="AN216:AN229" si="1192">+SUM(L216:O216)</f>
        <v>0</v>
      </c>
      <c r="AO216" s="17">
        <f t="shared" ref="AO216:AO229" si="1193">+SUM(P216:S216)</f>
        <v>0</v>
      </c>
      <c r="AP216" s="17">
        <f t="shared" ref="AP216:AP229" si="1194">+SUM(T216:W216)</f>
        <v>0</v>
      </c>
      <c r="AQ216" s="17">
        <f t="shared" ref="AQ216:AQ229" si="1195">+SUM(X216:AA216)</f>
        <v>0</v>
      </c>
      <c r="AR216" s="17">
        <f t="shared" ref="AR216:AR229" si="1196">+SUM(AB216:AE216)</f>
        <v>0</v>
      </c>
      <c r="AS216" s="17">
        <f t="shared" ref="AS216:AS229" si="1197">+SUM(AF216:AI216)</f>
        <v>0</v>
      </c>
    </row>
    <row r="217" spans="2:45" x14ac:dyDescent="0.2">
      <c r="B217" s="47" t="s">
        <v>286</v>
      </c>
      <c r="D217" s="19"/>
      <c r="E217" s="19"/>
      <c r="F217" s="19"/>
      <c r="G217" s="19"/>
      <c r="H217" s="19"/>
      <c r="I217" s="19"/>
      <c r="J217" s="177"/>
      <c r="K217" s="177"/>
      <c r="L217" s="152"/>
      <c r="M217" s="152"/>
      <c r="N217" s="152"/>
      <c r="O217" s="174">
        <f>+P217/3*2.5</f>
        <v>1.6666666666666665</v>
      </c>
      <c r="P217" s="174">
        <v>2</v>
      </c>
      <c r="Q217" s="174">
        <v>2</v>
      </c>
      <c r="R217" s="174">
        <v>3</v>
      </c>
      <c r="S217" s="174">
        <f>+R217-O217</f>
        <v>1.3333333333333335</v>
      </c>
      <c r="T217" s="152"/>
      <c r="U217" s="152"/>
      <c r="V217" s="152"/>
      <c r="W217" s="152"/>
      <c r="X217" s="152"/>
      <c r="Y217" s="152"/>
      <c r="AK217" s="19"/>
      <c r="AL217" s="19"/>
      <c r="AM217" s="17">
        <f t="shared" si="1191"/>
        <v>0</v>
      </c>
      <c r="AN217" s="17">
        <f t="shared" si="1192"/>
        <v>1.6666666666666665</v>
      </c>
      <c r="AO217" s="17">
        <f t="shared" si="1193"/>
        <v>8.3333333333333339</v>
      </c>
      <c r="AP217" s="17">
        <f t="shared" si="1194"/>
        <v>0</v>
      </c>
      <c r="AQ217" s="17">
        <f t="shared" si="1195"/>
        <v>0</v>
      </c>
      <c r="AR217" s="17">
        <f t="shared" si="1196"/>
        <v>0</v>
      </c>
      <c r="AS217" s="17">
        <f t="shared" si="1197"/>
        <v>0</v>
      </c>
    </row>
    <row r="218" spans="2:45" x14ac:dyDescent="0.2">
      <c r="B218" s="47" t="s">
        <v>285</v>
      </c>
      <c r="D218" s="19"/>
      <c r="E218" s="19"/>
      <c r="F218" s="19"/>
      <c r="G218" s="19"/>
      <c r="H218" s="19"/>
      <c r="I218" s="19"/>
      <c r="J218" s="177"/>
      <c r="K218" s="177"/>
      <c r="L218" s="152"/>
      <c r="M218" s="152"/>
      <c r="N218" s="152"/>
      <c r="O218" s="152"/>
      <c r="P218" s="174">
        <f>+P229-P217-P216</f>
        <v>2.8</v>
      </c>
      <c r="Q218" s="174">
        <f>+Q229-Q217-Q216</f>
        <v>3.9000000000000004</v>
      </c>
      <c r="R218" s="174">
        <v>6</v>
      </c>
      <c r="S218" s="174">
        <v>5</v>
      </c>
      <c r="T218" s="174">
        <v>2.5</v>
      </c>
      <c r="U218" s="152"/>
      <c r="V218" s="152"/>
      <c r="W218" s="152"/>
      <c r="X218" s="152"/>
      <c r="Y218" s="152"/>
      <c r="AK218" s="19"/>
      <c r="AL218" s="19"/>
      <c r="AM218" s="17">
        <f t="shared" si="1191"/>
        <v>0</v>
      </c>
      <c r="AN218" s="17">
        <f t="shared" si="1192"/>
        <v>0</v>
      </c>
      <c r="AO218" s="17">
        <f t="shared" si="1193"/>
        <v>17.7</v>
      </c>
      <c r="AP218" s="17">
        <f t="shared" si="1194"/>
        <v>2.5</v>
      </c>
      <c r="AQ218" s="17">
        <f t="shared" si="1195"/>
        <v>0</v>
      </c>
      <c r="AR218" s="17">
        <f t="shared" si="1196"/>
        <v>0</v>
      </c>
      <c r="AS218" s="17">
        <f t="shared" si="1197"/>
        <v>0</v>
      </c>
    </row>
    <row r="219" spans="2:45" x14ac:dyDescent="0.2">
      <c r="B219" s="47" t="s">
        <v>284</v>
      </c>
      <c r="D219" s="19"/>
      <c r="E219" s="19"/>
      <c r="F219" s="19"/>
      <c r="G219" s="19"/>
      <c r="H219" s="19"/>
      <c r="I219" s="19"/>
      <c r="J219" s="177"/>
      <c r="K219" s="177"/>
      <c r="L219" s="152"/>
      <c r="M219" s="152"/>
      <c r="N219" s="152"/>
      <c r="O219" s="152"/>
      <c r="P219" s="152"/>
      <c r="Q219" s="152"/>
      <c r="R219" s="174">
        <f>+R229-SUM(R216:R218)</f>
        <v>1.1999999999999993</v>
      </c>
      <c r="S219" s="174">
        <f>+S229-SUM(S216:S218)</f>
        <v>2.6666666666666661</v>
      </c>
      <c r="T219" s="174">
        <v>3</v>
      </c>
      <c r="U219" s="174">
        <f>+T219</f>
        <v>3</v>
      </c>
      <c r="V219" s="174">
        <f>+U219-R219</f>
        <v>1.8000000000000007</v>
      </c>
      <c r="W219" s="152"/>
      <c r="X219" s="152"/>
      <c r="Y219" s="152"/>
      <c r="AK219" s="19"/>
      <c r="AL219" s="19"/>
      <c r="AM219" s="17">
        <f t="shared" si="1191"/>
        <v>0</v>
      </c>
      <c r="AN219" s="17">
        <f t="shared" si="1192"/>
        <v>0</v>
      </c>
      <c r="AO219" s="17">
        <f t="shared" si="1193"/>
        <v>3.8666666666666654</v>
      </c>
      <c r="AP219" s="17">
        <f t="shared" si="1194"/>
        <v>7.8000000000000007</v>
      </c>
      <c r="AQ219" s="17">
        <f t="shared" si="1195"/>
        <v>0</v>
      </c>
      <c r="AR219" s="17">
        <f t="shared" si="1196"/>
        <v>0</v>
      </c>
      <c r="AS219" s="17">
        <f t="shared" si="1197"/>
        <v>0</v>
      </c>
    </row>
    <row r="220" spans="2:45" x14ac:dyDescent="0.2">
      <c r="B220" s="47" t="s">
        <v>283</v>
      </c>
      <c r="D220" s="19"/>
      <c r="E220" s="19"/>
      <c r="F220" s="19"/>
      <c r="G220" s="19"/>
      <c r="H220" s="19"/>
      <c r="I220" s="19"/>
      <c r="J220" s="177"/>
      <c r="K220" s="177"/>
      <c r="L220" s="152"/>
      <c r="M220" s="152"/>
      <c r="N220" s="152"/>
      <c r="O220" s="152"/>
      <c r="P220" s="152"/>
      <c r="Q220" s="152"/>
      <c r="R220" s="152"/>
      <c r="S220" s="152"/>
      <c r="T220" s="174">
        <f>+T229-SUM(T218:T219)</f>
        <v>0.5</v>
      </c>
      <c r="U220" s="174">
        <f>5*1.1/4</f>
        <v>1.375</v>
      </c>
      <c r="V220" s="174">
        <f t="shared" ref="V220:W220" si="1198">5*1.1/4</f>
        <v>1.375</v>
      </c>
      <c r="W220" s="174">
        <f t="shared" si="1198"/>
        <v>1.375</v>
      </c>
      <c r="X220" s="174">
        <f>5*1.1/4-T220</f>
        <v>0.875</v>
      </c>
      <c r="Y220" s="152"/>
      <c r="AK220" s="19"/>
      <c r="AL220" s="19"/>
      <c r="AM220" s="17">
        <f t="shared" si="1191"/>
        <v>0</v>
      </c>
      <c r="AN220" s="17">
        <f t="shared" si="1192"/>
        <v>0</v>
      </c>
      <c r="AO220" s="17">
        <f t="shared" si="1193"/>
        <v>0</v>
      </c>
      <c r="AP220" s="17">
        <f t="shared" si="1194"/>
        <v>4.625</v>
      </c>
      <c r="AQ220" s="17">
        <f t="shared" si="1195"/>
        <v>0.875</v>
      </c>
      <c r="AR220" s="17">
        <f t="shared" si="1196"/>
        <v>0</v>
      </c>
      <c r="AS220" s="17">
        <f t="shared" si="1197"/>
        <v>0</v>
      </c>
    </row>
    <row r="221" spans="2:45" x14ac:dyDescent="0.2">
      <c r="B221" s="47" t="s">
        <v>282</v>
      </c>
      <c r="D221" s="19"/>
      <c r="E221" s="19"/>
      <c r="F221" s="19"/>
      <c r="G221" s="19"/>
      <c r="H221" s="19"/>
      <c r="I221" s="19"/>
      <c r="J221" s="177"/>
      <c r="K221" s="177"/>
      <c r="L221" s="152"/>
      <c r="M221" s="152"/>
      <c r="N221" s="152"/>
      <c r="O221" s="152"/>
      <c r="P221" s="152"/>
      <c r="Q221" s="152"/>
      <c r="R221" s="152"/>
      <c r="S221" s="152"/>
      <c r="T221" s="152"/>
      <c r="U221" s="152"/>
      <c r="V221" s="174">
        <f>+V229-SUM(V219:V220)</f>
        <v>1.5249999999999995</v>
      </c>
      <c r="W221" s="174">
        <v>2.5</v>
      </c>
      <c r="X221" s="174">
        <v>1.5</v>
      </c>
      <c r="Y221" s="174">
        <v>1.5</v>
      </c>
      <c r="AK221" s="19"/>
      <c r="AL221" s="19"/>
      <c r="AM221" s="17">
        <f t="shared" si="1191"/>
        <v>0</v>
      </c>
      <c r="AN221" s="17">
        <f t="shared" si="1192"/>
        <v>0</v>
      </c>
      <c r="AO221" s="17">
        <f t="shared" si="1193"/>
        <v>0</v>
      </c>
      <c r="AP221" s="17">
        <f t="shared" si="1194"/>
        <v>4.0249999999999995</v>
      </c>
      <c r="AQ221" s="17">
        <f t="shared" si="1195"/>
        <v>3</v>
      </c>
      <c r="AR221" s="17">
        <f t="shared" si="1196"/>
        <v>0</v>
      </c>
      <c r="AS221" s="17">
        <f t="shared" si="1197"/>
        <v>0</v>
      </c>
    </row>
    <row r="222" spans="2:45" x14ac:dyDescent="0.2">
      <c r="B222" s="47" t="s">
        <v>281</v>
      </c>
      <c r="D222" s="19"/>
      <c r="E222" s="19"/>
      <c r="F222" s="19"/>
      <c r="G222" s="19"/>
      <c r="H222" s="19"/>
      <c r="I222" s="19"/>
      <c r="J222" s="177"/>
      <c r="K222" s="177"/>
      <c r="L222" s="152"/>
      <c r="M222" s="152"/>
      <c r="N222" s="152"/>
      <c r="O222" s="152"/>
      <c r="P222" s="152"/>
      <c r="Q222" s="152"/>
      <c r="R222" s="152"/>
      <c r="S222" s="152"/>
      <c r="T222" s="152"/>
      <c r="U222" s="152"/>
      <c r="V222" s="152"/>
      <c r="W222" s="174">
        <f>+W229-SUM(W220:W221)</f>
        <v>1.9249999999999972</v>
      </c>
      <c r="X222" s="174">
        <f>+X229-SUM(X220:X221)</f>
        <v>1.4249999999999998</v>
      </c>
      <c r="Y222" s="174">
        <f>+X222</f>
        <v>1.4249999999999998</v>
      </c>
      <c r="Z222" s="174">
        <f>+Y222</f>
        <v>1.4249999999999998</v>
      </c>
      <c r="AK222" s="19"/>
      <c r="AL222" s="19"/>
      <c r="AM222" s="17">
        <f t="shared" si="1191"/>
        <v>0</v>
      </c>
      <c r="AN222" s="17">
        <f t="shared" si="1192"/>
        <v>0</v>
      </c>
      <c r="AO222" s="17">
        <f t="shared" si="1193"/>
        <v>0</v>
      </c>
      <c r="AP222" s="17">
        <f t="shared" si="1194"/>
        <v>1.9249999999999972</v>
      </c>
      <c r="AQ222" s="17">
        <f t="shared" si="1195"/>
        <v>4.2749999999999995</v>
      </c>
      <c r="AR222" s="17">
        <f t="shared" si="1196"/>
        <v>0</v>
      </c>
      <c r="AS222" s="17">
        <f t="shared" si="1197"/>
        <v>0</v>
      </c>
    </row>
    <row r="223" spans="2:45" x14ac:dyDescent="0.2">
      <c r="B223" s="47" t="s">
        <v>280</v>
      </c>
      <c r="D223" s="19"/>
      <c r="E223" s="19"/>
      <c r="F223" s="19"/>
      <c r="G223" s="19"/>
      <c r="H223" s="19"/>
      <c r="I223" s="19"/>
      <c r="J223" s="177"/>
      <c r="K223" s="177"/>
      <c r="L223" s="152"/>
      <c r="M223" s="152"/>
      <c r="N223" s="152"/>
      <c r="O223" s="152"/>
      <c r="P223" s="152"/>
      <c r="Q223" s="152"/>
      <c r="R223" s="152"/>
      <c r="S223" s="152"/>
      <c r="T223" s="152"/>
      <c r="U223" s="152"/>
      <c r="V223" s="152"/>
      <c r="W223" s="152"/>
      <c r="X223" s="152"/>
      <c r="Y223" s="174">
        <f>+Y229-SUM(Y221:Y222)</f>
        <v>0.875</v>
      </c>
      <c r="Z223" s="174">
        <f>+Y223</f>
        <v>0.875</v>
      </c>
      <c r="AA223" s="174">
        <f t="shared" ref="AA223:AB223" si="1199">+Z223</f>
        <v>0.875</v>
      </c>
      <c r="AB223" s="174">
        <f t="shared" si="1199"/>
        <v>0.875</v>
      </c>
      <c r="AK223" s="19"/>
      <c r="AL223" s="19"/>
      <c r="AM223" s="17">
        <f t="shared" si="1191"/>
        <v>0</v>
      </c>
      <c r="AN223" s="17">
        <f t="shared" si="1192"/>
        <v>0</v>
      </c>
      <c r="AO223" s="17">
        <f t="shared" si="1193"/>
        <v>0</v>
      </c>
      <c r="AP223" s="17">
        <f t="shared" si="1194"/>
        <v>0</v>
      </c>
      <c r="AQ223" s="17">
        <f t="shared" si="1195"/>
        <v>2.625</v>
      </c>
      <c r="AR223" s="17">
        <f t="shared" si="1196"/>
        <v>0.875</v>
      </c>
      <c r="AS223" s="17">
        <f t="shared" si="1197"/>
        <v>0</v>
      </c>
    </row>
    <row r="224" spans="2:45" x14ac:dyDescent="0.2">
      <c r="B224" s="47" t="s">
        <v>279</v>
      </c>
      <c r="D224" s="19"/>
      <c r="E224" s="19"/>
      <c r="F224" s="19"/>
      <c r="G224" s="19"/>
      <c r="H224" s="19"/>
      <c r="I224" s="19"/>
      <c r="J224" s="19"/>
      <c r="K224" s="19"/>
      <c r="AA224" s="174">
        <f>+$J$208/4</f>
        <v>9.0583333333333336</v>
      </c>
      <c r="AB224" s="174">
        <f>+$J$208/4</f>
        <v>9.0583333333333336</v>
      </c>
      <c r="AC224" s="174">
        <f>+$J$208/4</f>
        <v>9.0583333333333336</v>
      </c>
      <c r="AD224" s="174">
        <f>+$J$208/4</f>
        <v>9.0583333333333336</v>
      </c>
      <c r="AK224" s="19"/>
      <c r="AL224" s="19"/>
      <c r="AM224" s="17">
        <f t="shared" si="1191"/>
        <v>0</v>
      </c>
      <c r="AN224" s="17">
        <f t="shared" si="1192"/>
        <v>0</v>
      </c>
      <c r="AO224" s="17">
        <f t="shared" si="1193"/>
        <v>0</v>
      </c>
      <c r="AP224" s="17">
        <f t="shared" si="1194"/>
        <v>0</v>
      </c>
      <c r="AQ224" s="17">
        <f t="shared" si="1195"/>
        <v>9.0583333333333336</v>
      </c>
      <c r="AR224" s="17">
        <f t="shared" si="1196"/>
        <v>27.175000000000001</v>
      </c>
      <c r="AS224" s="17">
        <f t="shared" si="1197"/>
        <v>0</v>
      </c>
    </row>
    <row r="225" spans="2:45" x14ac:dyDescent="0.2">
      <c r="B225" s="47" t="s">
        <v>275</v>
      </c>
      <c r="D225" s="19"/>
      <c r="E225" s="19"/>
      <c r="F225" s="19"/>
      <c r="G225" s="19"/>
      <c r="H225" s="19"/>
      <c r="I225" s="19"/>
      <c r="J225" s="19"/>
      <c r="K225" s="19"/>
      <c r="AA225" s="176">
        <v>66.599999999999994</v>
      </c>
      <c r="AB225" s="174">
        <v>80</v>
      </c>
      <c r="AC225" s="174">
        <v>80</v>
      </c>
      <c r="AD225" s="174">
        <v>80</v>
      </c>
      <c r="AE225" s="174">
        <f>100-AA225</f>
        <v>33.400000000000006</v>
      </c>
      <c r="AF225" s="174"/>
      <c r="AG225" s="174"/>
      <c r="AH225" s="174"/>
      <c r="AI225" s="174"/>
      <c r="AK225" s="19"/>
      <c r="AL225" s="19"/>
      <c r="AM225" s="17">
        <f t="shared" si="1191"/>
        <v>0</v>
      </c>
      <c r="AN225" s="17">
        <f t="shared" si="1192"/>
        <v>0</v>
      </c>
      <c r="AO225" s="17">
        <f t="shared" si="1193"/>
        <v>0</v>
      </c>
      <c r="AP225" s="17">
        <f t="shared" si="1194"/>
        <v>0</v>
      </c>
      <c r="AQ225" s="17">
        <f t="shared" si="1195"/>
        <v>66.599999999999994</v>
      </c>
      <c r="AR225" s="17">
        <f t="shared" si="1196"/>
        <v>273.39999999999998</v>
      </c>
      <c r="AS225" s="17">
        <f t="shared" si="1197"/>
        <v>0</v>
      </c>
    </row>
    <row r="226" spans="2:45" x14ac:dyDescent="0.2">
      <c r="B226" s="47" t="s">
        <v>295</v>
      </c>
      <c r="D226" s="19"/>
      <c r="E226" s="19"/>
      <c r="F226" s="19"/>
      <c r="G226" s="19"/>
      <c r="H226" s="19"/>
      <c r="I226" s="19"/>
      <c r="J226" s="19"/>
      <c r="K226" s="19"/>
      <c r="AA226" s="176"/>
      <c r="AB226" s="174"/>
      <c r="AC226" s="174">
        <f>+$J$210/12*0.5</f>
        <v>3.4069444444444446</v>
      </c>
      <c r="AD226" s="174">
        <f>+$J$210/12*3</f>
        <v>20.441666666666666</v>
      </c>
      <c r="AE226" s="174">
        <f>+$J$210/12*3</f>
        <v>20.441666666666666</v>
      </c>
      <c r="AF226" s="174">
        <f>+$J$210/12*3</f>
        <v>20.441666666666666</v>
      </c>
      <c r="AG226" s="174">
        <f>+$J$210/12*3-AC226</f>
        <v>17.034722222222221</v>
      </c>
      <c r="AH226" s="174"/>
      <c r="AI226" s="174"/>
      <c r="AK226" s="19"/>
      <c r="AL226" s="19"/>
      <c r="AM226" s="17">
        <f t="shared" si="1191"/>
        <v>0</v>
      </c>
      <c r="AN226" s="17">
        <f t="shared" si="1192"/>
        <v>0</v>
      </c>
      <c r="AO226" s="17">
        <f t="shared" si="1193"/>
        <v>0</v>
      </c>
      <c r="AP226" s="17">
        <f t="shared" si="1194"/>
        <v>0</v>
      </c>
      <c r="AQ226" s="17">
        <f t="shared" si="1195"/>
        <v>0</v>
      </c>
      <c r="AR226" s="17">
        <f t="shared" si="1196"/>
        <v>44.290277777777774</v>
      </c>
      <c r="AS226" s="17">
        <f t="shared" si="1197"/>
        <v>37.476388888888891</v>
      </c>
    </row>
    <row r="227" spans="2:45" x14ac:dyDescent="0.2">
      <c r="B227" s="47" t="s">
        <v>294</v>
      </c>
      <c r="D227" s="19"/>
      <c r="E227" s="19"/>
      <c r="F227" s="19"/>
      <c r="G227" s="19"/>
      <c r="H227" s="19"/>
      <c r="I227" s="19"/>
      <c r="J227" s="19"/>
      <c r="K227" s="19"/>
      <c r="AA227" s="176"/>
      <c r="AB227" s="174"/>
      <c r="AC227" s="174">
        <f>3.75*0.5</f>
        <v>1.875</v>
      </c>
      <c r="AD227" s="174">
        <f>3.75*3</f>
        <v>11.25</v>
      </c>
      <c r="AE227" s="174">
        <f>3.75*3</f>
        <v>11.25</v>
      </c>
      <c r="AF227" s="174">
        <f>3.75*3</f>
        <v>11.25</v>
      </c>
      <c r="AG227" s="174">
        <f>3.75*3-AC227</f>
        <v>9.375</v>
      </c>
      <c r="AH227" s="174"/>
      <c r="AI227" s="174"/>
      <c r="AK227" s="19"/>
      <c r="AL227" s="19"/>
      <c r="AM227" s="17">
        <f t="shared" si="1191"/>
        <v>0</v>
      </c>
      <c r="AN227" s="17">
        <f t="shared" si="1192"/>
        <v>0</v>
      </c>
      <c r="AO227" s="17">
        <f t="shared" si="1193"/>
        <v>0</v>
      </c>
      <c r="AP227" s="17">
        <f t="shared" si="1194"/>
        <v>0</v>
      </c>
      <c r="AQ227" s="17">
        <f t="shared" si="1195"/>
        <v>0</v>
      </c>
      <c r="AR227" s="17">
        <f t="shared" si="1196"/>
        <v>24.375</v>
      </c>
      <c r="AS227" s="17">
        <f t="shared" si="1197"/>
        <v>20.625</v>
      </c>
    </row>
    <row r="228" spans="2:45" ht="13.5" x14ac:dyDescent="0.35">
      <c r="B228" s="47" t="s">
        <v>364</v>
      </c>
      <c r="D228" s="19"/>
      <c r="E228" s="19"/>
      <c r="F228" s="19"/>
      <c r="G228" s="19"/>
      <c r="H228" s="19"/>
      <c r="I228" s="19"/>
      <c r="J228" s="19"/>
      <c r="K228" s="19"/>
      <c r="AA228" s="176"/>
      <c r="AB228" s="174"/>
      <c r="AC228" s="174"/>
      <c r="AD228" s="174"/>
      <c r="AE228" s="174">
        <f>+$J$212/52*6</f>
        <v>6.9230769230769225</v>
      </c>
      <c r="AF228" s="174">
        <f>+$J$212/4</f>
        <v>15</v>
      </c>
      <c r="AG228" s="174">
        <f>+$J$212/4</f>
        <v>15</v>
      </c>
      <c r="AH228" s="174">
        <f>+$J$212/4</f>
        <v>15</v>
      </c>
      <c r="AI228" s="174">
        <f>+$J$212/4-AE228</f>
        <v>8.0769230769230766</v>
      </c>
      <c r="AK228" s="19"/>
      <c r="AL228" s="19"/>
      <c r="AM228" s="18">
        <f t="shared" ref="AM228" si="1200">+SUM(H228:K228)</f>
        <v>0</v>
      </c>
      <c r="AN228" s="18">
        <f t="shared" ref="AN228" si="1201">+SUM(L228:O228)</f>
        <v>0</v>
      </c>
      <c r="AO228" s="18">
        <f t="shared" ref="AO228" si="1202">+SUM(P228:S228)</f>
        <v>0</v>
      </c>
      <c r="AP228" s="18">
        <f t="shared" ref="AP228" si="1203">+SUM(T228:W228)</f>
        <v>0</v>
      </c>
      <c r="AQ228" s="18">
        <f t="shared" ref="AQ228" si="1204">+SUM(X228:AA228)</f>
        <v>0</v>
      </c>
      <c r="AR228" s="18">
        <f t="shared" ref="AR228" si="1205">+SUM(AB228:AE228)</f>
        <v>6.9230769230769225</v>
      </c>
      <c r="AS228" s="18">
        <f t="shared" ref="AS228" si="1206">+SUM(AF228:AI228)</f>
        <v>53.07692307692308</v>
      </c>
    </row>
    <row r="229" spans="2:45" s="1" customFormat="1" x14ac:dyDescent="0.2">
      <c r="B229" s="171" t="s">
        <v>293</v>
      </c>
      <c r="D229" s="26"/>
      <c r="E229" s="26"/>
      <c r="F229" s="26"/>
      <c r="G229" s="26"/>
      <c r="H229" s="26"/>
      <c r="I229" s="26"/>
      <c r="J229" s="178">
        <f t="shared" ref="J229:O229" si="1207">+SUM(J215:J227)</f>
        <v>2.666666666666667</v>
      </c>
      <c r="K229" s="178">
        <f t="shared" si="1207"/>
        <v>2.1333333333333329</v>
      </c>
      <c r="L229" s="178">
        <f t="shared" si="1207"/>
        <v>3.7</v>
      </c>
      <c r="M229" s="178">
        <f t="shared" si="1207"/>
        <v>3.7</v>
      </c>
      <c r="N229" s="178">
        <f t="shared" si="1207"/>
        <v>2.4666666666666668</v>
      </c>
      <c r="O229" s="178">
        <f t="shared" si="1207"/>
        <v>1.6666666666666665</v>
      </c>
      <c r="P229" s="179">
        <v>4.8</v>
      </c>
      <c r="Q229" s="179">
        <v>5.9</v>
      </c>
      <c r="R229" s="179">
        <v>10.199999999999999</v>
      </c>
      <c r="S229" s="179">
        <f>29.9-SUM(P229:R229)</f>
        <v>9</v>
      </c>
      <c r="T229" s="179">
        <v>6</v>
      </c>
      <c r="U229" s="179">
        <v>4.4000000000000004</v>
      </c>
      <c r="V229" s="179">
        <v>4.7</v>
      </c>
      <c r="W229" s="179">
        <f>20.9-SUM(T229:V229)</f>
        <v>5.7999999999999972</v>
      </c>
      <c r="X229" s="179">
        <v>3.8</v>
      </c>
      <c r="Y229" s="179">
        <v>3.8</v>
      </c>
      <c r="Z229" s="178">
        <f t="shared" ref="Z229:AE229" si="1208">+SUM(Z215:Z228)</f>
        <v>2.2999999999999998</v>
      </c>
      <c r="AA229" s="178">
        <f t="shared" si="1208"/>
        <v>76.533333333333331</v>
      </c>
      <c r="AB229" s="178">
        <f t="shared" si="1208"/>
        <v>89.933333333333337</v>
      </c>
      <c r="AC229" s="178">
        <f t="shared" si="1208"/>
        <v>94.340277777777786</v>
      </c>
      <c r="AD229" s="178">
        <f t="shared" si="1208"/>
        <v>120.75</v>
      </c>
      <c r="AE229" s="178">
        <f t="shared" si="1208"/>
        <v>72.014743589743588</v>
      </c>
      <c r="AF229" s="178">
        <f>+SUM(AF215:AF228)</f>
        <v>46.691666666666663</v>
      </c>
      <c r="AG229" s="178">
        <f t="shared" ref="AG229:AI229" si="1209">+SUM(AG215:AG228)</f>
        <v>41.409722222222221</v>
      </c>
      <c r="AH229" s="178">
        <f t="shared" si="1209"/>
        <v>15</v>
      </c>
      <c r="AI229" s="178">
        <f t="shared" si="1209"/>
        <v>8.0769230769230766</v>
      </c>
      <c r="AK229" s="26"/>
      <c r="AL229" s="26"/>
      <c r="AM229" s="34">
        <f t="shared" si="1191"/>
        <v>4.8</v>
      </c>
      <c r="AN229" s="34">
        <f t="shared" si="1192"/>
        <v>11.533333333333333</v>
      </c>
      <c r="AO229" s="34">
        <f t="shared" si="1193"/>
        <v>29.9</v>
      </c>
      <c r="AP229" s="34">
        <f t="shared" si="1194"/>
        <v>20.9</v>
      </c>
      <c r="AQ229" s="34">
        <f t="shared" si="1195"/>
        <v>86.433333333333337</v>
      </c>
      <c r="AR229" s="34">
        <f t="shared" si="1196"/>
        <v>377.03835470085471</v>
      </c>
      <c r="AS229" s="34">
        <f t="shared" si="1197"/>
        <v>111.17831196581197</v>
      </c>
    </row>
    <row r="230" spans="2:45" x14ac:dyDescent="0.2">
      <c r="B230" s="47"/>
      <c r="D230" s="19"/>
      <c r="E230" s="19"/>
      <c r="F230" s="19"/>
      <c r="G230" s="19"/>
      <c r="H230" s="19"/>
      <c r="I230" s="19"/>
      <c r="J230" s="19"/>
      <c r="K230" s="19"/>
      <c r="AK230" s="19"/>
      <c r="AL230" s="19"/>
      <c r="AM230" s="19"/>
      <c r="AN230" s="19"/>
      <c r="AO230" s="19"/>
      <c r="AP230" s="19"/>
      <c r="AQ230" s="19"/>
      <c r="AR230" s="19"/>
      <c r="AS230" s="19"/>
    </row>
    <row r="231" spans="2:45" x14ac:dyDescent="0.2">
      <c r="B231" s="173" t="s">
        <v>183</v>
      </c>
      <c r="D231" s="19"/>
      <c r="E231" s="19"/>
      <c r="F231" s="19"/>
      <c r="G231" s="19"/>
      <c r="H231" s="19"/>
      <c r="I231" s="19"/>
      <c r="J231" s="19"/>
      <c r="K231" s="19"/>
      <c r="AK231" s="19"/>
      <c r="AL231" s="19"/>
      <c r="AM231" s="19"/>
      <c r="AN231" s="19"/>
      <c r="AO231" s="19"/>
      <c r="AP231" s="19"/>
      <c r="AQ231" s="19"/>
      <c r="AR231" s="19"/>
      <c r="AS231" s="19"/>
    </row>
    <row r="232" spans="2:45" x14ac:dyDescent="0.2">
      <c r="B232" s="63" t="s">
        <v>460</v>
      </c>
      <c r="D232" s="19"/>
      <c r="E232" s="19"/>
      <c r="F232" s="19"/>
      <c r="G232" s="19"/>
      <c r="H232" s="19"/>
      <c r="I232" s="19"/>
      <c r="J232" s="180">
        <v>0</v>
      </c>
      <c r="K232" s="180">
        <v>0</v>
      </c>
      <c r="L232" s="180">
        <v>0</v>
      </c>
      <c r="M232" s="180">
        <v>0</v>
      </c>
      <c r="N232" s="180">
        <v>0</v>
      </c>
      <c r="O232" s="180">
        <v>0</v>
      </c>
      <c r="P232" s="180">
        <v>0</v>
      </c>
      <c r="Q232" s="180">
        <v>0</v>
      </c>
      <c r="R232" s="180">
        <v>0</v>
      </c>
      <c r="S232" s="180">
        <v>0</v>
      </c>
      <c r="T232" s="180">
        <v>0</v>
      </c>
      <c r="U232" s="180">
        <v>0</v>
      </c>
      <c r="V232" s="180">
        <v>0</v>
      </c>
      <c r="W232" s="180">
        <v>0</v>
      </c>
      <c r="X232" s="180">
        <v>0</v>
      </c>
      <c r="Y232" s="180">
        <v>0</v>
      </c>
      <c r="Z232" s="180">
        <v>0</v>
      </c>
      <c r="AA232" s="182">
        <f>+AA225</f>
        <v>66.599999999999994</v>
      </c>
      <c r="AB232" s="182">
        <f>+AB225</f>
        <v>80</v>
      </c>
      <c r="AC232" s="182">
        <f t="shared" ref="AC232:AG232" si="1210">+AC225</f>
        <v>80</v>
      </c>
      <c r="AD232" s="182">
        <f t="shared" si="1210"/>
        <v>80</v>
      </c>
      <c r="AE232" s="182">
        <f t="shared" si="1210"/>
        <v>33.400000000000006</v>
      </c>
      <c r="AF232" s="180">
        <f t="shared" si="1210"/>
        <v>0</v>
      </c>
      <c r="AG232" s="180">
        <f t="shared" si="1210"/>
        <v>0</v>
      </c>
      <c r="AH232" s="180">
        <f t="shared" ref="AH232:AI232" si="1211">+AH225</f>
        <v>0</v>
      </c>
      <c r="AI232" s="180">
        <f t="shared" si="1211"/>
        <v>0</v>
      </c>
      <c r="AK232" s="19"/>
      <c r="AL232" s="19"/>
      <c r="AM232" s="52">
        <f t="shared" ref="AM232" si="1212">+SUM(H232:K232)</f>
        <v>0</v>
      </c>
      <c r="AN232" s="52">
        <f t="shared" ref="AN232" si="1213">+SUM(L232:O232)</f>
        <v>0</v>
      </c>
      <c r="AO232" s="52">
        <f t="shared" ref="AO232" si="1214">+SUM(P232:S232)</f>
        <v>0</v>
      </c>
      <c r="AP232" s="52">
        <f t="shared" ref="AP232" si="1215">+SUM(T232:W232)</f>
        <v>0</v>
      </c>
      <c r="AQ232" s="52">
        <f t="shared" ref="AQ232" si="1216">+SUM(X232:AA232)</f>
        <v>66.599999999999994</v>
      </c>
      <c r="AR232" s="52">
        <f t="shared" ref="AR232" si="1217">+SUM(AB232:AE232)</f>
        <v>273.39999999999998</v>
      </c>
      <c r="AS232" s="52">
        <f t="shared" ref="AS232:AS235" si="1218">+SUM(AF232:AI232)</f>
        <v>0</v>
      </c>
    </row>
    <row r="233" spans="2:45" x14ac:dyDescent="0.2">
      <c r="B233" s="63" t="s">
        <v>458</v>
      </c>
      <c r="D233" s="19"/>
      <c r="E233" s="19"/>
      <c r="F233" s="19"/>
      <c r="G233" s="19"/>
      <c r="H233" s="19"/>
      <c r="I233" s="19"/>
      <c r="J233" s="180">
        <v>0</v>
      </c>
      <c r="K233" s="180">
        <v>0</v>
      </c>
      <c r="L233" s="180">
        <v>0</v>
      </c>
      <c r="M233" s="180">
        <v>0</v>
      </c>
      <c r="N233" s="180">
        <v>0</v>
      </c>
      <c r="O233" s="180">
        <v>0</v>
      </c>
      <c r="P233" s="180">
        <v>0</v>
      </c>
      <c r="Q233" s="180">
        <v>0</v>
      </c>
      <c r="R233" s="180">
        <v>0</v>
      </c>
      <c r="S233" s="180">
        <v>0</v>
      </c>
      <c r="T233" s="180">
        <v>0</v>
      </c>
      <c r="U233" s="180">
        <v>0</v>
      </c>
      <c r="V233" s="180">
        <v>0</v>
      </c>
      <c r="W233" s="180">
        <v>0</v>
      </c>
      <c r="X233" s="180">
        <v>0</v>
      </c>
      <c r="Y233" s="180">
        <v>0</v>
      </c>
      <c r="Z233" s="180">
        <v>0</v>
      </c>
      <c r="AA233" s="180">
        <v>0</v>
      </c>
      <c r="AB233" s="180">
        <v>0</v>
      </c>
      <c r="AC233" s="180">
        <v>0</v>
      </c>
      <c r="AD233" s="180">
        <v>0</v>
      </c>
      <c r="AE233" s="180">
        <v>0</v>
      </c>
      <c r="AF233" s="180">
        <v>0</v>
      </c>
      <c r="AG233" s="180">
        <v>0</v>
      </c>
      <c r="AH233" s="180">
        <v>0</v>
      </c>
      <c r="AI233" s="180">
        <v>0</v>
      </c>
      <c r="AK233" s="19"/>
      <c r="AL233" s="19"/>
      <c r="AM233" s="52">
        <f t="shared" ref="AM233:AM235" si="1219">+SUM(H233:K233)</f>
        <v>0</v>
      </c>
      <c r="AN233" s="52">
        <f t="shared" ref="AN233:AN235" si="1220">+SUM(L233:O233)</f>
        <v>0</v>
      </c>
      <c r="AO233" s="52">
        <f t="shared" ref="AO233:AO235" si="1221">+SUM(P233:S233)</f>
        <v>0</v>
      </c>
      <c r="AP233" s="52">
        <f t="shared" ref="AP233:AP235" si="1222">+SUM(T233:W233)</f>
        <v>0</v>
      </c>
      <c r="AQ233" s="52">
        <f t="shared" ref="AQ233:AQ235" si="1223">+SUM(X233:AA233)</f>
        <v>0</v>
      </c>
      <c r="AR233" s="52">
        <f t="shared" ref="AR233:AR235" si="1224">+SUM(AB233:AE233)</f>
        <v>0</v>
      </c>
      <c r="AS233" s="52">
        <f t="shared" si="1218"/>
        <v>0</v>
      </c>
    </row>
    <row r="234" spans="2:45" ht="13.5" x14ac:dyDescent="0.35">
      <c r="B234" s="63" t="s">
        <v>459</v>
      </c>
      <c r="D234" s="19"/>
      <c r="E234" s="19"/>
      <c r="F234" s="19"/>
      <c r="G234" s="19"/>
      <c r="H234" s="19"/>
      <c r="I234" s="19"/>
      <c r="J234" s="181">
        <f>+J235-SUM(J232:J233)</f>
        <v>2.666666666666667</v>
      </c>
      <c r="K234" s="181">
        <f t="shared" ref="K234:AB234" si="1225">+K235-SUM(K232:K233)</f>
        <v>2.1333333333333329</v>
      </c>
      <c r="L234" s="181">
        <f t="shared" si="1225"/>
        <v>3.7</v>
      </c>
      <c r="M234" s="181">
        <f t="shared" si="1225"/>
        <v>3.7</v>
      </c>
      <c r="N234" s="181">
        <f t="shared" si="1225"/>
        <v>2.4666666666666668</v>
      </c>
      <c r="O234" s="181">
        <f t="shared" si="1225"/>
        <v>1.6666666666666665</v>
      </c>
      <c r="P234" s="181">
        <f t="shared" si="1225"/>
        <v>4.8</v>
      </c>
      <c r="Q234" s="181">
        <f t="shared" si="1225"/>
        <v>5.9</v>
      </c>
      <c r="R234" s="181">
        <f t="shared" si="1225"/>
        <v>10.199999999999999</v>
      </c>
      <c r="S234" s="181">
        <f t="shared" si="1225"/>
        <v>9</v>
      </c>
      <c r="T234" s="181">
        <f t="shared" si="1225"/>
        <v>6</v>
      </c>
      <c r="U234" s="181">
        <f t="shared" si="1225"/>
        <v>4.4000000000000004</v>
      </c>
      <c r="V234" s="181">
        <f t="shared" si="1225"/>
        <v>4.7</v>
      </c>
      <c r="W234" s="181">
        <f t="shared" si="1225"/>
        <v>5.7999999999999972</v>
      </c>
      <c r="X234" s="181">
        <f t="shared" si="1225"/>
        <v>3.8</v>
      </c>
      <c r="Y234" s="181">
        <f t="shared" si="1225"/>
        <v>3.8</v>
      </c>
      <c r="Z234" s="181">
        <f t="shared" si="1225"/>
        <v>2.2999999999999998</v>
      </c>
      <c r="AA234" s="181">
        <f t="shared" si="1225"/>
        <v>9.9333333333333371</v>
      </c>
      <c r="AB234" s="181">
        <f t="shared" si="1225"/>
        <v>9.9333333333333371</v>
      </c>
      <c r="AC234" s="181">
        <f t="shared" ref="AC234" si="1226">+AC235-SUM(AC232:AC233)</f>
        <v>14.340277777777786</v>
      </c>
      <c r="AD234" s="181">
        <f t="shared" ref="AD234" si="1227">+AD235-SUM(AD232:AD233)</f>
        <v>40.75</v>
      </c>
      <c r="AE234" s="181">
        <f t="shared" ref="AE234" si="1228">+AE235-SUM(AE232:AE233)</f>
        <v>38.614743589743583</v>
      </c>
      <c r="AF234" s="181">
        <f t="shared" ref="AF234" si="1229">+AF235-SUM(AF232:AF233)</f>
        <v>46.691666666666663</v>
      </c>
      <c r="AG234" s="181">
        <f t="shared" ref="AG234" si="1230">+AG235-SUM(AG232:AG233)</f>
        <v>41.409722222222221</v>
      </c>
      <c r="AH234" s="181">
        <f t="shared" ref="AH234" si="1231">+AH235-SUM(AH232:AH233)</f>
        <v>15</v>
      </c>
      <c r="AI234" s="181">
        <f t="shared" ref="AI234" si="1232">+AI235-SUM(AI232:AI233)</f>
        <v>8.0769230769230766</v>
      </c>
      <c r="AK234" s="19"/>
      <c r="AL234" s="19"/>
      <c r="AM234" s="183">
        <f t="shared" si="1219"/>
        <v>4.8</v>
      </c>
      <c r="AN234" s="183">
        <f t="shared" si="1220"/>
        <v>11.533333333333333</v>
      </c>
      <c r="AO234" s="183">
        <f t="shared" si="1221"/>
        <v>29.9</v>
      </c>
      <c r="AP234" s="183">
        <f t="shared" si="1222"/>
        <v>20.9</v>
      </c>
      <c r="AQ234" s="183">
        <f t="shared" si="1223"/>
        <v>19.833333333333336</v>
      </c>
      <c r="AR234" s="183">
        <f t="shared" si="1224"/>
        <v>103.63835470085471</v>
      </c>
      <c r="AS234" s="183">
        <f t="shared" si="1218"/>
        <v>111.17831196581197</v>
      </c>
    </row>
    <row r="235" spans="2:45" x14ac:dyDescent="0.2">
      <c r="B235" s="51" t="s">
        <v>293</v>
      </c>
      <c r="D235" s="19"/>
      <c r="E235" s="19"/>
      <c r="F235" s="19"/>
      <c r="G235" s="19"/>
      <c r="H235" s="19"/>
      <c r="I235" s="19"/>
      <c r="J235" s="177">
        <f>+J229</f>
        <v>2.666666666666667</v>
      </c>
      <c r="K235" s="177">
        <f t="shared" ref="K235:Y235" si="1233">+K229</f>
        <v>2.1333333333333329</v>
      </c>
      <c r="L235" s="177">
        <f t="shared" si="1233"/>
        <v>3.7</v>
      </c>
      <c r="M235" s="177">
        <f t="shared" si="1233"/>
        <v>3.7</v>
      </c>
      <c r="N235" s="177">
        <f t="shared" si="1233"/>
        <v>2.4666666666666668</v>
      </c>
      <c r="O235" s="177">
        <f t="shared" si="1233"/>
        <v>1.6666666666666665</v>
      </c>
      <c r="P235" s="177">
        <f t="shared" si="1233"/>
        <v>4.8</v>
      </c>
      <c r="Q235" s="177">
        <f t="shared" si="1233"/>
        <v>5.9</v>
      </c>
      <c r="R235" s="177">
        <f t="shared" si="1233"/>
        <v>10.199999999999999</v>
      </c>
      <c r="S235" s="177">
        <f t="shared" si="1233"/>
        <v>9</v>
      </c>
      <c r="T235" s="177">
        <f t="shared" si="1233"/>
        <v>6</v>
      </c>
      <c r="U235" s="177">
        <f t="shared" si="1233"/>
        <v>4.4000000000000004</v>
      </c>
      <c r="V235" s="177">
        <f t="shared" si="1233"/>
        <v>4.7</v>
      </c>
      <c r="W235" s="177">
        <f t="shared" si="1233"/>
        <v>5.7999999999999972</v>
      </c>
      <c r="X235" s="177">
        <f t="shared" si="1233"/>
        <v>3.8</v>
      </c>
      <c r="Y235" s="177">
        <f t="shared" si="1233"/>
        <v>3.8</v>
      </c>
      <c r="Z235" s="177">
        <f t="shared" ref="Z235:AA235" si="1234">+Z229</f>
        <v>2.2999999999999998</v>
      </c>
      <c r="AA235" s="177">
        <f t="shared" si="1234"/>
        <v>76.533333333333331</v>
      </c>
      <c r="AB235" s="177">
        <f t="shared" ref="AB235:AG235" si="1235">+AB229</f>
        <v>89.933333333333337</v>
      </c>
      <c r="AC235" s="177">
        <f t="shared" si="1235"/>
        <v>94.340277777777786</v>
      </c>
      <c r="AD235" s="177">
        <f t="shared" si="1235"/>
        <v>120.75</v>
      </c>
      <c r="AE235" s="177">
        <f t="shared" si="1235"/>
        <v>72.014743589743588</v>
      </c>
      <c r="AF235" s="177">
        <f t="shared" si="1235"/>
        <v>46.691666666666663</v>
      </c>
      <c r="AG235" s="177">
        <f t="shared" si="1235"/>
        <v>41.409722222222221</v>
      </c>
      <c r="AH235" s="177">
        <f t="shared" ref="AH235:AI235" si="1236">+AH229</f>
        <v>15</v>
      </c>
      <c r="AI235" s="177">
        <f t="shared" si="1236"/>
        <v>8.0769230769230766</v>
      </c>
      <c r="AK235" s="19"/>
      <c r="AL235" s="19"/>
      <c r="AM235" s="52">
        <f t="shared" si="1219"/>
        <v>4.8</v>
      </c>
      <c r="AN235" s="52">
        <f t="shared" si="1220"/>
        <v>11.533333333333333</v>
      </c>
      <c r="AO235" s="52">
        <f t="shared" si="1221"/>
        <v>29.9</v>
      </c>
      <c r="AP235" s="52">
        <f t="shared" si="1222"/>
        <v>20.9</v>
      </c>
      <c r="AQ235" s="52">
        <f t="shared" si="1223"/>
        <v>86.433333333333337</v>
      </c>
      <c r="AR235" s="52">
        <f t="shared" si="1224"/>
        <v>377.03835470085471</v>
      </c>
      <c r="AS235" s="52">
        <f t="shared" si="1218"/>
        <v>111.17831196581197</v>
      </c>
    </row>
    <row r="236" spans="2:45" x14ac:dyDescent="0.2">
      <c r="B236" s="47"/>
      <c r="D236" s="19"/>
      <c r="E236" s="19"/>
      <c r="F236" s="19"/>
      <c r="G236" s="19"/>
      <c r="H236" s="19"/>
      <c r="I236" s="19"/>
      <c r="J236" s="19"/>
      <c r="K236" s="19"/>
      <c r="AK236" s="19"/>
      <c r="AL236" s="19"/>
      <c r="AM236" s="19"/>
      <c r="AN236" s="19"/>
      <c r="AO236" s="19"/>
      <c r="AP236" s="19"/>
      <c r="AQ236" s="19"/>
      <c r="AR236" s="19"/>
      <c r="AS236" s="19"/>
    </row>
    <row r="237" spans="2:45" x14ac:dyDescent="0.2">
      <c r="B237" s="170" t="s">
        <v>300</v>
      </c>
      <c r="D237" s="19"/>
      <c r="E237" s="19"/>
      <c r="F237" s="19"/>
      <c r="G237" s="19"/>
      <c r="H237" s="19"/>
      <c r="I237" s="19"/>
      <c r="J237" s="19"/>
      <c r="K237" s="19"/>
      <c r="AK237" s="19"/>
      <c r="AL237" s="19"/>
      <c r="AM237" s="19"/>
      <c r="AN237" s="19"/>
      <c r="AO237" s="19"/>
      <c r="AP237" s="19"/>
      <c r="AQ237" s="19"/>
      <c r="AR237" s="19"/>
      <c r="AS237" s="19"/>
    </row>
    <row r="238" spans="2:45" x14ac:dyDescent="0.2">
      <c r="B238" s="47" t="s">
        <v>288</v>
      </c>
      <c r="D238" s="19"/>
      <c r="E238" s="19"/>
      <c r="F238" s="19"/>
      <c r="G238" s="19"/>
      <c r="H238" s="19"/>
      <c r="I238" s="19"/>
      <c r="J238" s="176">
        <f>+SUM(L238:N238)-7.2</f>
        <v>2.666666666666667</v>
      </c>
      <c r="K238" s="176">
        <f>4.8-J238</f>
        <v>2.1333333333333329</v>
      </c>
      <c r="L238" s="176">
        <v>3.7</v>
      </c>
      <c r="M238" s="176">
        <v>3.7</v>
      </c>
      <c r="N238" s="174">
        <f>+M238/3*2</f>
        <v>2.4666666666666668</v>
      </c>
      <c r="O238" s="152"/>
      <c r="P238" s="152"/>
      <c r="Q238" s="152"/>
      <c r="R238" s="152"/>
      <c r="S238" s="152"/>
      <c r="T238" s="152"/>
      <c r="U238" s="152"/>
      <c r="V238" s="152"/>
      <c r="W238" s="152"/>
      <c r="X238" s="152"/>
      <c r="Y238" s="152"/>
      <c r="AK238" s="19"/>
      <c r="AL238" s="19"/>
      <c r="AM238" s="17">
        <f>+SUM(H238:K238)</f>
        <v>4.8</v>
      </c>
      <c r="AN238" s="17">
        <f>+SUM(L238:O238)</f>
        <v>9.8666666666666671</v>
      </c>
      <c r="AO238" s="17">
        <f>+SUM(P238:S238)</f>
        <v>0</v>
      </c>
      <c r="AP238" s="17">
        <f>+SUM(T238:W238)</f>
        <v>0</v>
      </c>
      <c r="AQ238" s="17">
        <f>+SUM(X238:AA238)</f>
        <v>0</v>
      </c>
      <c r="AR238" s="17">
        <f>+SUM(AB238:AE238)</f>
        <v>0</v>
      </c>
      <c r="AS238" s="17">
        <f>+SUM(AF238:AI238)</f>
        <v>0</v>
      </c>
    </row>
    <row r="239" spans="2:45" x14ac:dyDescent="0.2">
      <c r="B239" s="47" t="s">
        <v>287</v>
      </c>
      <c r="D239" s="19"/>
      <c r="E239" s="19"/>
      <c r="F239" s="19"/>
      <c r="G239" s="19"/>
      <c r="H239" s="19"/>
      <c r="I239" s="19"/>
      <c r="J239" s="177"/>
      <c r="K239" s="177"/>
      <c r="L239" s="152"/>
      <c r="M239" s="152"/>
      <c r="N239" s="152"/>
      <c r="O239" s="174">
        <v>0</v>
      </c>
      <c r="P239" s="174">
        <v>0</v>
      </c>
      <c r="Q239" s="174">
        <v>0</v>
      </c>
      <c r="R239" s="174">
        <v>0</v>
      </c>
      <c r="S239" s="174">
        <v>0</v>
      </c>
      <c r="T239" s="152"/>
      <c r="U239" s="152"/>
      <c r="V239" s="152"/>
      <c r="W239" s="152"/>
      <c r="X239" s="152"/>
      <c r="Y239" s="152"/>
      <c r="AK239" s="19"/>
      <c r="AL239" s="19"/>
      <c r="AM239" s="17">
        <f t="shared" ref="AM239:AM252" si="1237">+SUM(H239:K239)</f>
        <v>0</v>
      </c>
      <c r="AN239" s="17">
        <f t="shared" ref="AN239:AN252" si="1238">+SUM(L239:O239)</f>
        <v>0</v>
      </c>
      <c r="AO239" s="17">
        <f t="shared" ref="AO239:AO252" si="1239">+SUM(P239:S239)</f>
        <v>0</v>
      </c>
      <c r="AP239" s="17">
        <f t="shared" ref="AP239:AP252" si="1240">+SUM(T239:W239)</f>
        <v>0</v>
      </c>
      <c r="AQ239" s="17">
        <f t="shared" ref="AQ239:AQ252" si="1241">+SUM(X239:AA239)</f>
        <v>0</v>
      </c>
      <c r="AR239" s="17">
        <f t="shared" ref="AR239:AR252" si="1242">+SUM(AB239:AE239)</f>
        <v>0</v>
      </c>
      <c r="AS239" s="17">
        <f t="shared" ref="AS239:AS252" si="1243">+SUM(AF239:AI239)</f>
        <v>0</v>
      </c>
    </row>
    <row r="240" spans="2:45" x14ac:dyDescent="0.2">
      <c r="B240" s="47" t="s">
        <v>286</v>
      </c>
      <c r="D240" s="19"/>
      <c r="E240" s="19"/>
      <c r="F240" s="19"/>
      <c r="G240" s="19"/>
      <c r="H240" s="19"/>
      <c r="I240" s="19"/>
      <c r="J240" s="177"/>
      <c r="K240" s="177"/>
      <c r="L240" s="152"/>
      <c r="M240" s="152"/>
      <c r="N240" s="152"/>
      <c r="O240" s="174">
        <f>+P240/3*2.5</f>
        <v>1.6666666666666665</v>
      </c>
      <c r="P240" s="174">
        <v>2</v>
      </c>
      <c r="Q240" s="174">
        <v>2</v>
      </c>
      <c r="R240" s="174">
        <v>3</v>
      </c>
      <c r="S240" s="174">
        <f>+R240-O240</f>
        <v>1.3333333333333335</v>
      </c>
      <c r="T240" s="152"/>
      <c r="U240" s="152"/>
      <c r="V240" s="152"/>
      <c r="W240" s="152"/>
      <c r="X240" s="152"/>
      <c r="Y240" s="152"/>
      <c r="AK240" s="19"/>
      <c r="AL240" s="19"/>
      <c r="AM240" s="17">
        <f t="shared" si="1237"/>
        <v>0</v>
      </c>
      <c r="AN240" s="17">
        <f t="shared" si="1238"/>
        <v>1.6666666666666665</v>
      </c>
      <c r="AO240" s="17">
        <f t="shared" si="1239"/>
        <v>8.3333333333333339</v>
      </c>
      <c r="AP240" s="17">
        <f t="shared" si="1240"/>
        <v>0</v>
      </c>
      <c r="AQ240" s="17">
        <f t="shared" si="1241"/>
        <v>0</v>
      </c>
      <c r="AR240" s="17">
        <f t="shared" si="1242"/>
        <v>0</v>
      </c>
      <c r="AS240" s="17">
        <f t="shared" si="1243"/>
        <v>0</v>
      </c>
    </row>
    <row r="241" spans="2:46" x14ac:dyDescent="0.2">
      <c r="B241" s="47" t="s">
        <v>285</v>
      </c>
      <c r="D241" s="19"/>
      <c r="E241" s="19"/>
      <c r="F241" s="19"/>
      <c r="G241" s="19"/>
      <c r="H241" s="19"/>
      <c r="I241" s="19"/>
      <c r="J241" s="177"/>
      <c r="K241" s="177"/>
      <c r="L241" s="152"/>
      <c r="M241" s="152"/>
      <c r="N241" s="152"/>
      <c r="O241" s="152"/>
      <c r="P241" s="174">
        <f>+P252-P240-P239</f>
        <v>2.8</v>
      </c>
      <c r="Q241" s="174">
        <f>+Q252-Q240-Q239</f>
        <v>3.9000000000000004</v>
      </c>
      <c r="R241" s="174">
        <v>6</v>
      </c>
      <c r="S241" s="174">
        <v>5</v>
      </c>
      <c r="T241" s="174">
        <v>2.5</v>
      </c>
      <c r="U241" s="152"/>
      <c r="V241" s="152"/>
      <c r="W241" s="152"/>
      <c r="X241" s="152"/>
      <c r="Y241" s="152"/>
      <c r="AK241" s="19"/>
      <c r="AL241" s="19"/>
      <c r="AM241" s="17">
        <f t="shared" si="1237"/>
        <v>0</v>
      </c>
      <c r="AN241" s="17">
        <f t="shared" si="1238"/>
        <v>0</v>
      </c>
      <c r="AO241" s="17">
        <f t="shared" si="1239"/>
        <v>17.7</v>
      </c>
      <c r="AP241" s="17">
        <f t="shared" si="1240"/>
        <v>2.5</v>
      </c>
      <c r="AQ241" s="17">
        <f t="shared" si="1241"/>
        <v>0</v>
      </c>
      <c r="AR241" s="17">
        <f t="shared" si="1242"/>
        <v>0</v>
      </c>
      <c r="AS241" s="17">
        <f t="shared" si="1243"/>
        <v>0</v>
      </c>
    </row>
    <row r="242" spans="2:46" x14ac:dyDescent="0.2">
      <c r="B242" s="47" t="s">
        <v>284</v>
      </c>
      <c r="D242" s="19"/>
      <c r="E242" s="19"/>
      <c r="F242" s="19"/>
      <c r="G242" s="19"/>
      <c r="H242" s="19"/>
      <c r="I242" s="19"/>
      <c r="J242" s="177"/>
      <c r="K242" s="177"/>
      <c r="L242" s="152"/>
      <c r="M242" s="152"/>
      <c r="N242" s="152"/>
      <c r="O242" s="152"/>
      <c r="P242" s="152"/>
      <c r="Q242" s="152"/>
      <c r="R242" s="174">
        <f>+R252-SUM(R239:R241)</f>
        <v>1.1999999999999993</v>
      </c>
      <c r="S242" s="174">
        <f>+S252-SUM(S239:S241)</f>
        <v>2.6666666666666661</v>
      </c>
      <c r="T242" s="174">
        <v>3</v>
      </c>
      <c r="U242" s="174">
        <f>+T242</f>
        <v>3</v>
      </c>
      <c r="V242" s="174">
        <f>+U242-R242</f>
        <v>1.8000000000000007</v>
      </c>
      <c r="W242" s="152"/>
      <c r="X242" s="152"/>
      <c r="Y242" s="152"/>
      <c r="AK242" s="19"/>
      <c r="AL242" s="19"/>
      <c r="AM242" s="17">
        <f t="shared" si="1237"/>
        <v>0</v>
      </c>
      <c r="AN242" s="17">
        <f t="shared" si="1238"/>
        <v>0</v>
      </c>
      <c r="AO242" s="17">
        <f t="shared" si="1239"/>
        <v>3.8666666666666654</v>
      </c>
      <c r="AP242" s="17">
        <f t="shared" si="1240"/>
        <v>7.8000000000000007</v>
      </c>
      <c r="AQ242" s="17">
        <f t="shared" si="1241"/>
        <v>0</v>
      </c>
      <c r="AR242" s="17">
        <f t="shared" si="1242"/>
        <v>0</v>
      </c>
      <c r="AS242" s="17">
        <f t="shared" si="1243"/>
        <v>0</v>
      </c>
    </row>
    <row r="243" spans="2:46" x14ac:dyDescent="0.2">
      <c r="B243" s="47" t="s">
        <v>283</v>
      </c>
      <c r="D243" s="19"/>
      <c r="E243" s="19"/>
      <c r="F243" s="19"/>
      <c r="G243" s="19"/>
      <c r="H243" s="19"/>
      <c r="I243" s="19"/>
      <c r="J243" s="177"/>
      <c r="K243" s="177"/>
      <c r="L243" s="152"/>
      <c r="M243" s="152"/>
      <c r="N243" s="152"/>
      <c r="O243" s="152"/>
      <c r="P243" s="152"/>
      <c r="Q243" s="152"/>
      <c r="R243" s="152"/>
      <c r="S243" s="152"/>
      <c r="T243" s="174">
        <f>+T252-SUM(T241:T242)</f>
        <v>0.5</v>
      </c>
      <c r="U243" s="174">
        <f>5*1.1/4</f>
        <v>1.375</v>
      </c>
      <c r="V243" s="174">
        <f t="shared" ref="V243:W243" si="1244">5*1.1/4</f>
        <v>1.375</v>
      </c>
      <c r="W243" s="174">
        <f t="shared" si="1244"/>
        <v>1.375</v>
      </c>
      <c r="X243" s="174">
        <f>5*1.1/4-T243</f>
        <v>0.875</v>
      </c>
      <c r="Y243" s="152"/>
      <c r="AK243" s="19"/>
      <c r="AL243" s="19"/>
      <c r="AM243" s="17">
        <f t="shared" si="1237"/>
        <v>0</v>
      </c>
      <c r="AN243" s="17">
        <f t="shared" si="1238"/>
        <v>0</v>
      </c>
      <c r="AO243" s="17">
        <f t="shared" si="1239"/>
        <v>0</v>
      </c>
      <c r="AP243" s="17">
        <f t="shared" si="1240"/>
        <v>4.625</v>
      </c>
      <c r="AQ243" s="17">
        <f t="shared" si="1241"/>
        <v>0.875</v>
      </c>
      <c r="AR243" s="17">
        <f t="shared" si="1242"/>
        <v>0</v>
      </c>
      <c r="AS243" s="17">
        <f t="shared" si="1243"/>
        <v>0</v>
      </c>
    </row>
    <row r="244" spans="2:46" x14ac:dyDescent="0.2">
      <c r="B244" s="47" t="s">
        <v>282</v>
      </c>
      <c r="D244" s="19"/>
      <c r="E244" s="19"/>
      <c r="F244" s="19"/>
      <c r="G244" s="19"/>
      <c r="H244" s="19"/>
      <c r="I244" s="19"/>
      <c r="J244" s="177"/>
      <c r="K244" s="177"/>
      <c r="L244" s="152"/>
      <c r="M244" s="152"/>
      <c r="N244" s="152"/>
      <c r="O244" s="152"/>
      <c r="P244" s="152"/>
      <c r="Q244" s="152"/>
      <c r="R244" s="152"/>
      <c r="S244" s="152"/>
      <c r="T244" s="152"/>
      <c r="U244" s="152"/>
      <c r="V244" s="174">
        <f>+V252-SUM(V242:V243)</f>
        <v>1.5249999999999995</v>
      </c>
      <c r="W244" s="174">
        <v>2.5</v>
      </c>
      <c r="X244" s="174">
        <v>1.5</v>
      </c>
      <c r="Y244" s="174">
        <v>1.5</v>
      </c>
      <c r="AK244" s="19"/>
      <c r="AL244" s="19"/>
      <c r="AM244" s="17">
        <f t="shared" si="1237"/>
        <v>0</v>
      </c>
      <c r="AN244" s="17">
        <f t="shared" si="1238"/>
        <v>0</v>
      </c>
      <c r="AO244" s="17">
        <f t="shared" si="1239"/>
        <v>0</v>
      </c>
      <c r="AP244" s="17">
        <f t="shared" si="1240"/>
        <v>4.0249999999999995</v>
      </c>
      <c r="AQ244" s="17">
        <f t="shared" si="1241"/>
        <v>3</v>
      </c>
      <c r="AR244" s="17">
        <f t="shared" si="1242"/>
        <v>0</v>
      </c>
      <c r="AS244" s="17">
        <f t="shared" si="1243"/>
        <v>0</v>
      </c>
    </row>
    <row r="245" spans="2:46" x14ac:dyDescent="0.2">
      <c r="B245" s="47" t="s">
        <v>281</v>
      </c>
      <c r="D245" s="19"/>
      <c r="E245" s="19"/>
      <c r="F245" s="19"/>
      <c r="G245" s="19"/>
      <c r="H245" s="19"/>
      <c r="I245" s="19"/>
      <c r="J245" s="177"/>
      <c r="K245" s="177"/>
      <c r="L245" s="152"/>
      <c r="M245" s="152"/>
      <c r="N245" s="152"/>
      <c r="O245" s="152"/>
      <c r="P245" s="152"/>
      <c r="Q245" s="152"/>
      <c r="R245" s="152"/>
      <c r="S245" s="152"/>
      <c r="T245" s="152"/>
      <c r="U245" s="152"/>
      <c r="V245" s="152"/>
      <c r="W245" s="174">
        <f>+W252-SUM(W243:W244)</f>
        <v>1.9249999999999972</v>
      </c>
      <c r="X245" s="174">
        <f>+X252-SUM(X243:X244)</f>
        <v>1.4249999999999998</v>
      </c>
      <c r="Y245" s="174">
        <f>+X245</f>
        <v>1.4249999999999998</v>
      </c>
      <c r="Z245" s="174">
        <f>+Y245</f>
        <v>1.4249999999999998</v>
      </c>
      <c r="AK245" s="19"/>
      <c r="AL245" s="19"/>
      <c r="AM245" s="17">
        <f t="shared" si="1237"/>
        <v>0</v>
      </c>
      <c r="AN245" s="17">
        <f t="shared" si="1238"/>
        <v>0</v>
      </c>
      <c r="AO245" s="17">
        <f t="shared" si="1239"/>
        <v>0</v>
      </c>
      <c r="AP245" s="17">
        <f t="shared" si="1240"/>
        <v>1.9249999999999972</v>
      </c>
      <c r="AQ245" s="17">
        <f t="shared" si="1241"/>
        <v>4.2749999999999995</v>
      </c>
      <c r="AR245" s="17">
        <f t="shared" si="1242"/>
        <v>0</v>
      </c>
      <c r="AS245" s="17">
        <f t="shared" si="1243"/>
        <v>0</v>
      </c>
      <c r="AT245" s="20"/>
    </row>
    <row r="246" spans="2:46" x14ac:dyDescent="0.2">
      <c r="B246" s="47" t="s">
        <v>280</v>
      </c>
      <c r="D246" s="19"/>
      <c r="E246" s="19"/>
      <c r="F246" s="19"/>
      <c r="G246" s="19"/>
      <c r="H246" s="19"/>
      <c r="I246" s="19"/>
      <c r="J246" s="177"/>
      <c r="K246" s="177"/>
      <c r="L246" s="152"/>
      <c r="M246" s="152"/>
      <c r="N246" s="152"/>
      <c r="O246" s="152"/>
      <c r="P246" s="152"/>
      <c r="Q246" s="152"/>
      <c r="R246" s="152"/>
      <c r="S246" s="152"/>
      <c r="T246" s="152"/>
      <c r="U246" s="152"/>
      <c r="V246" s="152"/>
      <c r="W246" s="152"/>
      <c r="X246" s="152"/>
      <c r="Y246" s="174">
        <f>+Y252-SUM(Y244:Y245)</f>
        <v>0.875</v>
      </c>
      <c r="Z246" s="174">
        <f>+Y246</f>
        <v>0.875</v>
      </c>
      <c r="AA246" s="174">
        <f t="shared" ref="AA246:AB246" si="1245">+Z246</f>
        <v>0.875</v>
      </c>
      <c r="AB246" s="174">
        <f t="shared" si="1245"/>
        <v>0.875</v>
      </c>
      <c r="AK246" s="19"/>
      <c r="AL246" s="19"/>
      <c r="AM246" s="17">
        <f t="shared" si="1237"/>
        <v>0</v>
      </c>
      <c r="AN246" s="17">
        <f t="shared" si="1238"/>
        <v>0</v>
      </c>
      <c r="AO246" s="17">
        <f t="shared" si="1239"/>
        <v>0</v>
      </c>
      <c r="AP246" s="17">
        <f t="shared" si="1240"/>
        <v>0</v>
      </c>
      <c r="AQ246" s="17">
        <f t="shared" si="1241"/>
        <v>2.625</v>
      </c>
      <c r="AR246" s="17">
        <f t="shared" si="1242"/>
        <v>0.875</v>
      </c>
      <c r="AS246" s="17">
        <f t="shared" si="1243"/>
        <v>0</v>
      </c>
    </row>
    <row r="247" spans="2:46" x14ac:dyDescent="0.2">
      <c r="B247" s="47" t="s">
        <v>279</v>
      </c>
      <c r="D247" s="19"/>
      <c r="E247" s="19"/>
      <c r="F247" s="19"/>
      <c r="G247" s="19"/>
      <c r="H247" s="19"/>
      <c r="I247" s="19"/>
      <c r="J247" s="19"/>
      <c r="K247" s="19"/>
      <c r="AA247" s="174">
        <f>+$J$208/4</f>
        <v>9.0583333333333336</v>
      </c>
      <c r="AB247" s="174">
        <f>+$J$208/4</f>
        <v>9.0583333333333336</v>
      </c>
      <c r="AC247" s="174">
        <f>+$J$208/4</f>
        <v>9.0583333333333336</v>
      </c>
      <c r="AD247" s="174">
        <f>+$J$208/4</f>
        <v>9.0583333333333336</v>
      </c>
      <c r="AK247" s="19"/>
      <c r="AL247" s="19"/>
      <c r="AM247" s="17">
        <f t="shared" si="1237"/>
        <v>0</v>
      </c>
      <c r="AN247" s="17">
        <f t="shared" si="1238"/>
        <v>0</v>
      </c>
      <c r="AO247" s="17">
        <f t="shared" si="1239"/>
        <v>0</v>
      </c>
      <c r="AP247" s="17">
        <f t="shared" si="1240"/>
        <v>0</v>
      </c>
      <c r="AQ247" s="17">
        <f t="shared" si="1241"/>
        <v>9.0583333333333336</v>
      </c>
      <c r="AR247" s="17">
        <f t="shared" si="1242"/>
        <v>27.175000000000001</v>
      </c>
      <c r="AS247" s="17">
        <f t="shared" si="1243"/>
        <v>0</v>
      </c>
    </row>
    <row r="248" spans="2:46" x14ac:dyDescent="0.2">
      <c r="B248" s="47" t="s">
        <v>275</v>
      </c>
      <c r="D248" s="19"/>
      <c r="E248" s="19"/>
      <c r="F248" s="19"/>
      <c r="G248" s="19"/>
      <c r="H248" s="19"/>
      <c r="I248" s="19"/>
      <c r="J248" s="19"/>
      <c r="K248" s="19"/>
      <c r="AA248" s="174">
        <v>15.8</v>
      </c>
      <c r="AB248" s="174">
        <f>+AA248/AA225*AB225</f>
        <v>18.978978978978983</v>
      </c>
      <c r="AC248" s="174">
        <f t="shared" ref="AC248:AE248" si="1246">+AB248/AB225*AC225</f>
        <v>18.978978978978983</v>
      </c>
      <c r="AD248" s="174">
        <f t="shared" si="1246"/>
        <v>18.978978978978983</v>
      </c>
      <c r="AE248" s="174">
        <f t="shared" si="1246"/>
        <v>7.9237237237237261</v>
      </c>
      <c r="AF248" s="174"/>
      <c r="AG248" s="174"/>
      <c r="AH248" s="174"/>
      <c r="AI248" s="174"/>
      <c r="AK248" s="19"/>
      <c r="AL248" s="19"/>
      <c r="AM248" s="17">
        <f t="shared" si="1237"/>
        <v>0</v>
      </c>
      <c r="AN248" s="17">
        <f t="shared" si="1238"/>
        <v>0</v>
      </c>
      <c r="AO248" s="17">
        <f t="shared" si="1239"/>
        <v>0</v>
      </c>
      <c r="AP248" s="17">
        <f t="shared" si="1240"/>
        <v>0</v>
      </c>
      <c r="AQ248" s="17">
        <f t="shared" si="1241"/>
        <v>15.8</v>
      </c>
      <c r="AR248" s="17">
        <f t="shared" si="1242"/>
        <v>64.86066066066067</v>
      </c>
      <c r="AS248" s="17">
        <f t="shared" si="1243"/>
        <v>0</v>
      </c>
    </row>
    <row r="249" spans="2:46" x14ac:dyDescent="0.2">
      <c r="B249" s="47" t="s">
        <v>295</v>
      </c>
      <c r="D249" s="19"/>
      <c r="E249" s="19"/>
      <c r="F249" s="19"/>
      <c r="G249" s="19"/>
      <c r="H249" s="19"/>
      <c r="I249" s="19"/>
      <c r="J249" s="19"/>
      <c r="K249" s="19"/>
      <c r="AA249" s="176"/>
      <c r="AB249" s="174"/>
      <c r="AC249" s="174">
        <f>+$J$210/12*0.5</f>
        <v>3.4069444444444446</v>
      </c>
      <c r="AD249" s="174">
        <f>+$J$210/12*3</f>
        <v>20.441666666666666</v>
      </c>
      <c r="AE249" s="174">
        <f>+$J$210/12*3</f>
        <v>20.441666666666666</v>
      </c>
      <c r="AF249" s="174">
        <f>+$J$210/12*3</f>
        <v>20.441666666666666</v>
      </c>
      <c r="AG249" s="174">
        <f>+$J$210/12*3-AC249</f>
        <v>17.034722222222221</v>
      </c>
      <c r="AH249" s="174"/>
      <c r="AI249" s="174"/>
      <c r="AK249" s="19"/>
      <c r="AL249" s="19"/>
      <c r="AM249" s="17">
        <f t="shared" si="1237"/>
        <v>0</v>
      </c>
      <c r="AN249" s="17">
        <f t="shared" si="1238"/>
        <v>0</v>
      </c>
      <c r="AO249" s="17">
        <f t="shared" si="1239"/>
        <v>0</v>
      </c>
      <c r="AP249" s="17">
        <f t="shared" si="1240"/>
        <v>0</v>
      </c>
      <c r="AQ249" s="17">
        <f t="shared" si="1241"/>
        <v>0</v>
      </c>
      <c r="AR249" s="17">
        <f t="shared" si="1242"/>
        <v>44.290277777777774</v>
      </c>
      <c r="AS249" s="17">
        <f t="shared" si="1243"/>
        <v>37.476388888888891</v>
      </c>
    </row>
    <row r="250" spans="2:46" x14ac:dyDescent="0.2">
      <c r="B250" s="47" t="s">
        <v>294</v>
      </c>
      <c r="D250" s="19"/>
      <c r="E250" s="19"/>
      <c r="F250" s="19"/>
      <c r="G250" s="19"/>
      <c r="H250" s="19"/>
      <c r="I250" s="19"/>
      <c r="J250" s="19"/>
      <c r="K250" s="19"/>
      <c r="AA250" s="176"/>
      <c r="AB250" s="174"/>
      <c r="AC250" s="174">
        <f>3.75*0.5</f>
        <v>1.875</v>
      </c>
      <c r="AD250" s="174">
        <f>3.75*3</f>
        <v>11.25</v>
      </c>
      <c r="AE250" s="174">
        <f>3.75*3</f>
        <v>11.25</v>
      </c>
      <c r="AF250" s="174">
        <f>3.75*3</f>
        <v>11.25</v>
      </c>
      <c r="AG250" s="174">
        <f>3.75*3-AC250</f>
        <v>9.375</v>
      </c>
      <c r="AH250" s="174"/>
      <c r="AI250" s="174"/>
      <c r="AK250" s="19"/>
      <c r="AL250" s="19"/>
      <c r="AM250" s="17">
        <f t="shared" si="1237"/>
        <v>0</v>
      </c>
      <c r="AN250" s="17">
        <f t="shared" si="1238"/>
        <v>0</v>
      </c>
      <c r="AO250" s="17">
        <f t="shared" si="1239"/>
        <v>0</v>
      </c>
      <c r="AP250" s="17">
        <f t="shared" si="1240"/>
        <v>0</v>
      </c>
      <c r="AQ250" s="17">
        <f t="shared" si="1241"/>
        <v>0</v>
      </c>
      <c r="AR250" s="17">
        <f t="shared" si="1242"/>
        <v>24.375</v>
      </c>
      <c r="AS250" s="17">
        <f t="shared" si="1243"/>
        <v>20.625</v>
      </c>
    </row>
    <row r="251" spans="2:46" ht="13.5" x14ac:dyDescent="0.35">
      <c r="B251" s="47" t="s">
        <v>364</v>
      </c>
      <c r="D251" s="19"/>
      <c r="E251" s="19"/>
      <c r="F251" s="19"/>
      <c r="G251" s="19"/>
      <c r="H251" s="19"/>
      <c r="I251" s="19"/>
      <c r="J251" s="19"/>
      <c r="K251" s="19"/>
      <c r="AA251" s="176"/>
      <c r="AB251" s="174"/>
      <c r="AC251" s="174"/>
      <c r="AD251" s="174"/>
      <c r="AE251" s="174">
        <f>+$J$212/52*6</f>
        <v>6.9230769230769225</v>
      </c>
      <c r="AF251" s="174">
        <f>+$J$212/4</f>
        <v>15</v>
      </c>
      <c r="AG251" s="174">
        <f>+$J$212/4</f>
        <v>15</v>
      </c>
      <c r="AH251" s="174">
        <f>+$J$212/4</f>
        <v>15</v>
      </c>
      <c r="AI251" s="174">
        <f>+$J$212/4-AE251</f>
        <v>8.0769230769230766</v>
      </c>
      <c r="AK251" s="19"/>
      <c r="AL251" s="19"/>
      <c r="AM251" s="18">
        <f t="shared" si="1237"/>
        <v>0</v>
      </c>
      <c r="AN251" s="18">
        <f t="shared" si="1238"/>
        <v>0</v>
      </c>
      <c r="AO251" s="18">
        <f t="shared" si="1239"/>
        <v>0</v>
      </c>
      <c r="AP251" s="18">
        <f t="shared" si="1240"/>
        <v>0</v>
      </c>
      <c r="AQ251" s="18">
        <f t="shared" si="1241"/>
        <v>0</v>
      </c>
      <c r="AR251" s="18">
        <f t="shared" si="1242"/>
        <v>6.9230769230769225</v>
      </c>
      <c r="AS251" s="18">
        <f t="shared" si="1243"/>
        <v>53.07692307692308</v>
      </c>
    </row>
    <row r="252" spans="2:46" s="1" customFormat="1" x14ac:dyDescent="0.2">
      <c r="B252" s="171" t="s">
        <v>456</v>
      </c>
      <c r="D252" s="26"/>
      <c r="E252" s="26"/>
      <c r="F252" s="26"/>
      <c r="G252" s="26"/>
      <c r="H252" s="26"/>
      <c r="I252" s="26"/>
      <c r="J252" s="178">
        <f t="shared" ref="J252" si="1247">+SUM(J238:J251)</f>
        <v>2.666666666666667</v>
      </c>
      <c r="K252" s="178">
        <f t="shared" ref="K252" si="1248">+SUM(K238:K251)</f>
        <v>2.1333333333333329</v>
      </c>
      <c r="L252" s="178">
        <f t="shared" ref="L252" si="1249">+SUM(L238:L251)</f>
        <v>3.7</v>
      </c>
      <c r="M252" s="178">
        <f t="shared" ref="M252" si="1250">+SUM(M238:M251)</f>
        <v>3.7</v>
      </c>
      <c r="N252" s="178">
        <f t="shared" ref="N252" si="1251">+SUM(N238:N251)</f>
        <v>2.4666666666666668</v>
      </c>
      <c r="O252" s="178">
        <f t="shared" ref="O252" si="1252">+SUM(O238:O251)</f>
        <v>1.6666666666666665</v>
      </c>
      <c r="P252" s="179">
        <v>4.8</v>
      </c>
      <c r="Q252" s="179">
        <v>5.9</v>
      </c>
      <c r="R252" s="179">
        <v>10.199999999999999</v>
      </c>
      <c r="S252" s="179">
        <f>29.9-SUM(P252:R252)</f>
        <v>9</v>
      </c>
      <c r="T252" s="179">
        <v>6</v>
      </c>
      <c r="U252" s="179">
        <v>4.4000000000000004</v>
      </c>
      <c r="V252" s="179">
        <v>4.7</v>
      </c>
      <c r="W252" s="179">
        <f>20.9-SUM(T252:V252)</f>
        <v>5.7999999999999972</v>
      </c>
      <c r="X252" s="179">
        <v>3.8</v>
      </c>
      <c r="Y252" s="179">
        <v>3.8</v>
      </c>
      <c r="Z252" s="178">
        <f t="shared" ref="Z252" si="1253">+SUM(Z238:Z251)</f>
        <v>2.2999999999999998</v>
      </c>
      <c r="AA252" s="178">
        <f t="shared" ref="AA252" si="1254">+SUM(AA238:AA251)</f>
        <v>25.733333333333334</v>
      </c>
      <c r="AB252" s="178">
        <f t="shared" ref="AB252" si="1255">+SUM(AB238:AB251)</f>
        <v>28.912312312312316</v>
      </c>
      <c r="AC252" s="178">
        <f t="shared" ref="AC252" si="1256">+SUM(AC238:AC251)</f>
        <v>33.319256756756758</v>
      </c>
      <c r="AD252" s="178">
        <f t="shared" ref="AD252" si="1257">+SUM(AD238:AD251)</f>
        <v>59.728978978978986</v>
      </c>
      <c r="AE252" s="178">
        <f t="shared" ref="AE252" si="1258">+SUM(AE238:AE251)</f>
        <v>46.538467313467308</v>
      </c>
      <c r="AF252" s="178">
        <f>+SUM(AF238:AF251)</f>
        <v>46.691666666666663</v>
      </c>
      <c r="AG252" s="178">
        <f t="shared" ref="AG252" si="1259">+SUM(AG238:AG251)</f>
        <v>41.409722222222221</v>
      </c>
      <c r="AH252" s="178">
        <f t="shared" ref="AH252" si="1260">+SUM(AH238:AH251)</f>
        <v>15</v>
      </c>
      <c r="AI252" s="178">
        <f t="shared" ref="AI252" si="1261">+SUM(AI238:AI251)</f>
        <v>8.0769230769230766</v>
      </c>
      <c r="AK252" s="26"/>
      <c r="AL252" s="26"/>
      <c r="AM252" s="34">
        <f t="shared" si="1237"/>
        <v>4.8</v>
      </c>
      <c r="AN252" s="34">
        <f t="shared" si="1238"/>
        <v>11.533333333333333</v>
      </c>
      <c r="AO252" s="34">
        <f t="shared" si="1239"/>
        <v>29.9</v>
      </c>
      <c r="AP252" s="34">
        <f t="shared" si="1240"/>
        <v>20.9</v>
      </c>
      <c r="AQ252" s="34">
        <f t="shared" si="1241"/>
        <v>35.633333333333333</v>
      </c>
      <c r="AR252" s="34">
        <f t="shared" si="1242"/>
        <v>168.49901536151538</v>
      </c>
      <c r="AS252" s="34">
        <f t="shared" si="1243"/>
        <v>111.17831196581197</v>
      </c>
    </row>
    <row r="253" spans="2:46" x14ac:dyDescent="0.2">
      <c r="B253" s="47"/>
      <c r="D253" s="19"/>
      <c r="E253" s="19"/>
      <c r="F253" s="19"/>
      <c r="G253" s="19"/>
      <c r="H253" s="19"/>
      <c r="I253" s="19"/>
      <c r="J253" s="19"/>
      <c r="K253" s="19"/>
      <c r="AK253" s="19"/>
      <c r="AL253" s="19"/>
      <c r="AM253" s="19"/>
      <c r="AN253" s="19"/>
      <c r="AO253" s="19"/>
      <c r="AP253" s="19"/>
      <c r="AQ253" s="19"/>
      <c r="AR253" s="19"/>
      <c r="AS253" s="19"/>
    </row>
    <row r="254" spans="2:46" x14ac:dyDescent="0.2">
      <c r="B254" s="173" t="s">
        <v>183</v>
      </c>
      <c r="D254" s="19"/>
      <c r="E254" s="19"/>
      <c r="F254" s="19"/>
      <c r="G254" s="19"/>
      <c r="H254" s="19"/>
      <c r="I254" s="19"/>
      <c r="J254" s="19"/>
      <c r="K254" s="19"/>
      <c r="AK254" s="19"/>
      <c r="AL254" s="19"/>
      <c r="AM254" s="19"/>
      <c r="AN254" s="19"/>
      <c r="AO254" s="19"/>
      <c r="AP254" s="19"/>
      <c r="AQ254" s="19"/>
      <c r="AR254" s="19"/>
      <c r="AS254" s="19"/>
    </row>
    <row r="255" spans="2:46" x14ac:dyDescent="0.2">
      <c r="B255" s="63" t="s">
        <v>457</v>
      </c>
      <c r="D255" s="19"/>
      <c r="E255" s="19"/>
      <c r="F255" s="19"/>
      <c r="G255" s="19"/>
      <c r="H255" s="19"/>
      <c r="I255" s="19"/>
      <c r="J255" s="180">
        <v>0</v>
      </c>
      <c r="K255" s="180">
        <v>0</v>
      </c>
      <c r="L255" s="180">
        <v>0</v>
      </c>
      <c r="M255" s="180">
        <v>0</v>
      </c>
      <c r="N255" s="180">
        <v>0</v>
      </c>
      <c r="O255" s="180">
        <v>0</v>
      </c>
      <c r="P255" s="180">
        <v>0</v>
      </c>
      <c r="Q255" s="180">
        <v>0</v>
      </c>
      <c r="R255" s="180">
        <v>0</v>
      </c>
      <c r="S255" s="180">
        <v>0</v>
      </c>
      <c r="T255" s="180">
        <v>0</v>
      </c>
      <c r="U255" s="180">
        <v>0</v>
      </c>
      <c r="V255" s="180">
        <v>0</v>
      </c>
      <c r="W255" s="180">
        <v>0</v>
      </c>
      <c r="X255" s="180">
        <v>0</v>
      </c>
      <c r="Y255" s="180">
        <v>0</v>
      </c>
      <c r="Z255" s="180">
        <v>0</v>
      </c>
      <c r="AA255" s="182">
        <f>+AA248</f>
        <v>15.8</v>
      </c>
      <c r="AB255" s="182">
        <f>+AB248</f>
        <v>18.978978978978983</v>
      </c>
      <c r="AC255" s="182">
        <f t="shared" ref="AC255:AG255" si="1262">+AC248</f>
        <v>18.978978978978983</v>
      </c>
      <c r="AD255" s="182">
        <f t="shared" si="1262"/>
        <v>18.978978978978983</v>
      </c>
      <c r="AE255" s="182">
        <f t="shared" si="1262"/>
        <v>7.9237237237237261</v>
      </c>
      <c r="AF255" s="180">
        <f t="shared" si="1262"/>
        <v>0</v>
      </c>
      <c r="AG255" s="180">
        <f t="shared" si="1262"/>
        <v>0</v>
      </c>
      <c r="AH255" s="180">
        <f t="shared" ref="AH255:AI255" si="1263">+AH248</f>
        <v>0</v>
      </c>
      <c r="AI255" s="180">
        <f t="shared" si="1263"/>
        <v>0</v>
      </c>
      <c r="AK255" s="19"/>
      <c r="AL255" s="19"/>
      <c r="AM255" s="52">
        <f t="shared" ref="AM255:AM258" si="1264">+SUM(H255:K255)</f>
        <v>0</v>
      </c>
      <c r="AN255" s="52">
        <f t="shared" ref="AN255:AN258" si="1265">+SUM(L255:O255)</f>
        <v>0</v>
      </c>
      <c r="AO255" s="52">
        <f t="shared" ref="AO255:AO258" si="1266">+SUM(P255:S255)</f>
        <v>0</v>
      </c>
      <c r="AP255" s="52">
        <f t="shared" ref="AP255:AP258" si="1267">+SUM(T255:W255)</f>
        <v>0</v>
      </c>
      <c r="AQ255" s="52">
        <f t="shared" ref="AQ255:AQ258" si="1268">+SUM(X255:AA255)</f>
        <v>15.8</v>
      </c>
      <c r="AR255" s="52">
        <f t="shared" ref="AR255:AR258" si="1269">+SUM(AB255:AE255)</f>
        <v>64.86066066066067</v>
      </c>
      <c r="AS255" s="52">
        <f t="shared" ref="AS255:AS258" si="1270">+SUM(AF255:AI255)</f>
        <v>0</v>
      </c>
    </row>
    <row r="256" spans="2:46" x14ac:dyDescent="0.2">
      <c r="B256" s="63" t="s">
        <v>458</v>
      </c>
      <c r="D256" s="19"/>
      <c r="E256" s="19"/>
      <c r="F256" s="19"/>
      <c r="G256" s="19"/>
      <c r="H256" s="19"/>
      <c r="I256" s="19"/>
      <c r="J256" s="180">
        <v>0</v>
      </c>
      <c r="K256" s="180">
        <v>0</v>
      </c>
      <c r="L256" s="180">
        <v>0</v>
      </c>
      <c r="M256" s="180">
        <v>0</v>
      </c>
      <c r="N256" s="180">
        <v>0</v>
      </c>
      <c r="O256" s="180">
        <v>0</v>
      </c>
      <c r="P256" s="180">
        <v>0</v>
      </c>
      <c r="Q256" s="180">
        <v>0</v>
      </c>
      <c r="R256" s="180">
        <v>0</v>
      </c>
      <c r="S256" s="180">
        <v>0</v>
      </c>
      <c r="T256" s="180">
        <v>0</v>
      </c>
      <c r="U256" s="180">
        <v>0</v>
      </c>
      <c r="V256" s="180">
        <v>0</v>
      </c>
      <c r="W256" s="180">
        <v>0</v>
      </c>
      <c r="X256" s="180">
        <v>0</v>
      </c>
      <c r="Y256" s="180">
        <v>0</v>
      </c>
      <c r="Z256" s="180">
        <v>0</v>
      </c>
      <c r="AA256" s="180">
        <v>0</v>
      </c>
      <c r="AB256" s="180">
        <v>0</v>
      </c>
      <c r="AC256" s="180">
        <v>0</v>
      </c>
      <c r="AD256" s="180">
        <v>0</v>
      </c>
      <c r="AE256" s="180">
        <v>0</v>
      </c>
      <c r="AF256" s="180">
        <v>0</v>
      </c>
      <c r="AG256" s="180">
        <v>0</v>
      </c>
      <c r="AH256" s="180">
        <v>0</v>
      </c>
      <c r="AI256" s="180">
        <v>0</v>
      </c>
      <c r="AK256" s="19"/>
      <c r="AL256" s="19"/>
      <c r="AM256" s="52">
        <f t="shared" si="1264"/>
        <v>0</v>
      </c>
      <c r="AN256" s="52">
        <f t="shared" si="1265"/>
        <v>0</v>
      </c>
      <c r="AO256" s="52">
        <f t="shared" si="1266"/>
        <v>0</v>
      </c>
      <c r="AP256" s="52">
        <f t="shared" si="1267"/>
        <v>0</v>
      </c>
      <c r="AQ256" s="52">
        <f t="shared" si="1268"/>
        <v>0</v>
      </c>
      <c r="AR256" s="52">
        <f t="shared" si="1269"/>
        <v>0</v>
      </c>
      <c r="AS256" s="52">
        <f t="shared" si="1270"/>
        <v>0</v>
      </c>
    </row>
    <row r="257" spans="2:48" ht="13.5" x14ac:dyDescent="0.35">
      <c r="B257" s="63" t="s">
        <v>459</v>
      </c>
      <c r="D257" s="19"/>
      <c r="E257" s="19"/>
      <c r="F257" s="19"/>
      <c r="G257" s="19"/>
      <c r="H257" s="19"/>
      <c r="I257" s="19"/>
      <c r="J257" s="181">
        <f>+J258-SUM(J255:J256)</f>
        <v>2.666666666666667</v>
      </c>
      <c r="K257" s="181">
        <f t="shared" ref="K257" si="1271">+K258-SUM(K255:K256)</f>
        <v>2.1333333333333329</v>
      </c>
      <c r="L257" s="181">
        <f t="shared" ref="L257" si="1272">+L258-SUM(L255:L256)</f>
        <v>3.7</v>
      </c>
      <c r="M257" s="181">
        <f t="shared" ref="M257" si="1273">+M258-SUM(M255:M256)</f>
        <v>3.7</v>
      </c>
      <c r="N257" s="181">
        <f t="shared" ref="N257" si="1274">+N258-SUM(N255:N256)</f>
        <v>2.4666666666666668</v>
      </c>
      <c r="O257" s="181">
        <f t="shared" ref="O257" si="1275">+O258-SUM(O255:O256)</f>
        <v>1.6666666666666665</v>
      </c>
      <c r="P257" s="181">
        <f t="shared" ref="P257" si="1276">+P258-SUM(P255:P256)</f>
        <v>4.8</v>
      </c>
      <c r="Q257" s="181">
        <f t="shared" ref="Q257" si="1277">+Q258-SUM(Q255:Q256)</f>
        <v>5.9</v>
      </c>
      <c r="R257" s="181">
        <f t="shared" ref="R257" si="1278">+R258-SUM(R255:R256)</f>
        <v>10.199999999999999</v>
      </c>
      <c r="S257" s="181">
        <f t="shared" ref="S257" si="1279">+S258-SUM(S255:S256)</f>
        <v>9</v>
      </c>
      <c r="T257" s="181">
        <f t="shared" ref="T257" si="1280">+T258-SUM(T255:T256)</f>
        <v>6</v>
      </c>
      <c r="U257" s="181">
        <f t="shared" ref="U257" si="1281">+U258-SUM(U255:U256)</f>
        <v>4.4000000000000004</v>
      </c>
      <c r="V257" s="181">
        <f t="shared" ref="V257" si="1282">+V258-SUM(V255:V256)</f>
        <v>4.7</v>
      </c>
      <c r="W257" s="181">
        <f t="shared" ref="W257" si="1283">+W258-SUM(W255:W256)</f>
        <v>5.7999999999999972</v>
      </c>
      <c r="X257" s="181">
        <f t="shared" ref="X257" si="1284">+X258-SUM(X255:X256)</f>
        <v>3.8</v>
      </c>
      <c r="Y257" s="181">
        <f t="shared" ref="Y257" si="1285">+Y258-SUM(Y255:Y256)</f>
        <v>3.8</v>
      </c>
      <c r="Z257" s="181">
        <f t="shared" ref="Z257" si="1286">+Z258-SUM(Z255:Z256)</f>
        <v>2.2999999999999998</v>
      </c>
      <c r="AA257" s="181">
        <f t="shared" ref="AA257" si="1287">+AA258-SUM(AA255:AA256)</f>
        <v>9.9333333333333336</v>
      </c>
      <c r="AB257" s="181">
        <f t="shared" ref="AB257" si="1288">+AB258-SUM(AB255:AB256)</f>
        <v>9.9333333333333336</v>
      </c>
      <c r="AC257" s="181">
        <f t="shared" ref="AC257" si="1289">+AC258-SUM(AC255:AC256)</f>
        <v>14.340277777777775</v>
      </c>
      <c r="AD257" s="181">
        <f t="shared" ref="AD257" si="1290">+AD258-SUM(AD255:AD256)</f>
        <v>40.75</v>
      </c>
      <c r="AE257" s="181">
        <f t="shared" ref="AE257" si="1291">+AE258-SUM(AE255:AE256)</f>
        <v>38.614743589743583</v>
      </c>
      <c r="AF257" s="181">
        <f t="shared" ref="AF257" si="1292">+AF258-SUM(AF255:AF256)</f>
        <v>46.691666666666663</v>
      </c>
      <c r="AG257" s="181">
        <f t="shared" ref="AG257" si="1293">+AG258-SUM(AG255:AG256)</f>
        <v>41.409722222222221</v>
      </c>
      <c r="AH257" s="181">
        <f t="shared" ref="AH257" si="1294">+AH258-SUM(AH255:AH256)</f>
        <v>15</v>
      </c>
      <c r="AI257" s="181">
        <f t="shared" ref="AI257" si="1295">+AI258-SUM(AI255:AI256)</f>
        <v>8.0769230769230766</v>
      </c>
      <c r="AK257" s="19"/>
      <c r="AL257" s="19"/>
      <c r="AM257" s="183">
        <f t="shared" si="1264"/>
        <v>4.8</v>
      </c>
      <c r="AN257" s="183">
        <f t="shared" si="1265"/>
        <v>11.533333333333333</v>
      </c>
      <c r="AO257" s="183">
        <f t="shared" si="1266"/>
        <v>29.9</v>
      </c>
      <c r="AP257" s="183">
        <f t="shared" si="1267"/>
        <v>20.9</v>
      </c>
      <c r="AQ257" s="183">
        <f t="shared" si="1268"/>
        <v>19.833333333333332</v>
      </c>
      <c r="AR257" s="183">
        <f t="shared" si="1269"/>
        <v>103.63835470085469</v>
      </c>
      <c r="AS257" s="183">
        <f t="shared" si="1270"/>
        <v>111.17831196581197</v>
      </c>
    </row>
    <row r="258" spans="2:48" x14ac:dyDescent="0.2">
      <c r="B258" s="51" t="s">
        <v>456</v>
      </c>
      <c r="D258" s="19"/>
      <c r="E258" s="19"/>
      <c r="F258" s="19"/>
      <c r="G258" s="19"/>
      <c r="H258" s="19"/>
      <c r="I258" s="19"/>
      <c r="J258" s="177">
        <f>+J252</f>
        <v>2.666666666666667</v>
      </c>
      <c r="K258" s="177">
        <f t="shared" ref="K258:AG258" si="1296">+K252</f>
        <v>2.1333333333333329</v>
      </c>
      <c r="L258" s="177">
        <f t="shared" si="1296"/>
        <v>3.7</v>
      </c>
      <c r="M258" s="177">
        <f t="shared" si="1296"/>
        <v>3.7</v>
      </c>
      <c r="N258" s="177">
        <f t="shared" si="1296"/>
        <v>2.4666666666666668</v>
      </c>
      <c r="O258" s="177">
        <f t="shared" si="1296"/>
        <v>1.6666666666666665</v>
      </c>
      <c r="P258" s="177">
        <f t="shared" si="1296"/>
        <v>4.8</v>
      </c>
      <c r="Q258" s="177">
        <f t="shared" si="1296"/>
        <v>5.9</v>
      </c>
      <c r="R258" s="177">
        <f t="shared" si="1296"/>
        <v>10.199999999999999</v>
      </c>
      <c r="S258" s="177">
        <f t="shared" si="1296"/>
        <v>9</v>
      </c>
      <c r="T258" s="177">
        <f t="shared" si="1296"/>
        <v>6</v>
      </c>
      <c r="U258" s="177">
        <f t="shared" si="1296"/>
        <v>4.4000000000000004</v>
      </c>
      <c r="V258" s="177">
        <f t="shared" si="1296"/>
        <v>4.7</v>
      </c>
      <c r="W258" s="177">
        <f t="shared" si="1296"/>
        <v>5.7999999999999972</v>
      </c>
      <c r="X258" s="177">
        <f t="shared" si="1296"/>
        <v>3.8</v>
      </c>
      <c r="Y258" s="177">
        <f t="shared" si="1296"/>
        <v>3.8</v>
      </c>
      <c r="Z258" s="177">
        <f t="shared" si="1296"/>
        <v>2.2999999999999998</v>
      </c>
      <c r="AA258" s="177">
        <f t="shared" si="1296"/>
        <v>25.733333333333334</v>
      </c>
      <c r="AB258" s="177">
        <f t="shared" si="1296"/>
        <v>28.912312312312316</v>
      </c>
      <c r="AC258" s="177">
        <f t="shared" si="1296"/>
        <v>33.319256756756758</v>
      </c>
      <c r="AD258" s="177">
        <f t="shared" si="1296"/>
        <v>59.728978978978986</v>
      </c>
      <c r="AE258" s="177">
        <f t="shared" si="1296"/>
        <v>46.538467313467308</v>
      </c>
      <c r="AF258" s="177">
        <f t="shared" si="1296"/>
        <v>46.691666666666663</v>
      </c>
      <c r="AG258" s="177">
        <f t="shared" si="1296"/>
        <v>41.409722222222221</v>
      </c>
      <c r="AH258" s="177">
        <f t="shared" ref="AH258:AI258" si="1297">+AH252</f>
        <v>15</v>
      </c>
      <c r="AI258" s="177">
        <f t="shared" si="1297"/>
        <v>8.0769230769230766</v>
      </c>
      <c r="AK258" s="19"/>
      <c r="AL258" s="19"/>
      <c r="AM258" s="52">
        <f t="shared" si="1264"/>
        <v>4.8</v>
      </c>
      <c r="AN258" s="52">
        <f t="shared" si="1265"/>
        <v>11.533333333333333</v>
      </c>
      <c r="AO258" s="52">
        <f t="shared" si="1266"/>
        <v>29.9</v>
      </c>
      <c r="AP258" s="52">
        <f t="shared" si="1267"/>
        <v>20.9</v>
      </c>
      <c r="AQ258" s="52">
        <f t="shared" si="1268"/>
        <v>35.633333333333333</v>
      </c>
      <c r="AR258" s="52">
        <f t="shared" si="1269"/>
        <v>168.49901536151538</v>
      </c>
      <c r="AS258" s="52">
        <f t="shared" si="1270"/>
        <v>111.17831196581197</v>
      </c>
    </row>
    <row r="259" spans="2:48" x14ac:dyDescent="0.2">
      <c r="B259" s="3"/>
      <c r="D259" s="19"/>
      <c r="E259" s="19"/>
      <c r="F259" s="19"/>
      <c r="G259" s="19"/>
      <c r="H259" s="19"/>
      <c r="I259" s="19"/>
      <c r="J259" s="19"/>
      <c r="K259" s="19"/>
      <c r="AK259" s="19"/>
      <c r="AL259" s="19"/>
      <c r="AM259" s="19"/>
      <c r="AN259" s="19"/>
      <c r="AO259" s="19"/>
      <c r="AP259" s="19"/>
      <c r="AQ259" s="19"/>
      <c r="AR259" s="19"/>
      <c r="AS259" s="19"/>
    </row>
    <row r="260" spans="2:48" x14ac:dyDescent="0.2">
      <c r="B260" s="10" t="s">
        <v>13</v>
      </c>
      <c r="C260" s="9"/>
    </row>
    <row r="261" spans="2:48" x14ac:dyDescent="0.2">
      <c r="V261" s="13"/>
    </row>
    <row r="262" spans="2:48" x14ac:dyDescent="0.2">
      <c r="B262" t="s">
        <v>45</v>
      </c>
      <c r="D262" s="14">
        <v>103</v>
      </c>
      <c r="E262" s="14">
        <v>120.6</v>
      </c>
      <c r="F262" s="14">
        <v>130.69999999999999</v>
      </c>
      <c r="G262" s="14">
        <v>130.9</v>
      </c>
      <c r="H262" s="14">
        <v>134</v>
      </c>
      <c r="I262" s="14">
        <v>159.5</v>
      </c>
      <c r="J262" s="14">
        <v>171.9</v>
      </c>
      <c r="K262" s="14">
        <v>178.2</v>
      </c>
      <c r="L262" s="14">
        <v>176.4</v>
      </c>
      <c r="M262" s="14">
        <v>121.2</v>
      </c>
      <c r="N262" s="14">
        <v>196.8</v>
      </c>
      <c r="O262" s="14">
        <v>189.8</v>
      </c>
      <c r="P262" s="14">
        <v>215.9</v>
      </c>
      <c r="Q262" s="14">
        <v>324.8</v>
      </c>
      <c r="R262" s="14">
        <v>346.9</v>
      </c>
      <c r="S262" s="14">
        <v>370.4</v>
      </c>
      <c r="T262" s="14">
        <v>371.5</v>
      </c>
      <c r="U262" s="14">
        <v>473.9</v>
      </c>
      <c r="V262" s="145">
        <v>509</v>
      </c>
      <c r="W262" s="145">
        <v>502.7</v>
      </c>
      <c r="X262" s="145">
        <v>511</v>
      </c>
      <c r="Y262" s="145">
        <v>600.1</v>
      </c>
      <c r="Z262" s="145">
        <v>626.9</v>
      </c>
      <c r="AA262" s="145">
        <v>648</v>
      </c>
      <c r="AB262" s="145">
        <v>655.1</v>
      </c>
      <c r="AC262" s="145">
        <v>755.8</v>
      </c>
      <c r="AD262" s="145">
        <v>806.8</v>
      </c>
      <c r="AK262" s="17">
        <f>+SUM(D262:G262)</f>
        <v>485.19999999999993</v>
      </c>
      <c r="AL262" s="14">
        <v>485.2</v>
      </c>
      <c r="AM262" s="17">
        <f t="shared" ref="AM262:AM288" si="1298">+SUM(H262:K262)</f>
        <v>643.59999999999991</v>
      </c>
      <c r="AN262" s="17">
        <f t="shared" ref="AN262:AN288" si="1299">+SUM(L262:O262)</f>
        <v>684.2</v>
      </c>
      <c r="AO262" s="17">
        <f t="shared" ref="AO262:AO288" si="1300">+SUM(P262:S262)</f>
        <v>1258</v>
      </c>
      <c r="AP262" s="17">
        <f>+SUM(T262:W262)</f>
        <v>1857.1000000000001</v>
      </c>
      <c r="AQ262" s="17">
        <f t="shared" ref="AQ262:AQ288" si="1301">+SUM(X262:AA262)</f>
        <v>2386</v>
      </c>
    </row>
    <row r="263" spans="2:48" ht="13.5" x14ac:dyDescent="0.35">
      <c r="B263" t="s">
        <v>46</v>
      </c>
      <c r="D263" s="16">
        <f>+D264-D262</f>
        <v>17.799999999999997</v>
      </c>
      <c r="E263" s="16">
        <f t="shared" ref="E263:V263" si="1302">+E264-E262</f>
        <v>19</v>
      </c>
      <c r="F263" s="16">
        <f t="shared" si="1302"/>
        <v>18.200000000000017</v>
      </c>
      <c r="G263" s="16">
        <f t="shared" si="1302"/>
        <v>20.400000000000006</v>
      </c>
      <c r="H263" s="16">
        <f t="shared" si="1302"/>
        <v>21</v>
      </c>
      <c r="I263" s="16">
        <f t="shared" si="1302"/>
        <v>21</v>
      </c>
      <c r="J263" s="16">
        <f t="shared" si="1302"/>
        <v>21.900000000000006</v>
      </c>
      <c r="K263" s="16">
        <f t="shared" si="1302"/>
        <v>23.900000000000006</v>
      </c>
      <c r="L263" s="16">
        <f t="shared" si="1302"/>
        <v>23</v>
      </c>
      <c r="M263" s="16">
        <f t="shared" si="1302"/>
        <v>20.600000000000009</v>
      </c>
      <c r="N263" s="16">
        <f t="shared" si="1302"/>
        <v>18</v>
      </c>
      <c r="O263" s="16">
        <f t="shared" si="1302"/>
        <v>21.099999999999994</v>
      </c>
      <c r="P263" s="16">
        <f t="shared" si="1302"/>
        <v>23.400000000000006</v>
      </c>
      <c r="Q263" s="16">
        <f t="shared" si="1302"/>
        <v>26.199999999999989</v>
      </c>
      <c r="R263" s="16">
        <f t="shared" si="1302"/>
        <v>30.900000000000034</v>
      </c>
      <c r="S263" s="16">
        <f t="shared" si="1302"/>
        <v>29</v>
      </c>
      <c r="T263" s="16">
        <f t="shared" si="1302"/>
        <v>30.399999999999977</v>
      </c>
      <c r="U263" s="16">
        <f t="shared" si="1302"/>
        <v>32.800000000000011</v>
      </c>
      <c r="V263" s="16">
        <f t="shared" si="1302"/>
        <v>38.299999999999955</v>
      </c>
      <c r="W263" s="16">
        <f t="shared" ref="W263:X263" si="1303">+W264-W262</f>
        <v>35.000000000000057</v>
      </c>
      <c r="X263" s="16">
        <f t="shared" si="1303"/>
        <v>36</v>
      </c>
      <c r="Y263" s="16">
        <f t="shared" ref="Y263:AB263" si="1304">+Y264-Y262</f>
        <v>36.899999999999977</v>
      </c>
      <c r="Z263" s="16">
        <f t="shared" si="1304"/>
        <v>48.5</v>
      </c>
      <c r="AA263" s="16">
        <f t="shared" si="1304"/>
        <v>57.400000000000091</v>
      </c>
      <c r="AB263" s="16">
        <f t="shared" si="1304"/>
        <v>52.299999999999955</v>
      </c>
      <c r="AC263" s="16">
        <f t="shared" ref="AC263:AD263" si="1305">+AC264-AC262</f>
        <v>71.200000000000045</v>
      </c>
      <c r="AD263" s="16">
        <f t="shared" si="1305"/>
        <v>102.40000000000009</v>
      </c>
      <c r="AK263" s="18">
        <f t="shared" ref="AK263:AK288" si="1306">+SUM(D263:G263)</f>
        <v>75.40000000000002</v>
      </c>
      <c r="AL263" s="16">
        <f t="shared" ref="AL263" si="1307">+AL264-AL262</f>
        <v>75.400000000000034</v>
      </c>
      <c r="AM263" s="18">
        <f t="shared" si="1298"/>
        <v>87.800000000000011</v>
      </c>
      <c r="AN263" s="18">
        <f t="shared" si="1299"/>
        <v>82.7</v>
      </c>
      <c r="AO263" s="18">
        <f t="shared" si="1300"/>
        <v>109.50000000000003</v>
      </c>
      <c r="AP263" s="18">
        <f t="shared" ref="AP263:AP288" si="1308">+SUM(T263:W263)</f>
        <v>136.5</v>
      </c>
      <c r="AQ263" s="18">
        <f t="shared" si="1301"/>
        <v>178.80000000000007</v>
      </c>
    </row>
    <row r="264" spans="2:48" s="1" customFormat="1" x14ac:dyDescent="0.2">
      <c r="B264" s="31" t="s">
        <v>47</v>
      </c>
      <c r="D264" s="33">
        <v>120.8</v>
      </c>
      <c r="E264" s="33">
        <v>139.6</v>
      </c>
      <c r="F264" s="33">
        <v>148.9</v>
      </c>
      <c r="G264" s="33">
        <v>151.30000000000001</v>
      </c>
      <c r="H264" s="33">
        <v>155</v>
      </c>
      <c r="I264" s="33">
        <v>180.5</v>
      </c>
      <c r="J264" s="33">
        <v>193.8</v>
      </c>
      <c r="K264" s="33">
        <v>202.1</v>
      </c>
      <c r="L264" s="33">
        <v>199.4</v>
      </c>
      <c r="M264" s="33">
        <v>141.80000000000001</v>
      </c>
      <c r="N264" s="33">
        <v>214.8</v>
      </c>
      <c r="O264" s="33">
        <v>210.9</v>
      </c>
      <c r="P264" s="33">
        <v>239.3</v>
      </c>
      <c r="Q264" s="33">
        <v>351</v>
      </c>
      <c r="R264" s="33">
        <v>377.8</v>
      </c>
      <c r="S264" s="33">
        <v>399.4</v>
      </c>
      <c r="T264" s="33">
        <v>401.9</v>
      </c>
      <c r="U264" s="33">
        <v>506.7</v>
      </c>
      <c r="V264" s="33">
        <v>547.29999999999995</v>
      </c>
      <c r="W264" s="33">
        <v>537.70000000000005</v>
      </c>
      <c r="X264" s="274">
        <v>547</v>
      </c>
      <c r="Y264" s="274">
        <v>637</v>
      </c>
      <c r="Z264" s="274">
        <v>675.4</v>
      </c>
      <c r="AA264" s="274">
        <v>705.40000000000009</v>
      </c>
      <c r="AB264" s="274">
        <v>707.4</v>
      </c>
      <c r="AC264" s="274">
        <v>827</v>
      </c>
      <c r="AD264" s="274">
        <v>909.2</v>
      </c>
      <c r="AK264" s="34">
        <f t="shared" si="1306"/>
        <v>560.59999999999991</v>
      </c>
      <c r="AL264" s="33">
        <v>560.6</v>
      </c>
      <c r="AM264" s="34">
        <f t="shared" si="1298"/>
        <v>731.4</v>
      </c>
      <c r="AN264" s="34">
        <f t="shared" si="1299"/>
        <v>766.9</v>
      </c>
      <c r="AO264" s="34">
        <f t="shared" si="1300"/>
        <v>1367.5</v>
      </c>
      <c r="AP264" s="34">
        <f t="shared" si="1308"/>
        <v>1993.6</v>
      </c>
      <c r="AQ264" s="34">
        <f t="shared" si="1301"/>
        <v>2564.8000000000002</v>
      </c>
      <c r="AT264" s="57"/>
    </row>
    <row r="265" spans="2:48" x14ac:dyDescent="0.2">
      <c r="B265" t="s">
        <v>48</v>
      </c>
      <c r="D265" s="14">
        <v>63.6</v>
      </c>
      <c r="E265" s="14">
        <v>76.099999999999994</v>
      </c>
      <c r="F265" s="14">
        <v>83.4</v>
      </c>
      <c r="G265" s="14">
        <v>84.8</v>
      </c>
      <c r="H265" s="14">
        <v>88.7</v>
      </c>
      <c r="I265" s="14">
        <v>105.2</v>
      </c>
      <c r="J265" s="14">
        <v>114.1</v>
      </c>
      <c r="K265" s="14">
        <v>117.9</v>
      </c>
      <c r="L265" s="14">
        <v>120.3</v>
      </c>
      <c r="M265" s="14">
        <v>74.400000000000006</v>
      </c>
      <c r="N265" s="14">
        <v>127.1</v>
      </c>
      <c r="O265" s="14">
        <v>122.10000000000002</v>
      </c>
      <c r="P265" s="14">
        <v>141.80000000000001</v>
      </c>
      <c r="Q265" s="14">
        <v>214.7</v>
      </c>
      <c r="R265" s="14">
        <v>251.9</v>
      </c>
      <c r="S265" s="14">
        <v>253.39999999999998</v>
      </c>
      <c r="T265" s="14">
        <v>253.1</v>
      </c>
      <c r="U265" s="14">
        <v>324.10000000000002</v>
      </c>
      <c r="V265" s="145">
        <v>350.6</v>
      </c>
      <c r="W265" s="145">
        <v>338.3</v>
      </c>
      <c r="X265" s="145">
        <v>347</v>
      </c>
      <c r="Y265" s="145">
        <v>408.9</v>
      </c>
      <c r="Z265" s="145">
        <v>432.4</v>
      </c>
      <c r="AA265" s="145">
        <v>436.10000000000014</v>
      </c>
      <c r="AB265" s="145">
        <v>443.7</v>
      </c>
      <c r="AC265" s="145">
        <v>506.4</v>
      </c>
      <c r="AD265" s="145">
        <v>544.1</v>
      </c>
      <c r="AK265" s="17">
        <f t="shared" si="1306"/>
        <v>307.89999999999998</v>
      </c>
      <c r="AL265" s="14">
        <v>307.89999999999998</v>
      </c>
      <c r="AM265" s="17">
        <f t="shared" si="1298"/>
        <v>425.9</v>
      </c>
      <c r="AN265" s="17">
        <f t="shared" si="1299"/>
        <v>443.9</v>
      </c>
      <c r="AO265" s="17">
        <f t="shared" si="1300"/>
        <v>861.8</v>
      </c>
      <c r="AP265" s="17">
        <f t="shared" si="1308"/>
        <v>1266.1000000000001</v>
      </c>
      <c r="AQ265" s="17">
        <f t="shared" si="1301"/>
        <v>1624.4</v>
      </c>
    </row>
    <row r="266" spans="2:48" x14ac:dyDescent="0.2">
      <c r="B266" t="s">
        <v>49</v>
      </c>
      <c r="D266" s="14">
        <v>23.1</v>
      </c>
      <c r="E266" s="14">
        <v>25.3</v>
      </c>
      <c r="F266" s="14">
        <v>26.6</v>
      </c>
      <c r="G266" s="14">
        <v>27.3</v>
      </c>
      <c r="H266" s="14">
        <v>29</v>
      </c>
      <c r="I266" s="14">
        <v>33.1</v>
      </c>
      <c r="J266" s="14">
        <v>34.4</v>
      </c>
      <c r="K266" s="14">
        <v>35.6</v>
      </c>
      <c r="L266" s="14">
        <v>35.700000000000003</v>
      </c>
      <c r="M266" s="14">
        <v>35.799999999999997</v>
      </c>
      <c r="N266" s="14">
        <v>36.200000000000003</v>
      </c>
      <c r="O266" s="14">
        <v>37.5</v>
      </c>
      <c r="P266" s="14">
        <v>45.7</v>
      </c>
      <c r="Q266" s="14">
        <v>58.2</v>
      </c>
      <c r="R266" s="14">
        <v>61.5</v>
      </c>
      <c r="S266" s="14">
        <v>61.900000000000006</v>
      </c>
      <c r="T266" s="14">
        <v>64.2</v>
      </c>
      <c r="U266" s="14">
        <v>76.8</v>
      </c>
      <c r="V266" s="145">
        <v>61</v>
      </c>
      <c r="W266" s="145">
        <v>55.3</v>
      </c>
      <c r="X266" s="145">
        <v>54.6</v>
      </c>
      <c r="Y266" s="145">
        <v>61.2</v>
      </c>
      <c r="Z266" s="145">
        <v>62.7</v>
      </c>
      <c r="AA266" s="145">
        <v>74.099999999999994</v>
      </c>
      <c r="AB266" s="145">
        <v>75.900000000000006</v>
      </c>
      <c r="AC266" s="145">
        <v>88.8</v>
      </c>
      <c r="AD266" s="145">
        <v>97.8</v>
      </c>
      <c r="AK266" s="17">
        <f t="shared" si="1306"/>
        <v>102.3</v>
      </c>
      <c r="AL266" s="14">
        <v>112</v>
      </c>
      <c r="AM266" s="17">
        <f t="shared" si="1298"/>
        <v>132.1</v>
      </c>
      <c r="AN266" s="17">
        <f t="shared" si="1299"/>
        <v>145.19999999999999</v>
      </c>
      <c r="AO266" s="17">
        <f t="shared" si="1300"/>
        <v>227.3</v>
      </c>
      <c r="AP266" s="17">
        <f t="shared" si="1308"/>
        <v>257.3</v>
      </c>
      <c r="AQ266" s="17">
        <f t="shared" si="1301"/>
        <v>252.6</v>
      </c>
    </row>
    <row r="267" spans="2:48" x14ac:dyDescent="0.2">
      <c r="B267" t="s">
        <v>14</v>
      </c>
      <c r="D267" s="14">
        <v>18.7</v>
      </c>
      <c r="E267" s="14">
        <v>22.2</v>
      </c>
      <c r="F267" s="14">
        <v>23</v>
      </c>
      <c r="G267" s="14">
        <v>19.8</v>
      </c>
      <c r="H267" s="14">
        <v>24.2</v>
      </c>
      <c r="I267" s="14">
        <v>24.5</v>
      </c>
      <c r="J267" s="14">
        <v>36.1</v>
      </c>
      <c r="K267" s="14">
        <v>32.299999999999997</v>
      </c>
      <c r="L267" s="14">
        <v>21.1</v>
      </c>
      <c r="M267" s="14">
        <v>88.3</v>
      </c>
      <c r="N267" s="14">
        <v>35.4</v>
      </c>
      <c r="O267" s="14">
        <v>35.200000000000003</v>
      </c>
      <c r="P267" s="14">
        <v>53.5</v>
      </c>
      <c r="Q267" s="14">
        <v>51.7</v>
      </c>
      <c r="R267" s="14">
        <v>48.1</v>
      </c>
      <c r="S267" s="14">
        <v>66.2</v>
      </c>
      <c r="T267" s="14">
        <v>66.2</v>
      </c>
      <c r="U267" s="14">
        <v>58</v>
      </c>
      <c r="V267" s="14">
        <v>74.099999999999994</v>
      </c>
      <c r="W267" s="145">
        <v>68.599999999999994</v>
      </c>
      <c r="X267" s="145">
        <v>85.7</v>
      </c>
      <c r="Y267" s="145">
        <v>82.1</v>
      </c>
      <c r="Z267" s="145">
        <v>76.3</v>
      </c>
      <c r="AA267" s="145">
        <v>85.199999999999989</v>
      </c>
      <c r="AB267" s="145">
        <v>107.1</v>
      </c>
      <c r="AC267" s="145">
        <v>110.1</v>
      </c>
      <c r="AD267" s="145">
        <v>118.2</v>
      </c>
      <c r="AK267" s="17">
        <f t="shared" si="1306"/>
        <v>83.7</v>
      </c>
      <c r="AL267" s="14">
        <v>79.8</v>
      </c>
      <c r="AM267" s="17">
        <f t="shared" si="1298"/>
        <v>117.10000000000001</v>
      </c>
      <c r="AN267" s="17">
        <f t="shared" si="1299"/>
        <v>180</v>
      </c>
      <c r="AO267" s="17">
        <f t="shared" si="1300"/>
        <v>219.5</v>
      </c>
      <c r="AP267" s="17">
        <f t="shared" si="1308"/>
        <v>266.89999999999998</v>
      </c>
      <c r="AQ267" s="17">
        <f t="shared" si="1301"/>
        <v>329.3</v>
      </c>
      <c r="AR267" s="20"/>
      <c r="AS267" s="20"/>
      <c r="AT267" s="20"/>
      <c r="AU267" s="20"/>
      <c r="AV267" s="20"/>
    </row>
    <row r="268" spans="2:48" x14ac:dyDescent="0.2">
      <c r="B268" t="s">
        <v>15</v>
      </c>
      <c r="D268" s="14">
        <v>10.4</v>
      </c>
      <c r="E268" s="14">
        <v>10.199999999999999</v>
      </c>
      <c r="F268" s="14">
        <v>10</v>
      </c>
      <c r="G268" s="14">
        <v>9.8000000000000007</v>
      </c>
      <c r="H268" s="14">
        <v>9.8000000000000007</v>
      </c>
      <c r="I268" s="14">
        <v>9.8000000000000007</v>
      </c>
      <c r="J268" s="14">
        <v>10.1</v>
      </c>
      <c r="K268" s="14">
        <v>10.5</v>
      </c>
      <c r="L268" s="14">
        <v>10.5</v>
      </c>
      <c r="M268" s="14">
        <v>10.4</v>
      </c>
      <c r="N268" s="14">
        <v>16.2</v>
      </c>
      <c r="O268" s="14">
        <v>14.8</v>
      </c>
      <c r="P268" s="14">
        <v>15.4</v>
      </c>
      <c r="Q268" s="14">
        <v>15.5</v>
      </c>
      <c r="R268" s="14">
        <v>15</v>
      </c>
      <c r="S268" s="14">
        <v>16.3</v>
      </c>
      <c r="T268" s="14">
        <v>17.3</v>
      </c>
      <c r="U268" s="14">
        <v>16.7</v>
      </c>
      <c r="V268" s="14">
        <v>28.9</v>
      </c>
      <c r="W268" s="14">
        <v>33.6</v>
      </c>
      <c r="X268" s="14">
        <v>35.299999999999997</v>
      </c>
      <c r="Y268" s="14">
        <v>35.9</v>
      </c>
      <c r="Z268" s="14">
        <v>40</v>
      </c>
      <c r="AA268" s="14">
        <v>42.600000000000023</v>
      </c>
      <c r="AB268" s="14">
        <v>44.8</v>
      </c>
      <c r="AC268" s="14">
        <v>46.7</v>
      </c>
      <c r="AD268" s="14">
        <v>51.6</v>
      </c>
      <c r="AK268" s="17">
        <f t="shared" si="1306"/>
        <v>40.400000000000006</v>
      </c>
      <c r="AL268" s="14">
        <v>40.4</v>
      </c>
      <c r="AM268" s="17">
        <f t="shared" si="1298"/>
        <v>40.200000000000003</v>
      </c>
      <c r="AN268" s="17">
        <f t="shared" si="1299"/>
        <v>51.899999999999991</v>
      </c>
      <c r="AO268" s="17">
        <f t="shared" si="1300"/>
        <v>62.2</v>
      </c>
      <c r="AP268" s="17">
        <f t="shared" si="1308"/>
        <v>96.5</v>
      </c>
      <c r="AQ268" s="17">
        <f t="shared" si="1301"/>
        <v>153.80000000000001</v>
      </c>
    </row>
    <row r="269" spans="2:48" x14ac:dyDescent="0.2">
      <c r="B269" t="s">
        <v>16</v>
      </c>
      <c r="D269" s="14">
        <v>2.2999999999999998</v>
      </c>
      <c r="E269" s="14">
        <v>1.5</v>
      </c>
      <c r="F269" s="14">
        <v>1.6</v>
      </c>
      <c r="G269" s="14">
        <v>2</v>
      </c>
      <c r="H269" s="14">
        <v>1.8</v>
      </c>
      <c r="I269" s="14">
        <v>2</v>
      </c>
      <c r="J269" s="14">
        <v>3.3</v>
      </c>
      <c r="K269" s="14">
        <v>3.3</v>
      </c>
      <c r="L269" s="14">
        <v>1.7</v>
      </c>
      <c r="M269" s="14">
        <v>1.2</v>
      </c>
      <c r="N269" s="14">
        <v>2.9</v>
      </c>
      <c r="O269" s="14">
        <v>4.9000000000000004</v>
      </c>
      <c r="P269" s="14">
        <v>6.2</v>
      </c>
      <c r="Q269" s="14">
        <v>3.5</v>
      </c>
      <c r="R269" s="14">
        <v>3.3</v>
      </c>
      <c r="S269" s="14">
        <v>3.8</v>
      </c>
      <c r="T269" s="14">
        <v>8.6999999999999993</v>
      </c>
      <c r="U269" s="14">
        <v>5.2</v>
      </c>
      <c r="V269" s="14">
        <v>10.4</v>
      </c>
      <c r="W269" s="14">
        <v>7.6</v>
      </c>
      <c r="X269" s="14">
        <v>6.1</v>
      </c>
      <c r="Y269" s="14">
        <v>5.4</v>
      </c>
      <c r="Z269" s="14">
        <v>5.7</v>
      </c>
      <c r="AA269" s="14">
        <v>15.900000000000002</v>
      </c>
      <c r="AB269" s="14">
        <v>8</v>
      </c>
      <c r="AC269" s="14">
        <v>11.6</v>
      </c>
      <c r="AD269" s="14">
        <v>9.4</v>
      </c>
      <c r="AK269" s="17">
        <f t="shared" si="1306"/>
        <v>7.4</v>
      </c>
      <c r="AL269" s="14">
        <v>7.4</v>
      </c>
      <c r="AM269" s="17">
        <f t="shared" si="1298"/>
        <v>10.399999999999999</v>
      </c>
      <c r="AN269" s="17">
        <f t="shared" si="1299"/>
        <v>10.7</v>
      </c>
      <c r="AO269" s="17">
        <f t="shared" si="1300"/>
        <v>16.8</v>
      </c>
      <c r="AP269" s="17">
        <f t="shared" si="1308"/>
        <v>31.9</v>
      </c>
      <c r="AQ269" s="17">
        <f t="shared" si="1301"/>
        <v>33.1</v>
      </c>
    </row>
    <row r="270" spans="2:48" x14ac:dyDescent="0.2">
      <c r="B270" t="s">
        <v>17</v>
      </c>
      <c r="D270" s="14">
        <v>1.6</v>
      </c>
      <c r="E270" s="14">
        <v>1.2</v>
      </c>
      <c r="F270" s="14">
        <v>1.8</v>
      </c>
      <c r="G270" s="14">
        <v>1.5</v>
      </c>
      <c r="H270" s="14">
        <v>1.4</v>
      </c>
      <c r="I270" s="14">
        <v>1.4</v>
      </c>
      <c r="J270" s="14">
        <v>1.6</v>
      </c>
      <c r="K270" s="14">
        <v>1.9</v>
      </c>
      <c r="L270" s="14">
        <v>1.3</v>
      </c>
      <c r="M270" s="14">
        <v>0.8</v>
      </c>
      <c r="N270" s="14">
        <v>0.8</v>
      </c>
      <c r="O270" s="14">
        <v>1.1000000000000001</v>
      </c>
      <c r="P270" s="14">
        <v>20.100000000000001</v>
      </c>
      <c r="Q270" s="14">
        <v>2.5</v>
      </c>
      <c r="R270" s="14">
        <v>3.5</v>
      </c>
      <c r="S270" s="14">
        <v>2.8</v>
      </c>
      <c r="T270" s="14">
        <v>2.7</v>
      </c>
      <c r="U270" s="14">
        <v>2.9</v>
      </c>
      <c r="V270" s="14">
        <v>5.6</v>
      </c>
      <c r="W270" s="14">
        <v>3.7</v>
      </c>
      <c r="X270" s="14">
        <v>2.5</v>
      </c>
      <c r="Y270" s="14">
        <v>4</v>
      </c>
      <c r="Z270" s="14">
        <v>4.7</v>
      </c>
      <c r="AA270" s="14">
        <v>3.9000000000000004</v>
      </c>
      <c r="AB270" s="14">
        <v>4.4000000000000004</v>
      </c>
      <c r="AC270" s="14">
        <v>3.9</v>
      </c>
      <c r="AD270" s="14">
        <v>6.2</v>
      </c>
      <c r="AK270" s="17">
        <f t="shared" si="1306"/>
        <v>6.1</v>
      </c>
      <c r="AL270" s="14">
        <v>6.1</v>
      </c>
      <c r="AM270" s="17">
        <f t="shared" si="1298"/>
        <v>6.3000000000000007</v>
      </c>
      <c r="AN270" s="17">
        <f t="shared" si="1299"/>
        <v>4</v>
      </c>
      <c r="AO270" s="17">
        <f t="shared" si="1300"/>
        <v>28.900000000000002</v>
      </c>
      <c r="AP270" s="17">
        <f t="shared" si="1308"/>
        <v>14.899999999999999</v>
      </c>
      <c r="AQ270" s="17">
        <f t="shared" si="1301"/>
        <v>15.1</v>
      </c>
    </row>
    <row r="271" spans="2:48" x14ac:dyDescent="0.2">
      <c r="B271" t="s">
        <v>18</v>
      </c>
      <c r="D271" s="14">
        <v>6.1</v>
      </c>
      <c r="E271" s="14">
        <v>12.6</v>
      </c>
      <c r="F271" s="14">
        <v>0.9</v>
      </c>
      <c r="G271" s="14">
        <v>0.5</v>
      </c>
      <c r="H271" s="14">
        <v>0.2</v>
      </c>
      <c r="I271" s="14">
        <v>0.1</v>
      </c>
      <c r="J271" s="14">
        <v>3.4</v>
      </c>
      <c r="K271" s="14">
        <v>0.1</v>
      </c>
      <c r="L271" s="14">
        <v>0.2</v>
      </c>
      <c r="M271" s="14">
        <v>0.1</v>
      </c>
      <c r="N271" s="14">
        <v>0.1</v>
      </c>
      <c r="O271" s="14">
        <v>0</v>
      </c>
      <c r="P271" s="14">
        <v>0.1</v>
      </c>
      <c r="Q271" s="14">
        <v>0</v>
      </c>
      <c r="R271" s="14">
        <v>0.1</v>
      </c>
      <c r="S271" s="14">
        <v>0</v>
      </c>
      <c r="T271" s="14">
        <v>0</v>
      </c>
      <c r="U271" s="14">
        <v>0.1</v>
      </c>
      <c r="V271" s="14">
        <v>0.1</v>
      </c>
      <c r="W271" s="14">
        <v>0</v>
      </c>
      <c r="X271" s="14">
        <v>0</v>
      </c>
      <c r="Y271" s="14">
        <v>0</v>
      </c>
      <c r="Z271" s="14">
        <v>0</v>
      </c>
      <c r="AA271" s="14">
        <v>0</v>
      </c>
      <c r="AB271" s="14">
        <v>0</v>
      </c>
      <c r="AC271" s="14">
        <v>0</v>
      </c>
      <c r="AD271" s="14">
        <v>0</v>
      </c>
      <c r="AK271" s="17">
        <f t="shared" si="1306"/>
        <v>20.099999999999998</v>
      </c>
      <c r="AL271" s="14">
        <v>20.100000000000001</v>
      </c>
      <c r="AM271" s="17">
        <f t="shared" si="1298"/>
        <v>3.8000000000000003</v>
      </c>
      <c r="AN271" s="17">
        <f t="shared" si="1299"/>
        <v>0.4</v>
      </c>
      <c r="AO271" s="17">
        <f t="shared" si="1300"/>
        <v>0.2</v>
      </c>
      <c r="AP271" s="17">
        <f t="shared" si="1308"/>
        <v>0.2</v>
      </c>
      <c r="AQ271" s="17">
        <f t="shared" si="1301"/>
        <v>0</v>
      </c>
    </row>
    <row r="272" spans="2:48" x14ac:dyDescent="0.2">
      <c r="B272" t="s">
        <v>19</v>
      </c>
      <c r="D272" s="14">
        <v>0</v>
      </c>
      <c r="E272" s="14">
        <v>0</v>
      </c>
      <c r="F272" s="14">
        <v>0</v>
      </c>
      <c r="G272" s="14">
        <v>0</v>
      </c>
      <c r="H272" s="14">
        <v>0</v>
      </c>
      <c r="I272" s="14">
        <v>0</v>
      </c>
      <c r="J272" s="14">
        <v>0</v>
      </c>
      <c r="K272" s="14">
        <v>0</v>
      </c>
      <c r="L272" s="14">
        <v>0</v>
      </c>
      <c r="M272" s="14">
        <v>0</v>
      </c>
      <c r="N272" s="14">
        <v>0</v>
      </c>
      <c r="O272" s="14">
        <v>0.8</v>
      </c>
      <c r="P272" s="14">
        <v>0</v>
      </c>
      <c r="Q272" s="14">
        <v>0</v>
      </c>
      <c r="R272" s="14">
        <v>0</v>
      </c>
      <c r="S272" s="14">
        <v>0</v>
      </c>
      <c r="T272" s="14">
        <v>1.4</v>
      </c>
      <c r="U272" s="14">
        <v>0</v>
      </c>
      <c r="V272" s="14">
        <v>0</v>
      </c>
      <c r="W272" s="14">
        <v>0</v>
      </c>
      <c r="X272" s="14">
        <v>0</v>
      </c>
      <c r="Y272" s="14">
        <v>0</v>
      </c>
      <c r="Z272" s="14">
        <v>0</v>
      </c>
      <c r="AA272" s="14">
        <v>0</v>
      </c>
      <c r="AB272" s="14">
        <v>0</v>
      </c>
      <c r="AC272" s="14">
        <v>0</v>
      </c>
      <c r="AD272" s="14">
        <v>0</v>
      </c>
      <c r="AK272" s="17">
        <f t="shared" si="1306"/>
        <v>0</v>
      </c>
      <c r="AL272" s="14">
        <v>0</v>
      </c>
      <c r="AM272" s="17">
        <f t="shared" si="1298"/>
        <v>0</v>
      </c>
      <c r="AN272" s="17">
        <f t="shared" si="1299"/>
        <v>0.8</v>
      </c>
      <c r="AO272" s="17">
        <f t="shared" si="1300"/>
        <v>0</v>
      </c>
      <c r="AP272" s="17">
        <f t="shared" si="1308"/>
        <v>1.4</v>
      </c>
      <c r="AQ272" s="17">
        <f t="shared" si="1301"/>
        <v>0</v>
      </c>
    </row>
    <row r="273" spans="2:43" x14ac:dyDescent="0.2">
      <c r="B273" t="s">
        <v>91</v>
      </c>
      <c r="D273" s="14"/>
      <c r="E273" s="14"/>
      <c r="F273" s="14"/>
      <c r="G273" s="14"/>
      <c r="H273" s="14">
        <v>0</v>
      </c>
      <c r="I273" s="14">
        <v>0</v>
      </c>
      <c r="J273" s="14">
        <v>0</v>
      </c>
      <c r="K273" s="14">
        <v>0</v>
      </c>
      <c r="L273" s="14">
        <v>0</v>
      </c>
      <c r="M273" s="14">
        <v>0</v>
      </c>
      <c r="N273" s="14">
        <v>0</v>
      </c>
      <c r="O273" s="14">
        <v>0</v>
      </c>
      <c r="P273" s="14">
        <v>0</v>
      </c>
      <c r="Q273" s="14">
        <v>0</v>
      </c>
      <c r="R273" s="14">
        <v>0</v>
      </c>
      <c r="S273" s="14">
        <v>0</v>
      </c>
      <c r="T273" s="14">
        <v>0</v>
      </c>
      <c r="U273" s="14">
        <v>0</v>
      </c>
      <c r="V273" s="14">
        <v>-36.9</v>
      </c>
      <c r="W273" s="14">
        <v>0.6</v>
      </c>
      <c r="X273" s="14">
        <v>7</v>
      </c>
      <c r="Y273" s="14">
        <v>5.6</v>
      </c>
      <c r="Z273" s="14">
        <v>8.9</v>
      </c>
      <c r="AA273" s="14">
        <v>1.6000000000000014</v>
      </c>
      <c r="AB273" s="14">
        <v>2.1</v>
      </c>
      <c r="AC273" s="14">
        <v>0.3</v>
      </c>
      <c r="AD273" s="14">
        <v>1.5</v>
      </c>
      <c r="AK273" s="17"/>
      <c r="AL273" s="14">
        <v>0</v>
      </c>
      <c r="AM273" s="17">
        <f t="shared" ref="AM273" si="1309">+SUM(H273:K273)</f>
        <v>0</v>
      </c>
      <c r="AN273" s="17">
        <f t="shared" ref="AN273" si="1310">+SUM(L273:O273)</f>
        <v>0</v>
      </c>
      <c r="AO273" s="17">
        <f t="shared" ref="AO273" si="1311">+SUM(P273:S273)</f>
        <v>0</v>
      </c>
      <c r="AP273" s="17">
        <f t="shared" si="1308"/>
        <v>-36.299999999999997</v>
      </c>
      <c r="AQ273" s="17">
        <f t="shared" si="1301"/>
        <v>23.1</v>
      </c>
    </row>
    <row r="274" spans="2:43" x14ac:dyDescent="0.2">
      <c r="B274" t="s">
        <v>263</v>
      </c>
      <c r="D274" s="14"/>
      <c r="E274" s="14"/>
      <c r="F274" s="14"/>
      <c r="G274" s="14"/>
      <c r="H274" s="14">
        <v>0</v>
      </c>
      <c r="I274" s="14">
        <v>0</v>
      </c>
      <c r="J274" s="14">
        <v>0</v>
      </c>
      <c r="K274" s="14">
        <v>0</v>
      </c>
      <c r="L274" s="14">
        <v>0</v>
      </c>
      <c r="M274" s="14">
        <v>0</v>
      </c>
      <c r="N274" s="14">
        <v>0</v>
      </c>
      <c r="O274" s="14">
        <v>0</v>
      </c>
      <c r="P274" s="14">
        <v>0</v>
      </c>
      <c r="Q274" s="14">
        <v>0</v>
      </c>
      <c r="R274" s="14">
        <v>0</v>
      </c>
      <c r="S274" s="14">
        <v>0</v>
      </c>
      <c r="T274" s="14">
        <v>0</v>
      </c>
      <c r="U274" s="14">
        <v>0</v>
      </c>
      <c r="V274" s="14">
        <v>0</v>
      </c>
      <c r="W274" s="14">
        <v>0</v>
      </c>
      <c r="X274" s="14">
        <v>0</v>
      </c>
      <c r="Y274" s="14">
        <v>0</v>
      </c>
      <c r="Z274" s="14">
        <v>0</v>
      </c>
      <c r="AA274" s="14">
        <v>18.600000000000001</v>
      </c>
      <c r="AB274" s="14">
        <v>0</v>
      </c>
      <c r="AC274" s="14">
        <v>0</v>
      </c>
      <c r="AD274" s="14">
        <v>0</v>
      </c>
      <c r="AK274" s="17"/>
      <c r="AL274" s="14">
        <v>0</v>
      </c>
      <c r="AM274" s="17">
        <f t="shared" ref="AM274" si="1312">+SUM(H274:K274)</f>
        <v>0</v>
      </c>
      <c r="AN274" s="17">
        <f t="shared" ref="AN274" si="1313">+SUM(L274:O274)</f>
        <v>0</v>
      </c>
      <c r="AO274" s="17">
        <f t="shared" ref="AO274" si="1314">+SUM(P274:S274)</f>
        <v>0</v>
      </c>
      <c r="AP274" s="17">
        <f t="shared" ref="AP274" si="1315">+SUM(T274:W274)</f>
        <v>0</v>
      </c>
      <c r="AQ274" s="17">
        <f t="shared" si="1301"/>
        <v>18.600000000000001</v>
      </c>
    </row>
    <row r="275" spans="2:43" ht="13.5" x14ac:dyDescent="0.35">
      <c r="B275" t="s">
        <v>39</v>
      </c>
      <c r="D275" s="15">
        <v>0</v>
      </c>
      <c r="E275" s="15">
        <v>0</v>
      </c>
      <c r="F275" s="15">
        <v>0</v>
      </c>
      <c r="G275" s="15">
        <v>0</v>
      </c>
      <c r="H275" s="15">
        <v>0</v>
      </c>
      <c r="I275" s="15">
        <v>0</v>
      </c>
      <c r="J275" s="15">
        <v>0</v>
      </c>
      <c r="K275" s="15">
        <v>0</v>
      </c>
      <c r="L275" s="15">
        <v>0</v>
      </c>
      <c r="M275" s="15">
        <v>-12.4</v>
      </c>
      <c r="N275" s="15">
        <v>0</v>
      </c>
      <c r="O275" s="15">
        <v>0</v>
      </c>
      <c r="P275" s="15">
        <v>0</v>
      </c>
      <c r="Q275" s="15">
        <v>0</v>
      </c>
      <c r="R275" s="15">
        <v>0</v>
      </c>
      <c r="S275" s="15">
        <v>0</v>
      </c>
      <c r="T275" s="15">
        <v>0</v>
      </c>
      <c r="U275" s="15">
        <v>0</v>
      </c>
      <c r="V275" s="15">
        <v>0</v>
      </c>
      <c r="W275" s="15">
        <v>0</v>
      </c>
      <c r="X275" s="15">
        <v>0</v>
      </c>
      <c r="Y275" s="15">
        <v>0</v>
      </c>
      <c r="Z275" s="15">
        <v>0</v>
      </c>
      <c r="AA275" s="15">
        <v>0</v>
      </c>
      <c r="AB275" s="15">
        <v>0</v>
      </c>
      <c r="AC275" s="15">
        <v>0</v>
      </c>
      <c r="AD275" s="15">
        <v>0</v>
      </c>
      <c r="AK275" s="18">
        <f t="shared" si="1306"/>
        <v>0</v>
      </c>
      <c r="AL275" s="15">
        <v>0</v>
      </c>
      <c r="AM275" s="18">
        <f t="shared" si="1298"/>
        <v>0</v>
      </c>
      <c r="AN275" s="18">
        <f t="shared" si="1299"/>
        <v>-12.4</v>
      </c>
      <c r="AO275" s="18">
        <f t="shared" si="1300"/>
        <v>0</v>
      </c>
      <c r="AP275" s="18">
        <f t="shared" si="1308"/>
        <v>0</v>
      </c>
      <c r="AQ275" s="18">
        <f t="shared" si="1301"/>
        <v>0</v>
      </c>
    </row>
    <row r="276" spans="2:43" ht="13.5" x14ac:dyDescent="0.35">
      <c r="B276" s="11" t="s">
        <v>20</v>
      </c>
      <c r="D276" s="16">
        <f>+SUM(D265:D275)</f>
        <v>125.8</v>
      </c>
      <c r="E276" s="16">
        <f t="shared" ref="E276:V276" si="1316">+SUM(E265:E275)</f>
        <v>149.09999999999997</v>
      </c>
      <c r="F276" s="16">
        <f t="shared" si="1316"/>
        <v>147.30000000000001</v>
      </c>
      <c r="G276" s="16">
        <f t="shared" si="1316"/>
        <v>145.70000000000002</v>
      </c>
      <c r="H276" s="16">
        <f t="shared" si="1316"/>
        <v>155.10000000000002</v>
      </c>
      <c r="I276" s="16">
        <f t="shared" si="1316"/>
        <v>176.10000000000002</v>
      </c>
      <c r="J276" s="16">
        <f t="shared" si="1316"/>
        <v>203</v>
      </c>
      <c r="K276" s="16">
        <f t="shared" si="1316"/>
        <v>201.60000000000002</v>
      </c>
      <c r="L276" s="16">
        <f t="shared" si="1316"/>
        <v>190.79999999999998</v>
      </c>
      <c r="M276" s="16">
        <f t="shared" si="1316"/>
        <v>198.6</v>
      </c>
      <c r="N276" s="16">
        <f t="shared" si="1316"/>
        <v>218.70000000000002</v>
      </c>
      <c r="O276" s="16">
        <f t="shared" si="1316"/>
        <v>216.40000000000003</v>
      </c>
      <c r="P276" s="16">
        <f t="shared" si="1316"/>
        <v>282.8</v>
      </c>
      <c r="Q276" s="16">
        <f t="shared" si="1316"/>
        <v>346.09999999999997</v>
      </c>
      <c r="R276" s="16">
        <f t="shared" si="1316"/>
        <v>383.40000000000003</v>
      </c>
      <c r="S276" s="16">
        <f t="shared" si="1316"/>
        <v>404.4</v>
      </c>
      <c r="T276" s="16">
        <f t="shared" si="1316"/>
        <v>413.59999999999997</v>
      </c>
      <c r="U276" s="16">
        <f t="shared" si="1316"/>
        <v>483.8</v>
      </c>
      <c r="V276" s="16">
        <f t="shared" si="1316"/>
        <v>493.80000000000007</v>
      </c>
      <c r="W276" s="16">
        <f t="shared" ref="W276:X276" si="1317">+SUM(W265:W275)</f>
        <v>507.7000000000001</v>
      </c>
      <c r="X276" s="16">
        <f t="shared" si="1317"/>
        <v>538.20000000000005</v>
      </c>
      <c r="Y276" s="16">
        <f t="shared" ref="Y276:AB276" si="1318">+SUM(Y265:Y275)</f>
        <v>603.09999999999991</v>
      </c>
      <c r="Z276" s="16">
        <f t="shared" si="1318"/>
        <v>630.70000000000005</v>
      </c>
      <c r="AA276" s="16">
        <f t="shared" si="1318"/>
        <v>678.00000000000011</v>
      </c>
      <c r="AB276" s="16">
        <f t="shared" si="1318"/>
        <v>686</v>
      </c>
      <c r="AC276" s="16">
        <f t="shared" ref="AC276:AD276" si="1319">+SUM(AC265:AC275)</f>
        <v>767.8</v>
      </c>
      <c r="AD276" s="16">
        <f t="shared" si="1319"/>
        <v>828.80000000000007</v>
      </c>
      <c r="AK276" s="18">
        <f t="shared" si="1306"/>
        <v>567.9</v>
      </c>
      <c r="AL276" s="16">
        <f t="shared" ref="AL276" si="1320">+SUM(AL265:AL275)</f>
        <v>573.70000000000005</v>
      </c>
      <c r="AM276" s="18">
        <f t="shared" si="1298"/>
        <v>735.80000000000007</v>
      </c>
      <c r="AN276" s="18">
        <f t="shared" si="1299"/>
        <v>824.5</v>
      </c>
      <c r="AO276" s="18">
        <f t="shared" si="1300"/>
        <v>1416.6999999999998</v>
      </c>
      <c r="AP276" s="18">
        <f t="shared" si="1308"/>
        <v>1898.9</v>
      </c>
      <c r="AQ276" s="18">
        <f t="shared" si="1301"/>
        <v>2450</v>
      </c>
    </row>
    <row r="277" spans="2:43" s="1" customFormat="1" x14ac:dyDescent="0.2">
      <c r="B277" s="40" t="s">
        <v>21</v>
      </c>
      <c r="D277" s="56">
        <f>+D264-D276</f>
        <v>-5</v>
      </c>
      <c r="E277" s="56">
        <f t="shared" ref="E277:V277" si="1321">+E264-E276</f>
        <v>-9.4999999999999716</v>
      </c>
      <c r="F277" s="56">
        <f t="shared" si="1321"/>
        <v>1.5999999999999943</v>
      </c>
      <c r="G277" s="56">
        <f t="shared" si="1321"/>
        <v>5.5999999999999943</v>
      </c>
      <c r="H277" s="56">
        <f t="shared" si="1321"/>
        <v>-0.10000000000002274</v>
      </c>
      <c r="I277" s="56">
        <f t="shared" si="1321"/>
        <v>4.3999999999999773</v>
      </c>
      <c r="J277" s="56">
        <f t="shared" si="1321"/>
        <v>-9.1999999999999886</v>
      </c>
      <c r="K277" s="56">
        <f t="shared" si="1321"/>
        <v>0.49999999999997158</v>
      </c>
      <c r="L277" s="56">
        <f t="shared" si="1321"/>
        <v>8.6000000000000227</v>
      </c>
      <c r="M277" s="56">
        <f t="shared" si="1321"/>
        <v>-56.799999999999983</v>
      </c>
      <c r="N277" s="56">
        <f t="shared" si="1321"/>
        <v>-3.9000000000000057</v>
      </c>
      <c r="O277" s="56">
        <f t="shared" si="1321"/>
        <v>-5.5000000000000284</v>
      </c>
      <c r="P277" s="56">
        <f t="shared" si="1321"/>
        <v>-43.5</v>
      </c>
      <c r="Q277" s="56">
        <f t="shared" si="1321"/>
        <v>4.9000000000000341</v>
      </c>
      <c r="R277" s="56">
        <f t="shared" si="1321"/>
        <v>-5.6000000000000227</v>
      </c>
      <c r="S277" s="56">
        <f t="shared" si="1321"/>
        <v>-5</v>
      </c>
      <c r="T277" s="56">
        <f t="shared" si="1321"/>
        <v>-11.699999999999989</v>
      </c>
      <c r="U277" s="56">
        <f t="shared" si="1321"/>
        <v>22.899999999999977</v>
      </c>
      <c r="V277" s="56">
        <f t="shared" si="1321"/>
        <v>53.499999999999886</v>
      </c>
      <c r="W277" s="56">
        <f t="shared" ref="W277:X277" si="1322">+W264-W276</f>
        <v>29.999999999999943</v>
      </c>
      <c r="X277" s="56">
        <f t="shared" si="1322"/>
        <v>8.7999999999999545</v>
      </c>
      <c r="Y277" s="56">
        <f t="shared" ref="Y277:AB277" si="1323">+Y264-Y276</f>
        <v>33.900000000000091</v>
      </c>
      <c r="Z277" s="56">
        <f t="shared" si="1323"/>
        <v>44.699999999999932</v>
      </c>
      <c r="AA277" s="56">
        <f t="shared" si="1323"/>
        <v>27.399999999999977</v>
      </c>
      <c r="AB277" s="56">
        <f t="shared" si="1323"/>
        <v>21.399999999999977</v>
      </c>
      <c r="AC277" s="56">
        <f t="shared" ref="AC277:AD277" si="1324">+AC264-AC276</f>
        <v>59.200000000000045</v>
      </c>
      <c r="AD277" s="56">
        <f t="shared" si="1324"/>
        <v>80.399999999999977</v>
      </c>
      <c r="AK277" s="34">
        <f t="shared" si="1306"/>
        <v>-7.2999999999999829</v>
      </c>
      <c r="AL277" s="56">
        <f t="shared" ref="AL277" si="1325">+AL264-AL276</f>
        <v>-13.100000000000023</v>
      </c>
      <c r="AM277" s="34">
        <f t="shared" si="1298"/>
        <v>-4.4000000000000625</v>
      </c>
      <c r="AN277" s="34">
        <f t="shared" si="1299"/>
        <v>-57.599999999999994</v>
      </c>
      <c r="AO277" s="34">
        <f t="shared" si="1300"/>
        <v>-49.199999999999989</v>
      </c>
      <c r="AP277" s="34">
        <f t="shared" si="1308"/>
        <v>94.699999999999818</v>
      </c>
      <c r="AQ277" s="34">
        <f t="shared" si="1301"/>
        <v>114.79999999999995</v>
      </c>
    </row>
    <row r="278" spans="2:43" x14ac:dyDescent="0.2">
      <c r="B278" t="s">
        <v>22</v>
      </c>
      <c r="D278" s="14">
        <v>0</v>
      </c>
      <c r="E278" s="14">
        <v>0</v>
      </c>
      <c r="F278" s="14">
        <v>0</v>
      </c>
      <c r="G278" s="14">
        <v>0</v>
      </c>
      <c r="H278" s="14">
        <v>0</v>
      </c>
      <c r="I278" s="14">
        <v>0</v>
      </c>
      <c r="J278" s="14">
        <v>0</v>
      </c>
      <c r="K278" s="14">
        <v>0</v>
      </c>
      <c r="L278" s="14">
        <v>0</v>
      </c>
      <c r="M278" s="14">
        <v>-7.1</v>
      </c>
      <c r="N278" s="14">
        <v>0</v>
      </c>
      <c r="O278" s="14">
        <v>-9.5</v>
      </c>
      <c r="P278" s="14">
        <v>-0.2</v>
      </c>
      <c r="Q278" s="14">
        <v>0</v>
      </c>
      <c r="R278" s="14">
        <v>0</v>
      </c>
      <c r="S278" s="14">
        <v>0</v>
      </c>
      <c r="T278" s="14">
        <v>0</v>
      </c>
      <c r="U278" s="14">
        <v>0</v>
      </c>
      <c r="V278" s="14">
        <v>0</v>
      </c>
      <c r="W278" s="14">
        <v>0</v>
      </c>
      <c r="X278" s="14">
        <v>0</v>
      </c>
      <c r="Y278" s="14">
        <v>0</v>
      </c>
      <c r="Z278" s="14">
        <v>0</v>
      </c>
      <c r="AA278" s="14">
        <v>0</v>
      </c>
      <c r="AB278" s="14">
        <v>0</v>
      </c>
      <c r="AC278" s="14">
        <v>0</v>
      </c>
      <c r="AD278" s="14">
        <v>0</v>
      </c>
      <c r="AK278" s="17">
        <f t="shared" si="1306"/>
        <v>0</v>
      </c>
      <c r="AL278" s="14">
        <v>0</v>
      </c>
      <c r="AM278" s="17">
        <f t="shared" si="1298"/>
        <v>0</v>
      </c>
      <c r="AN278" s="17">
        <f t="shared" si="1299"/>
        <v>-16.600000000000001</v>
      </c>
      <c r="AO278" s="17">
        <f t="shared" si="1300"/>
        <v>-0.2</v>
      </c>
      <c r="AP278" s="17">
        <f t="shared" si="1308"/>
        <v>0</v>
      </c>
      <c r="AQ278" s="17">
        <f t="shared" si="1301"/>
        <v>0</v>
      </c>
    </row>
    <row r="279" spans="2:43" x14ac:dyDescent="0.2">
      <c r="B279" t="s">
        <v>23</v>
      </c>
      <c r="D279" s="14">
        <v>0</v>
      </c>
      <c r="E279" s="14">
        <v>0</v>
      </c>
      <c r="F279" s="14">
        <v>0</v>
      </c>
      <c r="G279" s="14">
        <v>0</v>
      </c>
      <c r="H279" s="14">
        <v>0</v>
      </c>
      <c r="I279" s="14">
        <v>0</v>
      </c>
      <c r="J279" s="14">
        <v>0</v>
      </c>
      <c r="K279" s="14">
        <v>0</v>
      </c>
      <c r="L279" s="14">
        <v>0</v>
      </c>
      <c r="M279" s="14">
        <v>0</v>
      </c>
      <c r="N279" s="14">
        <v>0</v>
      </c>
      <c r="O279" s="14">
        <v>0</v>
      </c>
      <c r="P279" s="14">
        <v>0</v>
      </c>
      <c r="Q279" s="14">
        <v>0</v>
      </c>
      <c r="R279" s="14">
        <v>0</v>
      </c>
      <c r="S279" s="14">
        <v>0</v>
      </c>
      <c r="T279" s="14">
        <v>0</v>
      </c>
      <c r="U279" s="14">
        <v>1.4</v>
      </c>
      <c r="V279" s="14">
        <v>3.5</v>
      </c>
      <c r="W279" s="14">
        <v>5.9</v>
      </c>
      <c r="X279" s="14">
        <v>7.6</v>
      </c>
      <c r="Y279" s="14">
        <v>8.8000000000000007</v>
      </c>
      <c r="Z279" s="14">
        <v>9.6</v>
      </c>
      <c r="AA279" s="14">
        <v>5.8999999999999986</v>
      </c>
      <c r="AB279" s="14">
        <v>5.4</v>
      </c>
      <c r="AC279" s="14">
        <v>5</v>
      </c>
      <c r="AD279" s="14">
        <v>9.6999999999999993</v>
      </c>
      <c r="AK279" s="17">
        <f t="shared" si="1306"/>
        <v>0</v>
      </c>
      <c r="AL279" s="14">
        <v>0</v>
      </c>
      <c r="AM279" s="17">
        <f t="shared" si="1298"/>
        <v>0</v>
      </c>
      <c r="AN279" s="17">
        <f t="shared" si="1299"/>
        <v>0</v>
      </c>
      <c r="AO279" s="17">
        <f t="shared" si="1300"/>
        <v>0</v>
      </c>
      <c r="AP279" s="17">
        <f t="shared" si="1308"/>
        <v>10.8</v>
      </c>
      <c r="AQ279" s="17">
        <f t="shared" si="1301"/>
        <v>31.9</v>
      </c>
    </row>
    <row r="280" spans="2:43" x14ac:dyDescent="0.2">
      <c r="B280" t="s">
        <v>24</v>
      </c>
      <c r="D280" s="14">
        <v>0.3</v>
      </c>
      <c r="E280" s="14">
        <v>0</v>
      </c>
      <c r="F280" s="14">
        <v>0</v>
      </c>
      <c r="G280" s="14">
        <v>0.3</v>
      </c>
      <c r="H280" s="14">
        <v>0.2</v>
      </c>
      <c r="I280" s="14">
        <v>0.7</v>
      </c>
      <c r="J280" s="14">
        <v>0.1</v>
      </c>
      <c r="K280" s="14">
        <v>0</v>
      </c>
      <c r="L280" s="14">
        <v>-0.1</v>
      </c>
      <c r="M280" s="14">
        <v>0.2</v>
      </c>
      <c r="N280" s="14">
        <v>0.5</v>
      </c>
      <c r="O280" s="14">
        <v>0</v>
      </c>
      <c r="P280" s="14">
        <v>0</v>
      </c>
      <c r="Q280" s="14">
        <v>0</v>
      </c>
      <c r="R280" s="14">
        <v>0.2</v>
      </c>
      <c r="S280" s="14">
        <v>0.1</v>
      </c>
      <c r="T280" s="14">
        <v>0.2</v>
      </c>
      <c r="U280" s="14">
        <v>0.1</v>
      </c>
      <c r="V280" s="14">
        <v>0</v>
      </c>
      <c r="W280" s="14">
        <v>0.2</v>
      </c>
      <c r="X280" s="14">
        <v>0.1</v>
      </c>
      <c r="Y280" s="14">
        <v>-0.4</v>
      </c>
      <c r="Z280" s="14">
        <v>0</v>
      </c>
      <c r="AA280" s="14">
        <v>-3.5999999999999996</v>
      </c>
      <c r="AB280" s="14">
        <v>1.4</v>
      </c>
      <c r="AC280" s="14">
        <v>0.4</v>
      </c>
      <c r="AD280" s="14">
        <v>-1.5</v>
      </c>
      <c r="AK280" s="17">
        <f t="shared" si="1306"/>
        <v>0.6</v>
      </c>
      <c r="AL280" s="14">
        <v>0.6</v>
      </c>
      <c r="AM280" s="17">
        <f t="shared" si="1298"/>
        <v>0.99999999999999989</v>
      </c>
      <c r="AN280" s="17">
        <f t="shared" si="1299"/>
        <v>0.6</v>
      </c>
      <c r="AO280" s="17">
        <f t="shared" si="1300"/>
        <v>0.30000000000000004</v>
      </c>
      <c r="AP280" s="17">
        <f t="shared" si="1308"/>
        <v>0.5</v>
      </c>
      <c r="AQ280" s="17">
        <f t="shared" si="1301"/>
        <v>-3.8999999999999995</v>
      </c>
    </row>
    <row r="281" spans="2:43" x14ac:dyDescent="0.2">
      <c r="B281" t="s">
        <v>235</v>
      </c>
      <c r="D281" s="14"/>
      <c r="E281" s="14"/>
      <c r="F281" s="14"/>
      <c r="G281" s="14"/>
      <c r="H281" s="14">
        <v>0</v>
      </c>
      <c r="I281" s="14">
        <v>0</v>
      </c>
      <c r="J281" s="14">
        <v>0</v>
      </c>
      <c r="K281" s="14">
        <v>0</v>
      </c>
      <c r="L281" s="14">
        <v>0</v>
      </c>
      <c r="M281" s="14">
        <v>0</v>
      </c>
      <c r="N281" s="14">
        <v>0</v>
      </c>
      <c r="O281" s="14">
        <v>0</v>
      </c>
      <c r="P281" s="14">
        <v>0</v>
      </c>
      <c r="Q281" s="14">
        <v>0</v>
      </c>
      <c r="R281" s="14">
        <v>0</v>
      </c>
      <c r="S281" s="14">
        <v>0</v>
      </c>
      <c r="T281" s="14">
        <v>0</v>
      </c>
      <c r="U281" s="14">
        <v>0</v>
      </c>
      <c r="V281" s="14">
        <v>0</v>
      </c>
      <c r="W281" s="14">
        <v>15.1</v>
      </c>
      <c r="X281" s="14">
        <v>8.9</v>
      </c>
      <c r="Y281" s="14">
        <v>0</v>
      </c>
      <c r="Z281" s="14">
        <v>2.6</v>
      </c>
      <c r="AA281" s="14">
        <v>0.69999999999999929</v>
      </c>
      <c r="AB281" s="14">
        <v>11</v>
      </c>
      <c r="AC281" s="14">
        <v>-0.2</v>
      </c>
      <c r="AD281" s="14">
        <v>10.8</v>
      </c>
      <c r="AK281" s="17"/>
      <c r="AL281" s="14">
        <v>0</v>
      </c>
      <c r="AM281" s="17">
        <f t="shared" ref="AM281" si="1326">+SUM(H281:K281)</f>
        <v>0</v>
      </c>
      <c r="AN281" s="17">
        <f t="shared" si="1299"/>
        <v>0</v>
      </c>
      <c r="AO281" s="17">
        <f t="shared" si="1300"/>
        <v>0</v>
      </c>
      <c r="AP281" s="17">
        <f t="shared" si="1308"/>
        <v>15.1</v>
      </c>
      <c r="AQ281" s="17">
        <f t="shared" si="1301"/>
        <v>12.2</v>
      </c>
    </row>
    <row r="282" spans="2:43" x14ac:dyDescent="0.2">
      <c r="B282" t="s">
        <v>228</v>
      </c>
      <c r="D282" s="14"/>
      <c r="E282" s="14"/>
      <c r="F282" s="14"/>
      <c r="G282" s="14"/>
      <c r="H282" s="14">
        <v>0</v>
      </c>
      <c r="I282" s="14">
        <v>0</v>
      </c>
      <c r="J282" s="14">
        <v>0</v>
      </c>
      <c r="K282" s="14">
        <v>0</v>
      </c>
      <c r="L282" s="14">
        <v>0</v>
      </c>
      <c r="M282" s="14">
        <v>0</v>
      </c>
      <c r="N282" s="14">
        <v>0</v>
      </c>
      <c r="O282" s="14">
        <v>0</v>
      </c>
      <c r="P282" s="14">
        <v>0</v>
      </c>
      <c r="Q282" s="14">
        <v>0</v>
      </c>
      <c r="R282" s="14">
        <v>0</v>
      </c>
      <c r="S282" s="14">
        <v>0</v>
      </c>
      <c r="T282" s="14">
        <v>0</v>
      </c>
      <c r="U282" s="14">
        <v>0</v>
      </c>
      <c r="V282" s="14">
        <v>-1.1000000000000001</v>
      </c>
      <c r="W282" s="14">
        <v>-0.6</v>
      </c>
      <c r="X282" s="14">
        <v>-0.5</v>
      </c>
      <c r="Y282" s="14">
        <v>-0.8</v>
      </c>
      <c r="Z282" s="14">
        <v>-1.5</v>
      </c>
      <c r="AA282" s="14">
        <v>-0.60000000000000009</v>
      </c>
      <c r="AB282" s="14">
        <v>-1.2</v>
      </c>
      <c r="AC282" s="14">
        <v>-3.6</v>
      </c>
      <c r="AD282" s="14">
        <v>-289.39999999999998</v>
      </c>
      <c r="AK282" s="17"/>
      <c r="AL282" s="14">
        <v>0</v>
      </c>
      <c r="AM282" s="17">
        <f t="shared" ref="AM282" si="1327">+SUM(H282:K282)</f>
        <v>0</v>
      </c>
      <c r="AN282" s="17">
        <f t="shared" ref="AN282" si="1328">+SUM(L282:O282)</f>
        <v>0</v>
      </c>
      <c r="AO282" s="17">
        <f t="shared" ref="AO282" si="1329">+SUM(P282:S282)</f>
        <v>0</v>
      </c>
      <c r="AP282" s="17">
        <f t="shared" si="1308"/>
        <v>-1.7000000000000002</v>
      </c>
      <c r="AQ282" s="17">
        <f t="shared" si="1301"/>
        <v>-3.4</v>
      </c>
    </row>
    <row r="283" spans="2:43" ht="13.5" x14ac:dyDescent="0.35">
      <c r="B283" t="s">
        <v>25</v>
      </c>
      <c r="D283" s="15">
        <v>-10.9</v>
      </c>
      <c r="E283" s="15">
        <v>-11.4</v>
      </c>
      <c r="F283" s="15">
        <v>-12.2</v>
      </c>
      <c r="G283" s="15">
        <v>-12.5</v>
      </c>
      <c r="H283" s="15">
        <v>-12.5</v>
      </c>
      <c r="I283" s="15">
        <v>-12.7</v>
      </c>
      <c r="J283" s="15">
        <v>-12.9</v>
      </c>
      <c r="K283" s="15">
        <v>-13.4</v>
      </c>
      <c r="L283" s="15">
        <v>-13.3</v>
      </c>
      <c r="M283" s="15">
        <v>-11.7</v>
      </c>
      <c r="N283" s="15">
        <v>-7.1</v>
      </c>
      <c r="O283" s="15">
        <v>-8.1</v>
      </c>
      <c r="P283" s="15">
        <v>-6.5</v>
      </c>
      <c r="Q283" s="15">
        <v>-6.3</v>
      </c>
      <c r="R283" s="15">
        <v>-7.4</v>
      </c>
      <c r="S283" s="15">
        <v>-7.8</v>
      </c>
      <c r="T283" s="15">
        <v>-7.9</v>
      </c>
      <c r="U283" s="15">
        <v>-8.4</v>
      </c>
      <c r="V283" s="15">
        <v>-8.3000000000000007</v>
      </c>
      <c r="W283" s="15">
        <v>-7.9</v>
      </c>
      <c r="X283" s="15">
        <v>-8.1</v>
      </c>
      <c r="Y283" s="15">
        <v>-8</v>
      </c>
      <c r="Z283" s="15">
        <v>-8</v>
      </c>
      <c r="AA283" s="15">
        <v>-8</v>
      </c>
      <c r="AB283" s="15">
        <v>-8.1</v>
      </c>
      <c r="AC283" s="15">
        <v>-8.1</v>
      </c>
      <c r="AD283" s="15">
        <v>-18.3</v>
      </c>
      <c r="AK283" s="18">
        <f t="shared" si="1306"/>
        <v>-47</v>
      </c>
      <c r="AL283" s="15">
        <v>-47</v>
      </c>
      <c r="AM283" s="18">
        <f t="shared" si="1298"/>
        <v>-51.5</v>
      </c>
      <c r="AN283" s="18">
        <f t="shared" si="1299"/>
        <v>-40.200000000000003</v>
      </c>
      <c r="AO283" s="18">
        <f t="shared" si="1300"/>
        <v>-28.000000000000004</v>
      </c>
      <c r="AP283" s="18">
        <f t="shared" si="1308"/>
        <v>-32.5</v>
      </c>
      <c r="AQ283" s="18">
        <f t="shared" si="1301"/>
        <v>-32.1</v>
      </c>
    </row>
    <row r="284" spans="2:43" x14ac:dyDescent="0.2">
      <c r="B284" s="11" t="s">
        <v>26</v>
      </c>
      <c r="D284" s="13">
        <f>+SUM(D277:D283)</f>
        <v>-15.600000000000001</v>
      </c>
      <c r="E284" s="13">
        <f t="shared" ref="E284:G284" si="1330">+SUM(E277:E283)</f>
        <v>-20.89999999999997</v>
      </c>
      <c r="F284" s="13">
        <f t="shared" si="1330"/>
        <v>-10.600000000000005</v>
      </c>
      <c r="G284" s="13">
        <f t="shared" si="1330"/>
        <v>-6.6000000000000059</v>
      </c>
      <c r="H284" s="13">
        <f>+SUM(H277:H283)</f>
        <v>-12.400000000000023</v>
      </c>
      <c r="I284" s="13">
        <f t="shared" ref="I284:U284" si="1331">+SUM(I277:I283)</f>
        <v>-7.6000000000000218</v>
      </c>
      <c r="J284" s="13">
        <f t="shared" si="1331"/>
        <v>-21.999999999999989</v>
      </c>
      <c r="K284" s="13">
        <f t="shared" si="1331"/>
        <v>-12.900000000000029</v>
      </c>
      <c r="L284" s="13">
        <f t="shared" si="1331"/>
        <v>-4.7999999999999776</v>
      </c>
      <c r="M284" s="13">
        <f t="shared" si="1331"/>
        <v>-75.399999999999977</v>
      </c>
      <c r="N284" s="13">
        <f t="shared" si="1331"/>
        <v>-10.500000000000005</v>
      </c>
      <c r="O284" s="13">
        <f t="shared" si="1331"/>
        <v>-23.10000000000003</v>
      </c>
      <c r="P284" s="13">
        <f t="shared" si="1331"/>
        <v>-50.2</v>
      </c>
      <c r="Q284" s="13">
        <f t="shared" si="1331"/>
        <v>-1.3999999999999657</v>
      </c>
      <c r="R284" s="13">
        <f t="shared" si="1331"/>
        <v>-12.800000000000022</v>
      </c>
      <c r="S284" s="13">
        <f t="shared" si="1331"/>
        <v>-12.7</v>
      </c>
      <c r="T284" s="13">
        <f t="shared" si="1331"/>
        <v>-19.399999999999991</v>
      </c>
      <c r="U284" s="13">
        <f t="shared" si="1331"/>
        <v>15.999999999999977</v>
      </c>
      <c r="V284" s="13">
        <f t="shared" ref="V284:W284" si="1332">+SUM(V277:V283)</f>
        <v>47.599999999999881</v>
      </c>
      <c r="W284" s="13">
        <f t="shared" si="1332"/>
        <v>42.699999999999946</v>
      </c>
      <c r="X284" s="13">
        <f t="shared" ref="X284:Y284" si="1333">+SUM(X277:X283)</f>
        <v>16.799999999999955</v>
      </c>
      <c r="Y284" s="13">
        <f t="shared" si="1333"/>
        <v>33.500000000000092</v>
      </c>
      <c r="Z284" s="13">
        <f t="shared" ref="Z284:AB284" si="1334">+SUM(Z277:Z283)</f>
        <v>47.399999999999935</v>
      </c>
      <c r="AA284" s="13">
        <f t="shared" si="1334"/>
        <v>21.799999999999972</v>
      </c>
      <c r="AB284" s="13">
        <f t="shared" si="1334"/>
        <v>29.89999999999997</v>
      </c>
      <c r="AC284" s="13">
        <f t="shared" ref="AC284:AD284" si="1335">+SUM(AC277:AC283)</f>
        <v>52.700000000000045</v>
      </c>
      <c r="AD284" s="13">
        <f t="shared" si="1335"/>
        <v>-208.3</v>
      </c>
      <c r="AK284" s="17">
        <f t="shared" si="1306"/>
        <v>-53.699999999999989</v>
      </c>
      <c r="AL284" s="13">
        <f t="shared" ref="AL284" si="1336">+SUM(AL277:AL283)</f>
        <v>-59.500000000000021</v>
      </c>
      <c r="AM284" s="17">
        <f t="shared" si="1298"/>
        <v>-54.900000000000063</v>
      </c>
      <c r="AN284" s="17">
        <f t="shared" si="1299"/>
        <v>-113.79999999999998</v>
      </c>
      <c r="AO284" s="17">
        <f t="shared" si="1300"/>
        <v>-77.099999999999994</v>
      </c>
      <c r="AP284" s="17">
        <f t="shared" si="1308"/>
        <v>86.899999999999807</v>
      </c>
      <c r="AQ284" s="17">
        <f t="shared" si="1301"/>
        <v>119.49999999999996</v>
      </c>
    </row>
    <row r="285" spans="2:43" ht="13.5" x14ac:dyDescent="0.35">
      <c r="B285" t="s">
        <v>27</v>
      </c>
      <c r="D285" s="15">
        <v>1.7</v>
      </c>
      <c r="E285" s="15">
        <v>2.5</v>
      </c>
      <c r="F285" s="15">
        <v>-0.2</v>
      </c>
      <c r="G285" s="15">
        <v>-0.2</v>
      </c>
      <c r="H285" s="15">
        <v>-0.3</v>
      </c>
      <c r="I285" s="15">
        <v>-0.4</v>
      </c>
      <c r="J285" s="15">
        <v>-0.5</v>
      </c>
      <c r="K285" s="15">
        <v>-0.5</v>
      </c>
      <c r="L285" s="15">
        <v>-0.3</v>
      </c>
      <c r="M285" s="15">
        <v>0.6</v>
      </c>
      <c r="N285" s="15">
        <v>0.7</v>
      </c>
      <c r="O285" s="15">
        <v>1.4</v>
      </c>
      <c r="P285" s="15">
        <v>-0.8</v>
      </c>
      <c r="Q285" s="15">
        <v>5.9</v>
      </c>
      <c r="R285" s="15">
        <v>-1</v>
      </c>
      <c r="S285" s="15">
        <v>-1</v>
      </c>
      <c r="T285" s="15">
        <v>6.2</v>
      </c>
      <c r="U285" s="15">
        <v>-1</v>
      </c>
      <c r="V285" s="15">
        <v>-1.2</v>
      </c>
      <c r="W285" s="15">
        <v>-4.2</v>
      </c>
      <c r="X285" s="15">
        <v>3.6</v>
      </c>
      <c r="Y285" s="15">
        <v>3.3</v>
      </c>
      <c r="Z285" s="15">
        <v>-0.9</v>
      </c>
      <c r="AA285" s="15">
        <v>-2.6</v>
      </c>
      <c r="AB285" s="15">
        <v>-1.4</v>
      </c>
      <c r="AC285" s="15">
        <v>1.8</v>
      </c>
      <c r="AD285" s="15">
        <v>280.5</v>
      </c>
      <c r="AK285" s="18">
        <f t="shared" si="1306"/>
        <v>3.8</v>
      </c>
      <c r="AL285" s="15">
        <v>4.0999999999999996</v>
      </c>
      <c r="AM285" s="18">
        <f t="shared" si="1298"/>
        <v>-1.7</v>
      </c>
      <c r="AN285" s="18">
        <f t="shared" si="1299"/>
        <v>2.4</v>
      </c>
      <c r="AO285" s="18">
        <f t="shared" si="1300"/>
        <v>3.1000000000000005</v>
      </c>
      <c r="AP285" s="18">
        <f t="shared" si="1308"/>
        <v>-0.20000000000000018</v>
      </c>
      <c r="AQ285" s="18">
        <f t="shared" si="1301"/>
        <v>3.4</v>
      </c>
    </row>
    <row r="286" spans="2:43" s="1" customFormat="1" x14ac:dyDescent="0.2">
      <c r="B286" s="31" t="s">
        <v>28</v>
      </c>
      <c r="D286" s="56">
        <f>+SUM(D284:D285)</f>
        <v>-13.900000000000002</v>
      </c>
      <c r="E286" s="56">
        <f t="shared" ref="E286:G286" si="1337">+SUM(E284:E285)</f>
        <v>-18.39999999999997</v>
      </c>
      <c r="F286" s="56">
        <f t="shared" si="1337"/>
        <v>-10.800000000000004</v>
      </c>
      <c r="G286" s="56">
        <f t="shared" si="1337"/>
        <v>-6.800000000000006</v>
      </c>
      <c r="H286" s="56">
        <f>+SUM(H284:H285)</f>
        <v>-12.700000000000024</v>
      </c>
      <c r="I286" s="56">
        <f t="shared" ref="I286:U286" si="1338">+SUM(I284:I285)</f>
        <v>-8.0000000000000213</v>
      </c>
      <c r="J286" s="56">
        <f t="shared" si="1338"/>
        <v>-22.499999999999989</v>
      </c>
      <c r="K286" s="56">
        <f t="shared" si="1338"/>
        <v>-13.400000000000029</v>
      </c>
      <c r="L286" s="56">
        <f t="shared" si="1338"/>
        <v>-5.0999999999999774</v>
      </c>
      <c r="M286" s="56">
        <f t="shared" si="1338"/>
        <v>-74.799999999999983</v>
      </c>
      <c r="N286" s="56">
        <f t="shared" si="1338"/>
        <v>-9.800000000000006</v>
      </c>
      <c r="O286" s="56">
        <f t="shared" si="1338"/>
        <v>-21.700000000000031</v>
      </c>
      <c r="P286" s="56">
        <f t="shared" si="1338"/>
        <v>-51</v>
      </c>
      <c r="Q286" s="56">
        <f t="shared" si="1338"/>
        <v>4.5000000000000346</v>
      </c>
      <c r="R286" s="56">
        <f t="shared" si="1338"/>
        <v>-13.800000000000022</v>
      </c>
      <c r="S286" s="56">
        <f t="shared" si="1338"/>
        <v>-13.7</v>
      </c>
      <c r="T286" s="56">
        <f t="shared" si="1338"/>
        <v>-13.199999999999992</v>
      </c>
      <c r="U286" s="56">
        <f t="shared" si="1338"/>
        <v>14.999999999999977</v>
      </c>
      <c r="V286" s="56">
        <f t="shared" ref="V286:W286" si="1339">+SUM(V284:V285)</f>
        <v>46.399999999999878</v>
      </c>
      <c r="W286" s="56">
        <f t="shared" si="1339"/>
        <v>38.499999999999943</v>
      </c>
      <c r="X286" s="56">
        <f t="shared" ref="X286:Y286" si="1340">+SUM(X284:X285)</f>
        <v>20.399999999999956</v>
      </c>
      <c r="Y286" s="56">
        <f t="shared" si="1340"/>
        <v>36.80000000000009</v>
      </c>
      <c r="Z286" s="56">
        <f t="shared" ref="Z286:AB286" si="1341">+SUM(Z284:Z285)</f>
        <v>46.499999999999936</v>
      </c>
      <c r="AA286" s="56">
        <f t="shared" si="1341"/>
        <v>19.199999999999971</v>
      </c>
      <c r="AB286" s="56">
        <f t="shared" si="1341"/>
        <v>28.499999999999972</v>
      </c>
      <c r="AC286" s="56">
        <f t="shared" ref="AC286:AD286" si="1342">+SUM(AC284:AC285)</f>
        <v>54.500000000000043</v>
      </c>
      <c r="AD286" s="56">
        <f t="shared" si="1342"/>
        <v>72.199999999999989</v>
      </c>
      <c r="AK286" s="34">
        <f t="shared" si="1306"/>
        <v>-49.899999999999977</v>
      </c>
      <c r="AL286" s="56">
        <f t="shared" ref="AL286" si="1343">+SUM(AL284:AL285)</f>
        <v>-55.40000000000002</v>
      </c>
      <c r="AM286" s="34">
        <f t="shared" si="1298"/>
        <v>-56.600000000000058</v>
      </c>
      <c r="AN286" s="34">
        <f t="shared" si="1299"/>
        <v>-111.4</v>
      </c>
      <c r="AO286" s="34">
        <f t="shared" si="1300"/>
        <v>-73.999999999999986</v>
      </c>
      <c r="AP286" s="34">
        <f t="shared" si="1308"/>
        <v>86.699999999999804</v>
      </c>
      <c r="AQ286" s="34">
        <f t="shared" si="1301"/>
        <v>122.89999999999996</v>
      </c>
    </row>
    <row r="287" spans="2:43" ht="13.5" x14ac:dyDescent="0.35">
      <c r="B287" t="s">
        <v>29</v>
      </c>
      <c r="D287" s="15">
        <v>0</v>
      </c>
      <c r="E287" s="15">
        <v>0</v>
      </c>
      <c r="F287" s="15">
        <v>0</v>
      </c>
      <c r="G287" s="15">
        <v>0</v>
      </c>
      <c r="H287" s="15">
        <v>0</v>
      </c>
      <c r="I287" s="15">
        <v>0</v>
      </c>
      <c r="J287" s="15">
        <v>0</v>
      </c>
      <c r="K287" s="15">
        <v>0</v>
      </c>
      <c r="L287" s="15">
        <v>-5.0999999999999996</v>
      </c>
      <c r="M287" s="15">
        <v>-73.8</v>
      </c>
      <c r="N287" s="15">
        <v>-4.8</v>
      </c>
      <c r="O287" s="15">
        <v>-9.3000000000000007</v>
      </c>
      <c r="P287" s="15">
        <v>-18.2</v>
      </c>
      <c r="Q287" s="15">
        <v>1.3</v>
      </c>
      <c r="R287" s="15">
        <v>-4.5999999999999996</v>
      </c>
      <c r="S287" s="15">
        <v>-4.3</v>
      </c>
      <c r="T287" s="15">
        <v>-5.7</v>
      </c>
      <c r="U287" s="15">
        <v>4.7</v>
      </c>
      <c r="V287" s="15">
        <v>3.3</v>
      </c>
      <c r="W287" s="15">
        <v>9.3000000000000007</v>
      </c>
      <c r="X287" s="15">
        <v>5.6</v>
      </c>
      <c r="Y287" s="15">
        <v>11.7</v>
      </c>
      <c r="Z287" s="15">
        <v>13.9</v>
      </c>
      <c r="AA287" s="15">
        <v>5.5000000000000071</v>
      </c>
      <c r="AB287" s="15">
        <v>7.9</v>
      </c>
      <c r="AC287" s="15">
        <v>15.3</v>
      </c>
      <c r="AD287" s="15">
        <v>18.399999999999999</v>
      </c>
      <c r="AK287" s="18">
        <f t="shared" si="1306"/>
        <v>0</v>
      </c>
      <c r="AL287" s="15">
        <v>0</v>
      </c>
      <c r="AM287" s="18">
        <f t="shared" si="1298"/>
        <v>0</v>
      </c>
      <c r="AN287" s="18">
        <f t="shared" si="1299"/>
        <v>-92.999999999999986</v>
      </c>
      <c r="AO287" s="18">
        <f t="shared" si="1300"/>
        <v>-25.8</v>
      </c>
      <c r="AP287" s="18">
        <f t="shared" si="1308"/>
        <v>11.600000000000001</v>
      </c>
      <c r="AQ287" s="18">
        <f t="shared" si="1301"/>
        <v>36.700000000000003</v>
      </c>
    </row>
    <row r="288" spans="2:43" s="1" customFormat="1" x14ac:dyDescent="0.2">
      <c r="B288" s="31" t="s">
        <v>30</v>
      </c>
      <c r="D288" s="56">
        <f>+D286-D287</f>
        <v>-13.900000000000002</v>
      </c>
      <c r="E288" s="56">
        <f t="shared" ref="E288:G288" si="1344">+E286-E287</f>
        <v>-18.39999999999997</v>
      </c>
      <c r="F288" s="56">
        <f t="shared" si="1344"/>
        <v>-10.800000000000004</v>
      </c>
      <c r="G288" s="56">
        <f t="shared" si="1344"/>
        <v>-6.800000000000006</v>
      </c>
      <c r="H288" s="56">
        <f>+H286-H287</f>
        <v>-12.700000000000024</v>
      </c>
      <c r="I288" s="56">
        <f t="shared" ref="I288:U288" si="1345">+I286-I287</f>
        <v>-8.0000000000000213</v>
      </c>
      <c r="J288" s="56">
        <f t="shared" si="1345"/>
        <v>-22.499999999999989</v>
      </c>
      <c r="K288" s="56">
        <f t="shared" si="1345"/>
        <v>-13.400000000000029</v>
      </c>
      <c r="L288" s="56">
        <f t="shared" si="1345"/>
        <v>2.2204460492503131E-14</v>
      </c>
      <c r="M288" s="56">
        <f t="shared" si="1345"/>
        <v>-0.99999999999998579</v>
      </c>
      <c r="N288" s="56">
        <f t="shared" si="1345"/>
        <v>-5.0000000000000062</v>
      </c>
      <c r="O288" s="56">
        <f t="shared" si="1345"/>
        <v>-12.400000000000031</v>
      </c>
      <c r="P288" s="56">
        <f t="shared" si="1345"/>
        <v>-32.799999999999997</v>
      </c>
      <c r="Q288" s="56">
        <f t="shared" si="1345"/>
        <v>3.2000000000000348</v>
      </c>
      <c r="R288" s="56">
        <f t="shared" si="1345"/>
        <v>-9.2000000000000224</v>
      </c>
      <c r="S288" s="56">
        <f t="shared" si="1345"/>
        <v>-9.3999999999999986</v>
      </c>
      <c r="T288" s="56">
        <f t="shared" si="1345"/>
        <v>-7.499999999999992</v>
      </c>
      <c r="U288" s="56">
        <f t="shared" si="1345"/>
        <v>10.299999999999976</v>
      </c>
      <c r="V288" s="56">
        <f t="shared" ref="V288:W288" si="1346">+V286-V287</f>
        <v>43.099999999999881</v>
      </c>
      <c r="W288" s="56">
        <f t="shared" si="1346"/>
        <v>29.199999999999942</v>
      </c>
      <c r="X288" s="56">
        <f t="shared" ref="X288:Y288" si="1347">+X286-X287</f>
        <v>14.799999999999956</v>
      </c>
      <c r="Y288" s="56">
        <f t="shared" si="1347"/>
        <v>25.10000000000009</v>
      </c>
      <c r="Z288" s="56">
        <f t="shared" ref="Z288:AB288" si="1348">+Z286-Z287</f>
        <v>32.599999999999937</v>
      </c>
      <c r="AA288" s="56">
        <f t="shared" si="1348"/>
        <v>13.699999999999964</v>
      </c>
      <c r="AB288" s="56">
        <f t="shared" si="1348"/>
        <v>20.599999999999973</v>
      </c>
      <c r="AC288" s="56">
        <f t="shared" ref="AC288:AD288" si="1349">+AC286-AC287</f>
        <v>39.200000000000045</v>
      </c>
      <c r="AD288" s="56">
        <f t="shared" si="1349"/>
        <v>53.79999999999999</v>
      </c>
      <c r="AK288" s="34">
        <f t="shared" si="1306"/>
        <v>-49.899999999999977</v>
      </c>
      <c r="AL288" s="56">
        <f t="shared" ref="AL288" si="1350">+AL286-AL287</f>
        <v>-55.40000000000002</v>
      </c>
      <c r="AM288" s="34">
        <f t="shared" si="1298"/>
        <v>-56.600000000000058</v>
      </c>
      <c r="AN288" s="34">
        <f t="shared" si="1299"/>
        <v>-18.399999999999999</v>
      </c>
      <c r="AO288" s="34">
        <f t="shared" si="1300"/>
        <v>-48.199999999999982</v>
      </c>
      <c r="AP288" s="34">
        <f t="shared" si="1308"/>
        <v>75.09999999999981</v>
      </c>
      <c r="AQ288" s="34">
        <f t="shared" si="1301"/>
        <v>86.199999999999946</v>
      </c>
    </row>
    <row r="289" spans="2:43" x14ac:dyDescent="0.2">
      <c r="AK289" s="13"/>
    </row>
    <row r="290" spans="2:43" x14ac:dyDescent="0.2">
      <c r="B290" t="s">
        <v>35</v>
      </c>
      <c r="M290" s="20">
        <f t="shared" ref="M290:U290" si="1351">+M299/M307</f>
        <v>-2.6312240090981414E-2</v>
      </c>
      <c r="N290" s="20">
        <f t="shared" si="1351"/>
        <v>-0.12012400057367791</v>
      </c>
      <c r="O290" s="20">
        <f t="shared" si="1351"/>
        <v>-0.27646923016390762</v>
      </c>
      <c r="P290" s="20">
        <f t="shared" si="1351"/>
        <v>-0.6187342319448077</v>
      </c>
      <c r="Q290" s="20">
        <f t="shared" si="1351"/>
        <v>5.8318416958235357E-2</v>
      </c>
      <c r="R290" s="20">
        <f t="shared" si="1351"/>
        <v>-0.1670268846272259</v>
      </c>
      <c r="S290" s="20">
        <f t="shared" si="1351"/>
        <v>-0.16582410088540719</v>
      </c>
      <c r="T290" s="20">
        <f t="shared" si="1351"/>
        <v>-0.13238837961573527</v>
      </c>
      <c r="U290" s="20">
        <f t="shared" si="1351"/>
        <v>0.18536252749375207</v>
      </c>
      <c r="V290" s="20">
        <f t="shared" ref="V290:W290" si="1352">+V299/V307</f>
        <v>0.78053970825872176</v>
      </c>
      <c r="W290" s="20">
        <f t="shared" si="1352"/>
        <v>0.51190366225521899</v>
      </c>
      <c r="X290" s="20">
        <f t="shared" ref="X290:AA290" si="1353">+X299/X307</f>
        <v>0.25707776732810966</v>
      </c>
      <c r="Y290" s="20">
        <f t="shared" si="1353"/>
        <v>0.42520017352383943</v>
      </c>
      <c r="Z290" s="20">
        <f t="shared" si="1353"/>
        <v>0.55892593396523571</v>
      </c>
      <c r="AA290" s="20">
        <f t="shared" si="1353"/>
        <v>0.21045740299987459</v>
      </c>
      <c r="AB290" s="20">
        <f t="shared" ref="AB290:AC290" si="1354">+AB299/AB307</f>
        <v>0.31189638448314561</v>
      </c>
      <c r="AC290" s="20">
        <f t="shared" si="1354"/>
        <v>0.59126448163454925</v>
      </c>
      <c r="AD290" s="150">
        <v>0.78</v>
      </c>
      <c r="AN290" s="20">
        <f>+AN299/AN307</f>
        <v>-0.42986526210856729</v>
      </c>
      <c r="AO290" s="20">
        <f>+AO299/AO307</f>
        <v>-0.89085289268443579</v>
      </c>
      <c r="AP290" s="20">
        <f>+AP299/AP307</f>
        <v>1.3364186824219533</v>
      </c>
      <c r="AQ290" s="20">
        <f>+AQ299/AQ307</f>
        <v>1.4444342010081908</v>
      </c>
    </row>
    <row r="291" spans="2:43" s="1" customFormat="1" x14ac:dyDescent="0.2">
      <c r="B291" s="1" t="s">
        <v>36</v>
      </c>
      <c r="M291" s="57">
        <f t="shared" ref="M291:U291" si="1355">+M301/M312</f>
        <v>-2.6312240090981414E-2</v>
      </c>
      <c r="N291" s="57">
        <f t="shared" si="1355"/>
        <v>-0.12012400057367791</v>
      </c>
      <c r="O291" s="57">
        <f t="shared" si="1355"/>
        <v>-0.27646923016390762</v>
      </c>
      <c r="P291" s="57">
        <f t="shared" si="1355"/>
        <v>-0.6187342319448077</v>
      </c>
      <c r="Q291" s="57">
        <f t="shared" si="1355"/>
        <v>5.3249981440433289E-2</v>
      </c>
      <c r="R291" s="57">
        <f t="shared" si="1355"/>
        <v>-0.1670268846272259</v>
      </c>
      <c r="S291" s="57">
        <f t="shared" si="1355"/>
        <v>-0.16582410088540719</v>
      </c>
      <c r="T291" s="57">
        <f t="shared" si="1355"/>
        <v>-0.13238837961573527</v>
      </c>
      <c r="U291" s="57">
        <f t="shared" si="1355"/>
        <v>0.1821310813950171</v>
      </c>
      <c r="V291" s="57">
        <f t="shared" ref="V291:X291" si="1356">+V301/V312</f>
        <v>0.56939888931998694</v>
      </c>
      <c r="W291" s="275">
        <v>0.46</v>
      </c>
      <c r="X291" s="57">
        <f t="shared" si="1356"/>
        <v>0.24197852145140808</v>
      </c>
      <c r="Y291" s="57">
        <f t="shared" ref="Y291:Z291" si="1357">+Y301/Y312</f>
        <v>0.41943407204612182</v>
      </c>
      <c r="Z291" s="57">
        <f t="shared" si="1357"/>
        <v>0.55138373649974637</v>
      </c>
      <c r="AA291" s="275">
        <v>0.21</v>
      </c>
      <c r="AB291" s="57">
        <f t="shared" ref="AB291:AC291" si="1358">+AB301/AB312</f>
        <v>0.30623586113198209</v>
      </c>
      <c r="AC291" s="57">
        <f t="shared" si="1358"/>
        <v>0.5841547609291734</v>
      </c>
      <c r="AD291" s="275">
        <v>0.74</v>
      </c>
      <c r="AN291" s="57">
        <f>+AN301/AN312</f>
        <v>-0.42986526210856729</v>
      </c>
      <c r="AO291" s="57">
        <f>+AO301/AO312</f>
        <v>-0.89085289268443579</v>
      </c>
      <c r="AP291" s="57">
        <f>+AP301/AP312</f>
        <v>1.0468452210317998</v>
      </c>
      <c r="AQ291" s="275">
        <v>1.43</v>
      </c>
    </row>
    <row r="292" spans="2:43" x14ac:dyDescent="0.2">
      <c r="B292" t="s">
        <v>37</v>
      </c>
      <c r="M292" s="20">
        <f t="shared" ref="M292:T292" si="1359">+M303/M314</f>
        <v>-2.979269793883688E-2</v>
      </c>
      <c r="N292" s="20">
        <f t="shared" si="1359"/>
        <v>-0.11965445665769621</v>
      </c>
      <c r="O292" s="20">
        <f t="shared" si="1359"/>
        <v>-0.27646923016390773</v>
      </c>
      <c r="P292" s="20">
        <f t="shared" si="1359"/>
        <v>-0.61938977719151089</v>
      </c>
      <c r="Q292" s="20">
        <f t="shared" si="1359"/>
        <v>6.1336545405543126E-2</v>
      </c>
      <c r="R292" s="20">
        <f t="shared" si="1359"/>
        <v>-0.1797974075502162</v>
      </c>
      <c r="S292" s="20">
        <f t="shared" si="1359"/>
        <v>-0.16582410088540711</v>
      </c>
      <c r="T292" s="20">
        <f t="shared" si="1359"/>
        <v>-0.13119422605464851</v>
      </c>
      <c r="U292" s="150">
        <v>0.19</v>
      </c>
      <c r="V292" s="150">
        <v>0.78</v>
      </c>
      <c r="W292" s="20">
        <f t="shared" ref="W292" si="1360">+W303/W314</f>
        <v>0.51190366225521944</v>
      </c>
      <c r="X292" s="150">
        <v>0.26</v>
      </c>
      <c r="Y292" s="150">
        <v>0.43</v>
      </c>
      <c r="Z292" s="150">
        <v>0.56000000000000005</v>
      </c>
      <c r="AA292" s="20">
        <f t="shared" ref="AA292" si="1361">+AA303/AA314</f>
        <v>0.35516938657837654</v>
      </c>
      <c r="AB292" s="150">
        <v>0.31</v>
      </c>
      <c r="AC292" s="150">
        <v>0.59</v>
      </c>
      <c r="AD292" s="150">
        <v>0.78</v>
      </c>
      <c r="AN292" s="20">
        <f>+AN303/AN314</f>
        <v>-0.43239009310187948</v>
      </c>
      <c r="AO292" s="20">
        <f>+AO303/AO314</f>
        <v>-0.88682309134523429</v>
      </c>
      <c r="AP292" s="20">
        <f>+AP303/AP314</f>
        <v>1.3455540694083366</v>
      </c>
      <c r="AQ292" s="20">
        <f>+AQ303/AQ314</f>
        <v>1.4417724738858959</v>
      </c>
    </row>
    <row r="293" spans="2:43" x14ac:dyDescent="0.2">
      <c r="B293" t="s">
        <v>38</v>
      </c>
      <c r="M293" s="20">
        <f t="shared" ref="M293:T293" si="1362">+M305/M315</f>
        <v>-2.979269793883688E-2</v>
      </c>
      <c r="N293" s="20">
        <f t="shared" si="1362"/>
        <v>-0.11965445665769621</v>
      </c>
      <c r="O293" s="20">
        <f t="shared" si="1362"/>
        <v>-0.27646923016390773</v>
      </c>
      <c r="P293" s="20">
        <f t="shared" si="1362"/>
        <v>-0.61938977719151089</v>
      </c>
      <c r="Q293" s="20">
        <f t="shared" si="1362"/>
        <v>4.9069236324434502E-2</v>
      </c>
      <c r="R293" s="20">
        <f t="shared" si="1362"/>
        <v>-0.1797974075502162</v>
      </c>
      <c r="S293" s="20">
        <f t="shared" si="1362"/>
        <v>-0.16582410088540711</v>
      </c>
      <c r="T293" s="20">
        <f t="shared" si="1362"/>
        <v>-0.13119422605464851</v>
      </c>
      <c r="U293" s="150">
        <v>0.18</v>
      </c>
      <c r="V293" s="150">
        <v>0.56999999999999995</v>
      </c>
      <c r="W293" s="150">
        <v>0.46</v>
      </c>
      <c r="X293" s="150">
        <v>0.24</v>
      </c>
      <c r="Y293" s="150">
        <v>0.42</v>
      </c>
      <c r="Z293" s="150">
        <v>0.55000000000000004</v>
      </c>
      <c r="AA293" s="150">
        <v>0.21</v>
      </c>
      <c r="AB293" s="150">
        <v>0.31</v>
      </c>
      <c r="AC293" s="150">
        <v>0.57999999999999996</v>
      </c>
      <c r="AD293" s="150">
        <v>0.74</v>
      </c>
      <c r="AN293" s="20">
        <f>+AN305/AN315</f>
        <v>-0.43239009310187948</v>
      </c>
      <c r="AO293" s="20">
        <f>+AO305/AO315</f>
        <v>-0.88682309134523429</v>
      </c>
      <c r="AP293" s="150">
        <v>1.05</v>
      </c>
      <c r="AQ293" s="150">
        <v>1.43</v>
      </c>
    </row>
    <row r="295" spans="2:43" x14ac:dyDescent="0.2">
      <c r="B295" t="s">
        <v>30</v>
      </c>
      <c r="M295" s="13">
        <f t="shared" ref="M295:N295" si="1363">+M288</f>
        <v>-0.99999999999998579</v>
      </c>
      <c r="N295" s="13">
        <f t="shared" si="1363"/>
        <v>-5.0000000000000062</v>
      </c>
      <c r="O295" s="13">
        <f>+O288</f>
        <v>-12.400000000000031</v>
      </c>
      <c r="P295" s="13">
        <f>+P288</f>
        <v>-32.799999999999997</v>
      </c>
      <c r="Q295" s="13">
        <f t="shared" ref="Q295:U295" si="1364">+Q288</f>
        <v>3.2000000000000348</v>
      </c>
      <c r="R295" s="13">
        <f t="shared" si="1364"/>
        <v>-9.2000000000000224</v>
      </c>
      <c r="S295" s="13">
        <f t="shared" si="1364"/>
        <v>-9.3999999999999986</v>
      </c>
      <c r="T295" s="13">
        <f t="shared" si="1364"/>
        <v>-7.499999999999992</v>
      </c>
      <c r="U295" s="13">
        <f t="shared" si="1364"/>
        <v>10.299999999999976</v>
      </c>
      <c r="V295" s="13">
        <f t="shared" ref="V295:W295" si="1365">+V288</f>
        <v>43.099999999999881</v>
      </c>
      <c r="W295" s="13">
        <f t="shared" si="1365"/>
        <v>29.199999999999942</v>
      </c>
      <c r="X295" s="13">
        <f t="shared" ref="X295:Y295" si="1366">+X288</f>
        <v>14.799999999999956</v>
      </c>
      <c r="Y295" s="13">
        <f t="shared" si="1366"/>
        <v>25.10000000000009</v>
      </c>
      <c r="Z295" s="13">
        <f t="shared" ref="Z295:AB295" si="1367">+Z288</f>
        <v>32.599999999999937</v>
      </c>
      <c r="AA295" s="13">
        <f t="shared" ref="AA295" si="1368">+AA288</f>
        <v>13.699999999999964</v>
      </c>
      <c r="AB295" s="13">
        <f t="shared" si="1367"/>
        <v>20.599999999999973</v>
      </c>
      <c r="AC295" s="13">
        <f t="shared" ref="AC295:AD295" si="1369">+AC288</f>
        <v>39.200000000000045</v>
      </c>
      <c r="AD295" s="13">
        <f t="shared" si="1369"/>
        <v>53.79999999999999</v>
      </c>
      <c r="AN295" s="13">
        <f t="shared" ref="AN295:AO295" si="1370">+AN288</f>
        <v>-18.399999999999999</v>
      </c>
      <c r="AO295" s="13">
        <f t="shared" si="1370"/>
        <v>-48.199999999999982</v>
      </c>
      <c r="AP295" s="13">
        <f t="shared" ref="AP295:AQ295" si="1371">+AP288</f>
        <v>75.09999999999981</v>
      </c>
      <c r="AQ295" s="13">
        <f t="shared" si="1371"/>
        <v>86.199999999999946</v>
      </c>
    </row>
    <row r="296" spans="2:43" ht="13.5" x14ac:dyDescent="0.35">
      <c r="B296" t="s">
        <v>67</v>
      </c>
      <c r="M296" s="15">
        <v>-0.1</v>
      </c>
      <c r="N296" s="15">
        <v>-0.1</v>
      </c>
      <c r="O296" s="22">
        <v>-1.2</v>
      </c>
      <c r="P296" s="15">
        <v>0.2</v>
      </c>
      <c r="Q296" s="15">
        <v>0</v>
      </c>
      <c r="R296" s="15">
        <v>-0.1</v>
      </c>
      <c r="S296" s="15">
        <v>0</v>
      </c>
      <c r="T296" s="15">
        <v>0</v>
      </c>
      <c r="U296" s="15">
        <v>0</v>
      </c>
      <c r="V296" s="15">
        <v>0</v>
      </c>
      <c r="W296" s="15">
        <v>0</v>
      </c>
      <c r="X296" s="15">
        <v>0</v>
      </c>
      <c r="Y296" s="15">
        <v>0</v>
      </c>
      <c r="Z296" s="15">
        <v>0</v>
      </c>
      <c r="AA296" s="15">
        <v>0</v>
      </c>
      <c r="AB296" s="15">
        <v>0</v>
      </c>
      <c r="AC296" s="15">
        <v>0</v>
      </c>
      <c r="AD296" s="15">
        <v>-0.4</v>
      </c>
      <c r="AN296" s="15">
        <v>-1</v>
      </c>
      <c r="AO296" s="15">
        <v>-0.7</v>
      </c>
      <c r="AP296" s="15">
        <v>0</v>
      </c>
      <c r="AQ296" s="15">
        <v>0</v>
      </c>
    </row>
    <row r="297" spans="2:43" x14ac:dyDescent="0.2">
      <c r="B297" s="11" t="s">
        <v>68</v>
      </c>
      <c r="M297" s="13">
        <f t="shared" ref="M297:U297" si="1372">SUM(M295:M296)</f>
        <v>-1.0999999999999859</v>
      </c>
      <c r="N297" s="13">
        <f t="shared" si="1372"/>
        <v>-5.1000000000000059</v>
      </c>
      <c r="O297" s="13">
        <f t="shared" si="1372"/>
        <v>-13.60000000000003</v>
      </c>
      <c r="P297" s="13">
        <f t="shared" si="1372"/>
        <v>-32.599999999999994</v>
      </c>
      <c r="Q297" s="13">
        <f t="shared" si="1372"/>
        <v>3.2000000000000348</v>
      </c>
      <c r="R297" s="13">
        <f t="shared" si="1372"/>
        <v>-9.300000000000022</v>
      </c>
      <c r="S297" s="13">
        <f t="shared" si="1372"/>
        <v>-9.3999999999999986</v>
      </c>
      <c r="T297" s="13">
        <f t="shared" si="1372"/>
        <v>-7.499999999999992</v>
      </c>
      <c r="U297" s="13">
        <f t="shared" si="1372"/>
        <v>10.299999999999976</v>
      </c>
      <c r="V297" s="13">
        <f t="shared" ref="V297:W297" si="1373">SUM(V295:V296)</f>
        <v>43.099999999999881</v>
      </c>
      <c r="W297" s="13">
        <f t="shared" si="1373"/>
        <v>29.199999999999942</v>
      </c>
      <c r="X297" s="13">
        <f t="shared" ref="X297:Y297" si="1374">SUM(X295:X296)</f>
        <v>14.799999999999956</v>
      </c>
      <c r="Y297" s="13">
        <f t="shared" si="1374"/>
        <v>25.10000000000009</v>
      </c>
      <c r="Z297" s="13">
        <f t="shared" ref="Z297:AB297" si="1375">SUM(Z295:Z296)</f>
        <v>32.599999999999937</v>
      </c>
      <c r="AA297" s="13">
        <f t="shared" ref="AA297" si="1376">SUM(AA295:AA296)</f>
        <v>13.699999999999964</v>
      </c>
      <c r="AB297" s="13">
        <f t="shared" si="1375"/>
        <v>20.599999999999973</v>
      </c>
      <c r="AC297" s="13">
        <f t="shared" ref="AC297:AD297" si="1377">SUM(AC295:AC296)</f>
        <v>39.200000000000045</v>
      </c>
      <c r="AD297" s="13">
        <f t="shared" si="1377"/>
        <v>53.399999999999991</v>
      </c>
      <c r="AN297" s="13">
        <f>SUM(AN295:AN296)</f>
        <v>-19.399999999999999</v>
      </c>
      <c r="AO297" s="13">
        <f>SUM(AO295:AO296)</f>
        <v>-48.899999999999984</v>
      </c>
      <c r="AP297" s="13">
        <f>SUM(AP295:AP296)</f>
        <v>75.09999999999981</v>
      </c>
      <c r="AQ297" s="13">
        <f>SUM(AQ295:AQ296)</f>
        <v>86.199999999999946</v>
      </c>
    </row>
    <row r="299" spans="2:43" x14ac:dyDescent="0.2">
      <c r="B299" t="s">
        <v>61</v>
      </c>
      <c r="M299" s="14">
        <v>-0.5</v>
      </c>
      <c r="N299" s="14">
        <v>-2.8</v>
      </c>
      <c r="O299" s="14">
        <f>+O297*(O307/(O307+O314))</f>
        <v>-9.8335098311543661</v>
      </c>
      <c r="P299" s="14">
        <v>-26.4</v>
      </c>
      <c r="Q299" s="14">
        <v>2.7</v>
      </c>
      <c r="R299" s="14">
        <v>-8.3000000000000007</v>
      </c>
      <c r="S299" s="14">
        <f>+S297*(S307/(S307+S314))</f>
        <v>-8.5533442602007348</v>
      </c>
      <c r="T299" s="14">
        <v>-6.9</v>
      </c>
      <c r="U299" s="14">
        <v>9.6</v>
      </c>
      <c r="V299" s="14">
        <v>40.200000000000003</v>
      </c>
      <c r="W299" s="17">
        <f>+W297*(W307/(W307+W314))</f>
        <v>27.532632510338864</v>
      </c>
      <c r="X299" s="14">
        <v>14.2</v>
      </c>
      <c r="Y299" s="14">
        <v>24.2</v>
      </c>
      <c r="Z299" s="14">
        <v>31.6</v>
      </c>
      <c r="AA299" s="17">
        <f>+AA301-AA300</f>
        <v>13.091404469999999</v>
      </c>
      <c r="AB299" s="14">
        <v>20.100000000000001</v>
      </c>
      <c r="AC299" s="14">
        <v>38.1</v>
      </c>
      <c r="AD299" s="14">
        <v>52.1</v>
      </c>
      <c r="AN299" s="14">
        <v>-12.1</v>
      </c>
      <c r="AO299" s="14">
        <v>-42.4</v>
      </c>
      <c r="AP299" s="14">
        <v>69.900000000000006</v>
      </c>
      <c r="AQ299" s="14">
        <v>83.4</v>
      </c>
    </row>
    <row r="300" spans="2:43" ht="13.5" x14ac:dyDescent="0.35">
      <c r="B300" t="s">
        <v>62</v>
      </c>
      <c r="M300" s="15">
        <v>0</v>
      </c>
      <c r="N300" s="15">
        <v>0</v>
      </c>
      <c r="O300" s="15">
        <v>0</v>
      </c>
      <c r="P300" s="15">
        <v>0</v>
      </c>
      <c r="Q300" s="15">
        <v>1.4</v>
      </c>
      <c r="R300" s="15">
        <v>0</v>
      </c>
      <c r="S300" s="15">
        <v>0</v>
      </c>
      <c r="T300" s="15">
        <v>0</v>
      </c>
      <c r="U300" s="15">
        <v>4.7</v>
      </c>
      <c r="V300" s="15">
        <v>4.0999999999999996</v>
      </c>
      <c r="W300" s="18">
        <f>+W301-W299</f>
        <v>9.341870009661136</v>
      </c>
      <c r="X300" s="15">
        <v>5.7</v>
      </c>
      <c r="Y300" s="15">
        <v>0.2</v>
      </c>
      <c r="Z300" s="15">
        <v>0.2</v>
      </c>
      <c r="AA300" s="22">
        <f>+AVERAGE(Z300,AB300)</f>
        <v>0.15000000000000002</v>
      </c>
      <c r="AB300" s="15">
        <v>0.1</v>
      </c>
      <c r="AC300" s="15">
        <v>0.2</v>
      </c>
      <c r="AD300" s="15">
        <v>14.2</v>
      </c>
      <c r="AN300" s="15">
        <v>0</v>
      </c>
      <c r="AO300" s="15">
        <v>0</v>
      </c>
      <c r="AP300" s="15">
        <v>12.7</v>
      </c>
      <c r="AQ300" s="15">
        <v>0.7</v>
      </c>
    </row>
    <row r="301" spans="2:43" x14ac:dyDescent="0.2">
      <c r="B301" t="s">
        <v>63</v>
      </c>
      <c r="M301" s="13">
        <f t="shared" ref="M301:U301" si="1378">SUM(M299:M300)</f>
        <v>-0.5</v>
      </c>
      <c r="N301" s="13">
        <f t="shared" si="1378"/>
        <v>-2.8</v>
      </c>
      <c r="O301" s="13">
        <f t="shared" si="1378"/>
        <v>-9.8335098311543661</v>
      </c>
      <c r="P301" s="13">
        <f t="shared" si="1378"/>
        <v>-26.4</v>
      </c>
      <c r="Q301" s="13">
        <f t="shared" si="1378"/>
        <v>4.0999999999999996</v>
      </c>
      <c r="R301" s="13">
        <f t="shared" si="1378"/>
        <v>-8.3000000000000007</v>
      </c>
      <c r="S301" s="13">
        <f t="shared" si="1378"/>
        <v>-8.5533442602007348</v>
      </c>
      <c r="T301" s="13">
        <f t="shared" si="1378"/>
        <v>-6.9</v>
      </c>
      <c r="U301" s="13">
        <f t="shared" si="1378"/>
        <v>14.3</v>
      </c>
      <c r="V301" s="13">
        <f t="shared" ref="V301:Z301" si="1379">SUM(V299:V300)</f>
        <v>44.300000000000004</v>
      </c>
      <c r="W301" s="13">
        <f>+W291*W312</f>
        <v>36.87450252</v>
      </c>
      <c r="X301" s="13">
        <f t="shared" si="1379"/>
        <v>19.899999999999999</v>
      </c>
      <c r="Y301" s="13">
        <f t="shared" si="1379"/>
        <v>24.4</v>
      </c>
      <c r="Z301" s="13">
        <f t="shared" si="1379"/>
        <v>31.8</v>
      </c>
      <c r="AA301" s="13">
        <f>+AA291*AA312</f>
        <v>13.241404469999999</v>
      </c>
      <c r="AB301" s="13">
        <f t="shared" ref="AB301:AC301" si="1380">SUM(AB299:AB300)</f>
        <v>20.200000000000003</v>
      </c>
      <c r="AC301" s="13">
        <f t="shared" si="1380"/>
        <v>38.300000000000004</v>
      </c>
      <c r="AD301" s="13">
        <f t="shared" ref="AD301" si="1381">SUM(AD299:AD300)</f>
        <v>66.3</v>
      </c>
      <c r="AN301" s="13">
        <f>SUM(AN299:AN300)</f>
        <v>-12.1</v>
      </c>
      <c r="AO301" s="13">
        <f>SUM(AO299:AO300)</f>
        <v>-42.4</v>
      </c>
      <c r="AP301" s="13">
        <f>SUM(AP299:AP300)</f>
        <v>82.600000000000009</v>
      </c>
      <c r="AQ301" s="13">
        <f>SUM(AQ299:AQ300)</f>
        <v>84.100000000000009</v>
      </c>
    </row>
    <row r="303" spans="2:43" x14ac:dyDescent="0.2">
      <c r="B303" t="s">
        <v>64</v>
      </c>
      <c r="M303" s="14">
        <v>-0.6</v>
      </c>
      <c r="N303" s="14">
        <v>-2.2999999999999998</v>
      </c>
      <c r="O303" s="14">
        <f>+O297-O299</f>
        <v>-3.7664901688456638</v>
      </c>
      <c r="P303" s="14">
        <v>-6.2</v>
      </c>
      <c r="Q303" s="14">
        <v>0.5</v>
      </c>
      <c r="R303" s="14">
        <v>-1.1000000000000001</v>
      </c>
      <c r="S303" s="14">
        <f>+S297-S299</f>
        <v>-0.84665573979926378</v>
      </c>
      <c r="T303" s="14">
        <v>-0.6</v>
      </c>
      <c r="U303" s="14">
        <v>0.7</v>
      </c>
      <c r="V303" s="14">
        <v>2.9</v>
      </c>
      <c r="W303" s="17">
        <f>+W297-W299</f>
        <v>1.6673674896610784</v>
      </c>
      <c r="X303" s="14">
        <v>0.6</v>
      </c>
      <c r="Y303" s="14">
        <v>0.9</v>
      </c>
      <c r="Z303" s="14">
        <v>1</v>
      </c>
      <c r="AA303" s="17">
        <f>+AA297-AA299</f>
        <v>0.60859552999996502</v>
      </c>
      <c r="AB303" s="14">
        <v>0.5</v>
      </c>
      <c r="AC303" s="14">
        <v>1.1000000000000001</v>
      </c>
      <c r="AD303" s="14">
        <v>1.3</v>
      </c>
      <c r="AN303" s="14">
        <v>-7.3</v>
      </c>
      <c r="AO303" s="14">
        <v>-6.5</v>
      </c>
      <c r="AP303" s="14">
        <v>5.2</v>
      </c>
      <c r="AQ303" s="14">
        <v>2.8</v>
      </c>
    </row>
    <row r="304" spans="2:43" ht="13.5" x14ac:dyDescent="0.35">
      <c r="B304" t="s">
        <v>65</v>
      </c>
      <c r="M304" s="15">
        <v>0</v>
      </c>
      <c r="N304" s="15">
        <v>0</v>
      </c>
      <c r="O304" s="15">
        <v>0</v>
      </c>
      <c r="P304" s="15">
        <v>0</v>
      </c>
      <c r="Q304" s="15">
        <v>-0.1</v>
      </c>
      <c r="R304" s="15">
        <v>0</v>
      </c>
      <c r="S304" s="15">
        <v>0</v>
      </c>
      <c r="T304" s="15">
        <v>0</v>
      </c>
      <c r="U304" s="15">
        <v>0</v>
      </c>
      <c r="V304" s="15">
        <v>-0.8</v>
      </c>
      <c r="W304" s="18">
        <f>+W305-W303</f>
        <v>-0.16906008966107833</v>
      </c>
      <c r="X304" s="15">
        <v>-0.1</v>
      </c>
      <c r="Y304" s="15">
        <v>0</v>
      </c>
      <c r="Z304" s="15">
        <v>0</v>
      </c>
      <c r="AA304" s="16">
        <f>+AA305-AA303</f>
        <v>-0.24875296999996505</v>
      </c>
      <c r="AB304" s="15">
        <v>0</v>
      </c>
      <c r="AC304" s="15">
        <v>0</v>
      </c>
      <c r="AD304" s="15">
        <v>0</v>
      </c>
      <c r="AN304" s="15">
        <v>0</v>
      </c>
      <c r="AO304" s="15">
        <v>0</v>
      </c>
      <c r="AP304" s="15">
        <v>-1.1000000000000001</v>
      </c>
      <c r="AQ304" s="15">
        <v>0</v>
      </c>
    </row>
    <row r="305" spans="2:43" x14ac:dyDescent="0.2">
      <c r="B305" t="s">
        <v>66</v>
      </c>
      <c r="M305" s="13">
        <f t="shared" ref="M305:U305" si="1382">SUM(M303:M304)</f>
        <v>-0.6</v>
      </c>
      <c r="N305" s="13">
        <f t="shared" si="1382"/>
        <v>-2.2999999999999998</v>
      </c>
      <c r="O305" s="13">
        <f t="shared" si="1382"/>
        <v>-3.7664901688456638</v>
      </c>
      <c r="P305" s="13">
        <f t="shared" si="1382"/>
        <v>-6.2</v>
      </c>
      <c r="Q305" s="13">
        <f t="shared" si="1382"/>
        <v>0.4</v>
      </c>
      <c r="R305" s="13">
        <f t="shared" si="1382"/>
        <v>-1.1000000000000001</v>
      </c>
      <c r="S305" s="13">
        <f t="shared" si="1382"/>
        <v>-0.84665573979926378</v>
      </c>
      <c r="T305" s="13">
        <f t="shared" si="1382"/>
        <v>-0.6</v>
      </c>
      <c r="U305" s="13">
        <f t="shared" si="1382"/>
        <v>0.7</v>
      </c>
      <c r="V305" s="13">
        <f t="shared" ref="V305" si="1383">SUM(V303:V304)</f>
        <v>2.0999999999999996</v>
      </c>
      <c r="W305" s="13">
        <f>+W293*W315</f>
        <v>1.4983074000000001</v>
      </c>
      <c r="X305" s="13">
        <f t="shared" ref="X305:Z305" si="1384">SUM(X303:X304)</f>
        <v>0.5</v>
      </c>
      <c r="Y305" s="13">
        <f t="shared" si="1384"/>
        <v>0.9</v>
      </c>
      <c r="Z305" s="13">
        <f t="shared" si="1384"/>
        <v>1</v>
      </c>
      <c r="AA305" s="13">
        <f>+AA293*AA315</f>
        <v>0.35984255999999998</v>
      </c>
      <c r="AB305" s="13">
        <f t="shared" ref="AB305:AC305" si="1385">SUM(AB303:AB304)</f>
        <v>0.5</v>
      </c>
      <c r="AC305" s="13">
        <f t="shared" si="1385"/>
        <v>1.1000000000000001</v>
      </c>
      <c r="AD305" s="13">
        <f t="shared" ref="AD305" si="1386">SUM(AD303:AD304)</f>
        <v>1.3</v>
      </c>
      <c r="AN305" s="13">
        <f>SUM(AN303:AN304)</f>
        <v>-7.3</v>
      </c>
      <c r="AO305" s="13">
        <f>SUM(AO303:AO304)</f>
        <v>-6.5</v>
      </c>
      <c r="AP305" s="13">
        <f>SUM(AP303:AP304)</f>
        <v>4.0999999999999996</v>
      </c>
      <c r="AQ305" s="13">
        <f>SUM(AQ303:AQ304)</f>
        <v>2.8</v>
      </c>
    </row>
    <row r="306" spans="2:43" x14ac:dyDescent="0.2">
      <c r="Q306" s="13"/>
      <c r="R306" s="13"/>
      <c r="S306" s="13"/>
      <c r="T306" s="13"/>
      <c r="U306" s="13"/>
      <c r="V306" s="13"/>
      <c r="W306" s="13"/>
      <c r="X306" s="13"/>
      <c r="Y306" s="13"/>
    </row>
    <row r="307" spans="2:43" x14ac:dyDescent="0.2">
      <c r="B307" t="s">
        <v>31</v>
      </c>
      <c r="M307" s="14">
        <v>19.002562999999999</v>
      </c>
      <c r="N307" s="14">
        <v>23.309246999999999</v>
      </c>
      <c r="O307" s="14">
        <v>35.568188999999997</v>
      </c>
      <c r="P307" s="14">
        <v>42.667754000000002</v>
      </c>
      <c r="Q307" s="14">
        <v>46.297553000000001</v>
      </c>
      <c r="R307" s="14">
        <v>49.692599000000001</v>
      </c>
      <c r="S307" s="14">
        <v>51.580826999999999</v>
      </c>
      <c r="T307" s="14">
        <v>52.119377999999998</v>
      </c>
      <c r="U307" s="14">
        <v>51.790402999999998</v>
      </c>
      <c r="V307" s="14">
        <v>51.502825000000001</v>
      </c>
      <c r="W307" s="14">
        <v>53.784793000000001</v>
      </c>
      <c r="X307" s="14">
        <v>55.236204000000001</v>
      </c>
      <c r="Y307" s="14">
        <v>56.914369999999998</v>
      </c>
      <c r="Z307" s="14">
        <v>56.537008</v>
      </c>
      <c r="AA307" s="14">
        <v>62.204533000000005</v>
      </c>
      <c r="AB307" s="14">
        <v>64.444479000000001</v>
      </c>
      <c r="AC307" s="14">
        <v>64.438168000000005</v>
      </c>
      <c r="AD307" s="14">
        <v>66.791329000000005</v>
      </c>
      <c r="AN307" s="14">
        <v>28.148354999999999</v>
      </c>
      <c r="AO307" s="14">
        <v>47.594839</v>
      </c>
      <c r="AP307" s="14">
        <v>52.303967999999998</v>
      </c>
      <c r="AQ307" s="14">
        <v>57.738871000000003</v>
      </c>
    </row>
    <row r="308" spans="2:43" x14ac:dyDescent="0.2">
      <c r="B308" t="s">
        <v>255</v>
      </c>
      <c r="M308" s="14">
        <v>0</v>
      </c>
      <c r="N308" s="14">
        <v>0</v>
      </c>
      <c r="O308" s="14">
        <v>0</v>
      </c>
      <c r="P308" s="14">
        <v>0</v>
      </c>
      <c r="Q308" s="14">
        <v>28.869471000000001</v>
      </c>
      <c r="R308" s="14">
        <v>0</v>
      </c>
      <c r="S308" s="14">
        <v>0</v>
      </c>
      <c r="T308" s="14">
        <v>0</v>
      </c>
      <c r="U308" s="14">
        <v>26.087399000000001</v>
      </c>
      <c r="V308" s="14">
        <v>25.829015999999999</v>
      </c>
      <c r="W308" s="49">
        <v>26</v>
      </c>
      <c r="X308" s="14">
        <v>25.533462</v>
      </c>
      <c r="Y308" s="14">
        <v>0</v>
      </c>
      <c r="Z308" s="14">
        <v>0</v>
      </c>
      <c r="AA308" s="14">
        <v>0</v>
      </c>
      <c r="AB308" s="14">
        <v>0</v>
      </c>
      <c r="AC308" s="14">
        <v>0</v>
      </c>
      <c r="AD308" s="14">
        <v>21.216194999999999</v>
      </c>
      <c r="AN308" s="14">
        <v>0</v>
      </c>
      <c r="AO308" s="14">
        <v>0</v>
      </c>
      <c r="AP308" s="14">
        <v>26.002825000000001</v>
      </c>
      <c r="AQ308" s="14">
        <v>0</v>
      </c>
    </row>
    <row r="309" spans="2:43" x14ac:dyDescent="0.2">
      <c r="B309" t="s">
        <v>256</v>
      </c>
      <c r="M309" s="14">
        <v>0</v>
      </c>
      <c r="N309" s="14">
        <v>0</v>
      </c>
      <c r="O309" s="14">
        <v>0</v>
      </c>
      <c r="P309" s="14">
        <v>0</v>
      </c>
      <c r="Q309" s="14">
        <v>1.7265950000000001</v>
      </c>
      <c r="R309" s="14">
        <v>0</v>
      </c>
      <c r="S309" s="14">
        <v>0</v>
      </c>
      <c r="T309" s="14">
        <v>0</v>
      </c>
      <c r="U309" s="14">
        <v>0.63707799999999992</v>
      </c>
      <c r="V309" s="14">
        <v>0.46950500000000001</v>
      </c>
      <c r="W309" s="17">
        <f>+W312-W311-W308-W307</f>
        <v>0.37716900000000209</v>
      </c>
      <c r="X309" s="14">
        <v>1.4690380000000001</v>
      </c>
      <c r="Y309" s="14">
        <v>1.2592539999999999</v>
      </c>
      <c r="Z309" s="14">
        <v>0.87310699999999997</v>
      </c>
      <c r="AA309" s="17">
        <f>+AA312-AA311-AA310-AA308-AA307</f>
        <v>0.7182899999999961</v>
      </c>
      <c r="AB309" s="14">
        <v>1.5177499999999999</v>
      </c>
      <c r="AC309" s="14">
        <v>1.126649</v>
      </c>
      <c r="AD309" s="14">
        <v>1.3494139999999999</v>
      </c>
      <c r="AN309" s="14">
        <v>0</v>
      </c>
      <c r="AO309" s="14">
        <v>0</v>
      </c>
      <c r="AP309" s="14">
        <v>0.59694400000000003</v>
      </c>
      <c r="AQ309" s="14">
        <v>1.1127929999999999</v>
      </c>
    </row>
    <row r="310" spans="2:43" x14ac:dyDescent="0.2">
      <c r="B310" t="s">
        <v>273</v>
      </c>
      <c r="M310" s="14">
        <v>0</v>
      </c>
      <c r="N310" s="14">
        <v>0</v>
      </c>
      <c r="O310" s="14">
        <v>0</v>
      </c>
      <c r="P310" s="14">
        <v>0</v>
      </c>
      <c r="Q310" s="14">
        <v>0</v>
      </c>
      <c r="R310" s="14">
        <v>0</v>
      </c>
      <c r="S310" s="14">
        <v>0</v>
      </c>
      <c r="T310" s="14">
        <v>0</v>
      </c>
      <c r="U310" s="14">
        <v>0</v>
      </c>
      <c r="V310" s="14">
        <v>0</v>
      </c>
      <c r="W310" s="14">
        <v>0</v>
      </c>
      <c r="X310" s="14">
        <v>0</v>
      </c>
      <c r="Y310" s="14">
        <v>0</v>
      </c>
      <c r="Z310" s="14">
        <v>0.26296799999999998</v>
      </c>
      <c r="AA310" s="49">
        <f>+AVERAGE(Z310,AB310)</f>
        <v>0.13148399999999999</v>
      </c>
      <c r="AB310" s="14">
        <v>0</v>
      </c>
      <c r="AC310" s="14">
        <v>0</v>
      </c>
      <c r="AD310" s="14">
        <v>0</v>
      </c>
      <c r="AN310" s="14">
        <v>0</v>
      </c>
      <c r="AO310" s="14">
        <v>0</v>
      </c>
      <c r="AP310" s="14">
        <v>0</v>
      </c>
      <c r="AQ310" s="14">
        <v>0.196686</v>
      </c>
    </row>
    <row r="311" spans="2:43" ht="13.5" x14ac:dyDescent="0.35">
      <c r="B311" t="s">
        <v>257</v>
      </c>
      <c r="M311" s="15">
        <v>0</v>
      </c>
      <c r="N311" s="15">
        <v>0</v>
      </c>
      <c r="O311" s="15">
        <v>0</v>
      </c>
      <c r="P311" s="15">
        <v>0</v>
      </c>
      <c r="Q311" s="15">
        <v>0.101713</v>
      </c>
      <c r="R311" s="15">
        <v>0</v>
      </c>
      <c r="S311" s="15">
        <v>0</v>
      </c>
      <c r="T311" s="15">
        <v>0</v>
      </c>
      <c r="U311" s="15">
        <v>0</v>
      </c>
      <c r="V311" s="15">
        <v>0</v>
      </c>
      <c r="W311" s="15">
        <v>0</v>
      </c>
      <c r="X311" s="15">
        <v>0</v>
      </c>
      <c r="Y311" s="15">
        <v>0</v>
      </c>
      <c r="Z311" s="15">
        <v>0</v>
      </c>
      <c r="AA311" s="15">
        <v>0</v>
      </c>
      <c r="AB311" s="15">
        <v>0</v>
      </c>
      <c r="AC311" s="15">
        <v>0</v>
      </c>
      <c r="AD311" s="15">
        <v>0</v>
      </c>
      <c r="AN311" s="15">
        <v>0</v>
      </c>
      <c r="AO311" s="15">
        <v>0</v>
      </c>
      <c r="AP311" s="15">
        <v>0</v>
      </c>
      <c r="AQ311" s="15">
        <v>0</v>
      </c>
    </row>
    <row r="312" spans="2:43" x14ac:dyDescent="0.2">
      <c r="B312" s="11" t="s">
        <v>33</v>
      </c>
      <c r="M312" s="14">
        <v>19.002562999999999</v>
      </c>
      <c r="N312" s="14">
        <v>23.309246999999999</v>
      </c>
      <c r="O312" s="14">
        <v>35.568188999999997</v>
      </c>
      <c r="P312" s="14">
        <v>42.667754000000002</v>
      </c>
      <c r="Q312" s="14">
        <v>76.995332000000005</v>
      </c>
      <c r="R312" s="14">
        <v>49.692599000000001</v>
      </c>
      <c r="S312" s="14">
        <v>51.580826999999999</v>
      </c>
      <c r="T312" s="14">
        <v>52.119377999999998</v>
      </c>
      <c r="U312" s="14">
        <v>78.514880000000005</v>
      </c>
      <c r="V312" s="14">
        <v>77.801345999999995</v>
      </c>
      <c r="W312" s="14">
        <v>80.161962000000003</v>
      </c>
      <c r="X312" s="14">
        <v>82.238703999999998</v>
      </c>
      <c r="Y312" s="14">
        <v>58.173623999999997</v>
      </c>
      <c r="Z312" s="14">
        <v>57.673082999999998</v>
      </c>
      <c r="AA312" s="14">
        <v>63.054307000000001</v>
      </c>
      <c r="AB312" s="14">
        <v>65.962229000000008</v>
      </c>
      <c r="AC312" s="14">
        <v>65.564817000000005</v>
      </c>
      <c r="AD312" s="14">
        <v>89.356938</v>
      </c>
      <c r="AN312" s="14">
        <v>28.148354999999999</v>
      </c>
      <c r="AO312" s="14">
        <v>47.594839</v>
      </c>
      <c r="AP312" s="14">
        <v>78.903737000000007</v>
      </c>
      <c r="AQ312" s="14">
        <v>59.048349999999999</v>
      </c>
    </row>
    <row r="313" spans="2:43" x14ac:dyDescent="0.2">
      <c r="B313" s="11"/>
      <c r="M313" s="14"/>
      <c r="N313" s="14"/>
      <c r="O313" s="14"/>
      <c r="P313" s="14"/>
      <c r="Q313" s="14"/>
      <c r="R313" s="14"/>
      <c r="S313" s="14"/>
      <c r="T313" s="14"/>
      <c r="U313" s="14"/>
      <c r="V313" s="14"/>
      <c r="W313" s="14"/>
      <c r="X313" s="14"/>
      <c r="Y313" s="14"/>
      <c r="AN313" s="14"/>
      <c r="AO313" s="14"/>
      <c r="AP313" s="14"/>
    </row>
    <row r="314" spans="2:43" x14ac:dyDescent="0.2">
      <c r="B314" t="s">
        <v>32</v>
      </c>
      <c r="M314" s="14">
        <v>20.139163</v>
      </c>
      <c r="N314" s="14">
        <v>19.222017000000001</v>
      </c>
      <c r="O314" s="14">
        <v>13.623541999999999</v>
      </c>
      <c r="P314" s="14">
        <v>10.009852</v>
      </c>
      <c r="Q314" s="14">
        <v>8.1517470000000003</v>
      </c>
      <c r="R314" s="14">
        <v>6.1179969999999999</v>
      </c>
      <c r="S314" s="14">
        <v>5.1057459999999999</v>
      </c>
      <c r="T314" s="14">
        <v>4.573372</v>
      </c>
      <c r="U314" s="14">
        <v>4.0061590000000002</v>
      </c>
      <c r="V314" s="14">
        <v>3.6485799999999999</v>
      </c>
      <c r="W314" s="14">
        <v>3.25719</v>
      </c>
      <c r="X314" s="14">
        <v>2.2416480000000001</v>
      </c>
      <c r="Y314" s="14">
        <v>2.061569</v>
      </c>
      <c r="Z314" s="14">
        <v>1.7592729999999999</v>
      </c>
      <c r="AA314" s="14">
        <v>1.7135359999999999</v>
      </c>
      <c r="AB314" s="14">
        <v>1.6949149999999999</v>
      </c>
      <c r="AC314" s="14">
        <v>1.689805</v>
      </c>
      <c r="AD314" s="14">
        <v>1.659314</v>
      </c>
      <c r="AN314" s="14">
        <v>16.882902999999999</v>
      </c>
      <c r="AO314" s="14">
        <v>7.3295339999999998</v>
      </c>
      <c r="AP314" s="14">
        <v>3.864579</v>
      </c>
      <c r="AQ314" s="14">
        <v>1.9420539999999999</v>
      </c>
    </row>
    <row r="315" spans="2:43" x14ac:dyDescent="0.2">
      <c r="B315" t="s">
        <v>34</v>
      </c>
      <c r="M315" s="14">
        <v>20.139163</v>
      </c>
      <c r="N315" s="14">
        <v>19.222017000000001</v>
      </c>
      <c r="O315" s="14">
        <v>13.623541999999999</v>
      </c>
      <c r="P315" s="14">
        <v>10.009852</v>
      </c>
      <c r="Q315" s="14">
        <v>8.1517470000000003</v>
      </c>
      <c r="R315" s="14">
        <v>6.1179969999999999</v>
      </c>
      <c r="S315" s="14">
        <v>5.1057459999999999</v>
      </c>
      <c r="T315" s="14">
        <v>4.573372</v>
      </c>
      <c r="U315" s="14">
        <v>4.0061590000000002</v>
      </c>
      <c r="V315" s="14">
        <v>3.6485799999999999</v>
      </c>
      <c r="W315" s="14">
        <v>3.25719</v>
      </c>
      <c r="X315" s="14">
        <v>2.2416480000000001</v>
      </c>
      <c r="Y315" s="14">
        <v>2.061569</v>
      </c>
      <c r="Z315" s="14">
        <v>1.7592729999999999</v>
      </c>
      <c r="AA315" s="14">
        <v>1.7135359999999999</v>
      </c>
      <c r="AB315" s="14">
        <v>1.6949149999999999</v>
      </c>
      <c r="AC315" s="14">
        <v>1.689805</v>
      </c>
      <c r="AD315" s="14">
        <v>1.659314</v>
      </c>
      <c r="AN315" s="14">
        <v>16.882902999999999</v>
      </c>
      <c r="AO315" s="14">
        <v>7.3295339999999998</v>
      </c>
      <c r="AP315" s="14">
        <v>3.864579</v>
      </c>
      <c r="AQ315" s="14">
        <v>1.9420539999999999</v>
      </c>
    </row>
    <row r="316" spans="2:43" x14ac:dyDescent="0.2">
      <c r="M316" s="14"/>
      <c r="N316" s="14"/>
      <c r="O316" s="14"/>
      <c r="P316" s="14"/>
      <c r="Q316" s="14"/>
      <c r="R316" s="14"/>
      <c r="S316" s="14"/>
      <c r="T316" s="14"/>
      <c r="U316" s="14"/>
      <c r="V316" s="14"/>
      <c r="W316" s="14"/>
      <c r="X316" s="14"/>
      <c r="Y316" s="14"/>
      <c r="AN316" s="14"/>
      <c r="AO316" s="14"/>
      <c r="AP316" s="14"/>
    </row>
    <row r="317" spans="2:43" x14ac:dyDescent="0.2">
      <c r="B317" s="27" t="s">
        <v>183</v>
      </c>
      <c r="M317" s="14"/>
      <c r="N317" s="14"/>
      <c r="O317" s="14"/>
      <c r="P317" s="14"/>
      <c r="Q317" s="14"/>
      <c r="R317" s="14"/>
      <c r="S317" s="14"/>
      <c r="T317" s="14"/>
      <c r="U317" s="14"/>
      <c r="V317" s="14"/>
      <c r="W317" s="14"/>
      <c r="X317" s="14"/>
      <c r="Y317" s="14"/>
      <c r="AN317" s="14"/>
      <c r="AO317" s="14"/>
      <c r="AP317" s="14"/>
    </row>
    <row r="318" spans="2:43" x14ac:dyDescent="0.2">
      <c r="B318" s="24" t="s">
        <v>251</v>
      </c>
      <c r="M318" s="45">
        <v>39.204988999999998</v>
      </c>
      <c r="N318" s="45">
        <v>35.567487999999997</v>
      </c>
      <c r="O318" s="157">
        <f>+AVERAGE(N318,P318)</f>
        <v>32.633672500000003</v>
      </c>
      <c r="P318" s="45">
        <v>29.699857000000002</v>
      </c>
      <c r="Q318" s="45">
        <v>0</v>
      </c>
      <c r="R318" s="45">
        <v>27.115974999999999</v>
      </c>
      <c r="S318" s="157">
        <f>+AVERAGE(R318,T318)</f>
        <v>26.694314499999997</v>
      </c>
      <c r="T318" s="45">
        <v>26.272653999999999</v>
      </c>
      <c r="U318" s="45">
        <v>0</v>
      </c>
      <c r="V318" s="45">
        <v>0</v>
      </c>
      <c r="W318" s="157">
        <v>0</v>
      </c>
      <c r="X318" s="45">
        <v>0</v>
      </c>
      <c r="Y318" s="45">
        <v>23.852259</v>
      </c>
      <c r="Z318" s="45">
        <v>23.831883000000001</v>
      </c>
      <c r="AA318" s="157">
        <f>+AVERAGE(Z318,AB318)</f>
        <v>23.831883000000001</v>
      </c>
      <c r="AB318" s="45">
        <v>23.831883000000001</v>
      </c>
      <c r="AC318" s="45">
        <v>23.830105</v>
      </c>
      <c r="AD318" s="45">
        <v>0</v>
      </c>
      <c r="AN318" s="45">
        <v>30.625857</v>
      </c>
      <c r="AO318" s="45">
        <v>26.272653999999999</v>
      </c>
      <c r="AP318" s="45">
        <v>0</v>
      </c>
      <c r="AQ318" s="45">
        <v>24.256530999999999</v>
      </c>
    </row>
    <row r="319" spans="2:43" x14ac:dyDescent="0.2">
      <c r="B319" s="24" t="s">
        <v>252</v>
      </c>
      <c r="M319" s="45">
        <f>2.177628+0.05266</f>
        <v>2.2302879999999998</v>
      </c>
      <c r="N319" s="45">
        <f>2.17166+0.04617</f>
        <v>2.2178300000000002</v>
      </c>
      <c r="O319" s="157">
        <f>+AVERAGE(N319,P319)</f>
        <v>2.3099690000000002</v>
      </c>
      <c r="P319" s="45">
        <f>2.363289+0.038819</f>
        <v>2.4021080000000001</v>
      </c>
      <c r="Q319" s="45">
        <v>0</v>
      </c>
      <c r="R319" s="45">
        <f>1.71279+0.012942</f>
        <v>1.725732</v>
      </c>
      <c r="S319" s="157">
        <f>+AVERAGE(R319,T319)</f>
        <v>2.1912034999999999</v>
      </c>
      <c r="T319" s="45">
        <v>2.6566749999999999</v>
      </c>
      <c r="U319" s="45">
        <v>1.0102169999999999</v>
      </c>
      <c r="V319" s="45">
        <f>0.912248+0.011884</f>
        <v>0.92413199999999995</v>
      </c>
      <c r="W319" s="157">
        <v>1</v>
      </c>
      <c r="X319" s="45">
        <v>6.9080000000000001E-3</v>
      </c>
      <c r="Y319" s="45">
        <v>6.0957999999999998E-2</v>
      </c>
      <c r="Z319" s="45">
        <v>5.1964999999999997E-2</v>
      </c>
      <c r="AA319" s="157">
        <f>+AVERAGE(Z319,AB319)</f>
        <v>2.5982499999999999E-2</v>
      </c>
      <c r="AB319" s="45">
        <v>0</v>
      </c>
      <c r="AC319" s="45">
        <v>0.22490599999999999</v>
      </c>
      <c r="AD319" s="45">
        <v>0</v>
      </c>
      <c r="AN319" s="45">
        <f>2.336424+0.039745</f>
        <v>2.376169</v>
      </c>
      <c r="AO319" s="45">
        <f>2.389752+0.012942</f>
        <v>2.4026939999999999</v>
      </c>
      <c r="AP319" s="45">
        <f>0.010504+0.009038</f>
        <v>1.9541999999999997E-2</v>
      </c>
      <c r="AQ319" s="45">
        <v>4.0890000000000003E-2</v>
      </c>
    </row>
    <row r="320" spans="2:43" ht="13.5" x14ac:dyDescent="0.35">
      <c r="B320" s="24" t="s">
        <v>254</v>
      </c>
      <c r="M320" s="155">
        <v>0</v>
      </c>
      <c r="N320" s="155">
        <v>0</v>
      </c>
      <c r="O320" s="158">
        <v>0</v>
      </c>
      <c r="P320" s="155">
        <v>0</v>
      </c>
      <c r="Q320" s="155">
        <v>0</v>
      </c>
      <c r="R320" s="155">
        <v>4.6129999999999997E-2</v>
      </c>
      <c r="S320" s="158">
        <v>0</v>
      </c>
      <c r="T320" s="155">
        <v>0</v>
      </c>
      <c r="U320" s="155">
        <v>0</v>
      </c>
      <c r="V320" s="155">
        <v>0</v>
      </c>
      <c r="W320" s="158">
        <v>0</v>
      </c>
      <c r="X320" s="155">
        <v>0</v>
      </c>
      <c r="Y320" s="155">
        <v>0</v>
      </c>
      <c r="Z320" s="155">
        <v>0</v>
      </c>
      <c r="AA320" s="158">
        <v>0</v>
      </c>
      <c r="AB320" s="155">
        <v>0</v>
      </c>
      <c r="AC320" s="155">
        <v>0</v>
      </c>
      <c r="AD320" s="155">
        <v>0</v>
      </c>
      <c r="AN320" s="155">
        <v>0</v>
      </c>
      <c r="AO320" s="155">
        <v>0</v>
      </c>
      <c r="AP320" s="155">
        <v>0</v>
      </c>
      <c r="AQ320" s="155">
        <v>0</v>
      </c>
    </row>
    <row r="321" spans="2:43" x14ac:dyDescent="0.2">
      <c r="B321" s="28" t="s">
        <v>253</v>
      </c>
      <c r="M321" s="156">
        <f t="shared" ref="M321:V321" si="1387">+IFERROR(M318+M319+M320,"n/a")</f>
        <v>41.435276999999999</v>
      </c>
      <c r="N321" s="156">
        <f t="shared" si="1387"/>
        <v>37.785317999999997</v>
      </c>
      <c r="O321" s="156">
        <f>+IFERROR(O318+O319+O320,"n/a")</f>
        <v>34.943641500000005</v>
      </c>
      <c r="P321" s="156">
        <f t="shared" si="1387"/>
        <v>32.101965</v>
      </c>
      <c r="Q321" s="156">
        <f t="shared" si="1387"/>
        <v>0</v>
      </c>
      <c r="R321" s="156">
        <f t="shared" si="1387"/>
        <v>28.887837000000001</v>
      </c>
      <c r="S321" s="156">
        <f>+IFERROR(S318+S319+S320,"n/a")</f>
        <v>28.885517999999998</v>
      </c>
      <c r="T321" s="156">
        <f t="shared" si="1387"/>
        <v>28.929328999999999</v>
      </c>
      <c r="U321" s="156">
        <f t="shared" si="1387"/>
        <v>1.0102169999999999</v>
      </c>
      <c r="V321" s="156">
        <f t="shared" si="1387"/>
        <v>0.92413199999999995</v>
      </c>
      <c r="W321" s="156">
        <f>+IFERROR(W318+W319+W320,"n/a")</f>
        <v>1</v>
      </c>
      <c r="X321" s="156">
        <f t="shared" ref="X321:Y321" si="1388">+IFERROR(X318+X319+X320,"n/a")</f>
        <v>6.9080000000000001E-3</v>
      </c>
      <c r="Y321" s="156">
        <f t="shared" si="1388"/>
        <v>23.913217</v>
      </c>
      <c r="Z321" s="156">
        <f t="shared" ref="Z321:AB321" si="1389">+IFERROR(Z318+Z319+Z320,"n/a")</f>
        <v>23.883848</v>
      </c>
      <c r="AA321" s="156">
        <f t="shared" si="1389"/>
        <v>23.857865500000003</v>
      </c>
      <c r="AB321" s="156">
        <f t="shared" si="1389"/>
        <v>23.831883000000001</v>
      </c>
      <c r="AC321" s="156">
        <f t="shared" ref="AC321:AD321" si="1390">+IFERROR(AC318+AC319+AC320,"n/a")</f>
        <v>24.055011</v>
      </c>
      <c r="AD321" s="156">
        <f t="shared" si="1390"/>
        <v>0</v>
      </c>
      <c r="AN321" s="52">
        <f>SUM(AN318:AN320)</f>
        <v>33.002026000000001</v>
      </c>
      <c r="AO321" s="52">
        <f t="shared" ref="AO321:AP321" si="1391">SUM(AO318:AO320)</f>
        <v>28.675348</v>
      </c>
      <c r="AP321" s="52">
        <f t="shared" si="1391"/>
        <v>1.9541999999999997E-2</v>
      </c>
      <c r="AQ321" s="52">
        <f t="shared" ref="AQ321" si="1392">SUM(AQ318:AQ320)</f>
        <v>24.297421</v>
      </c>
    </row>
    <row r="322" spans="2:43" x14ac:dyDescent="0.2">
      <c r="B322" s="28"/>
      <c r="M322" s="156"/>
      <c r="N322" s="156"/>
      <c r="O322" s="156"/>
      <c r="P322" s="156"/>
      <c r="Q322" s="156"/>
      <c r="R322" s="156"/>
      <c r="S322" s="156"/>
      <c r="T322" s="156"/>
      <c r="U322" s="156"/>
      <c r="V322" s="156"/>
      <c r="W322" s="156"/>
      <c r="X322" s="156"/>
      <c r="Y322" s="156"/>
      <c r="Z322" s="156"/>
      <c r="AA322" s="156"/>
      <c r="AB322" s="156"/>
      <c r="AC322" s="156"/>
      <c r="AD322" s="156"/>
      <c r="AN322" s="52"/>
      <c r="AO322" s="52"/>
      <c r="AP322" s="52"/>
      <c r="AQ322" s="52"/>
    </row>
    <row r="323" spans="2:43" x14ac:dyDescent="0.2">
      <c r="B323" s="10" t="s">
        <v>510</v>
      </c>
      <c r="C323" s="9"/>
      <c r="M323" s="156"/>
      <c r="N323" s="156"/>
      <c r="O323" s="156"/>
      <c r="P323" s="156"/>
      <c r="Q323" s="156"/>
      <c r="R323" s="156"/>
      <c r="S323" s="156"/>
      <c r="T323" s="156"/>
      <c r="U323" s="156"/>
      <c r="V323" s="156"/>
      <c r="W323" s="156"/>
      <c r="X323" s="156"/>
      <c r="Y323" s="156"/>
      <c r="Z323" s="156"/>
      <c r="AA323" s="156"/>
      <c r="AB323" s="156"/>
      <c r="AC323" s="156"/>
      <c r="AD323" s="156"/>
      <c r="AN323" s="52"/>
      <c r="AO323" s="52"/>
      <c r="AP323" s="52"/>
      <c r="AQ323" s="52"/>
    </row>
    <row r="325" spans="2:43" x14ac:dyDescent="0.2">
      <c r="B325" s="23" t="s">
        <v>69</v>
      </c>
    </row>
    <row r="326" spans="2:43" x14ac:dyDescent="0.2">
      <c r="B326" t="s">
        <v>28</v>
      </c>
      <c r="D326" s="13">
        <f t="shared" ref="D326:Y326" si="1393">+D286</f>
        <v>-13.900000000000002</v>
      </c>
      <c r="E326" s="13">
        <f t="shared" si="1393"/>
        <v>-18.39999999999997</v>
      </c>
      <c r="F326" s="13">
        <f t="shared" si="1393"/>
        <v>-10.800000000000004</v>
      </c>
      <c r="G326" s="13">
        <f t="shared" si="1393"/>
        <v>-6.800000000000006</v>
      </c>
      <c r="H326" s="13">
        <f t="shared" si="1393"/>
        <v>-12.700000000000024</v>
      </c>
      <c r="I326" s="13">
        <f t="shared" si="1393"/>
        <v>-8.0000000000000213</v>
      </c>
      <c r="J326" s="13">
        <f t="shared" si="1393"/>
        <v>-22.499999999999989</v>
      </c>
      <c r="K326" s="13">
        <f t="shared" si="1393"/>
        <v>-13.400000000000029</v>
      </c>
      <c r="L326" s="13">
        <f t="shared" si="1393"/>
        <v>-5.0999999999999774</v>
      </c>
      <c r="M326" s="13">
        <f t="shared" si="1393"/>
        <v>-74.799999999999983</v>
      </c>
      <c r="N326" s="13">
        <f t="shared" si="1393"/>
        <v>-9.800000000000006</v>
      </c>
      <c r="O326" s="13">
        <f t="shared" si="1393"/>
        <v>-21.700000000000031</v>
      </c>
      <c r="P326" s="13">
        <f t="shared" si="1393"/>
        <v>-51</v>
      </c>
      <c r="Q326" s="13">
        <f t="shared" si="1393"/>
        <v>4.5000000000000346</v>
      </c>
      <c r="R326" s="13">
        <f t="shared" si="1393"/>
        <v>-13.800000000000022</v>
      </c>
      <c r="S326" s="13">
        <f t="shared" si="1393"/>
        <v>-13.7</v>
      </c>
      <c r="T326" s="13">
        <f t="shared" si="1393"/>
        <v>-13.199999999999992</v>
      </c>
      <c r="U326" s="13">
        <f t="shared" si="1393"/>
        <v>14.999999999999977</v>
      </c>
      <c r="V326" s="13">
        <f t="shared" si="1393"/>
        <v>46.399999999999878</v>
      </c>
      <c r="W326" s="13">
        <f t="shared" si="1393"/>
        <v>38.499999999999943</v>
      </c>
      <c r="X326" s="13">
        <f t="shared" si="1393"/>
        <v>20.399999999999956</v>
      </c>
      <c r="Y326" s="13">
        <f t="shared" si="1393"/>
        <v>36.80000000000009</v>
      </c>
      <c r="Z326" s="13">
        <f t="shared" ref="Z326:AB326" si="1394">+Z286</f>
        <v>46.499999999999936</v>
      </c>
      <c r="AA326" s="13">
        <f t="shared" si="1394"/>
        <v>19.199999999999971</v>
      </c>
      <c r="AB326" s="13">
        <f t="shared" si="1394"/>
        <v>28.499999999999972</v>
      </c>
      <c r="AC326" s="13">
        <f t="shared" ref="AC326:AD326" si="1395">+AC286</f>
        <v>54.500000000000043</v>
      </c>
      <c r="AD326" s="13">
        <f t="shared" si="1395"/>
        <v>72.199999999999989</v>
      </c>
      <c r="AK326" s="17">
        <f t="shared" ref="AK326:AK335" si="1396">+SUM(D326:G326)</f>
        <v>-49.899999999999977</v>
      </c>
      <c r="AL326" s="13">
        <f>+AL286</f>
        <v>-55.40000000000002</v>
      </c>
      <c r="AM326" s="17">
        <f t="shared" ref="AM326" si="1397">+SUM(H326:K326)</f>
        <v>-56.600000000000058</v>
      </c>
      <c r="AN326" s="17">
        <f>+SUM(L326:O326)</f>
        <v>-111.4</v>
      </c>
      <c r="AO326" s="17">
        <f>+SUM(P326:S326)</f>
        <v>-73.999999999999986</v>
      </c>
      <c r="AP326" s="17">
        <f>+SUM(T326:W326)</f>
        <v>86.699999999999804</v>
      </c>
      <c r="AQ326" s="17">
        <f t="shared" ref="AQ326:AQ341" si="1398">+SUM(X326:AA326)</f>
        <v>122.89999999999996</v>
      </c>
    </row>
    <row r="327" spans="2:43" x14ac:dyDescent="0.2">
      <c r="B327" t="s">
        <v>25</v>
      </c>
      <c r="D327" s="13">
        <f t="shared" ref="D327:Y327" si="1399">-D283</f>
        <v>10.9</v>
      </c>
      <c r="E327" s="13">
        <f t="shared" si="1399"/>
        <v>11.4</v>
      </c>
      <c r="F327" s="13">
        <f t="shared" si="1399"/>
        <v>12.2</v>
      </c>
      <c r="G327" s="13">
        <f t="shared" si="1399"/>
        <v>12.5</v>
      </c>
      <c r="H327" s="13">
        <f t="shared" si="1399"/>
        <v>12.5</v>
      </c>
      <c r="I327" s="13">
        <f t="shared" si="1399"/>
        <v>12.7</v>
      </c>
      <c r="J327" s="13">
        <f t="shared" si="1399"/>
        <v>12.9</v>
      </c>
      <c r="K327" s="13">
        <f t="shared" si="1399"/>
        <v>13.4</v>
      </c>
      <c r="L327" s="13">
        <f t="shared" si="1399"/>
        <v>13.3</v>
      </c>
      <c r="M327" s="13">
        <f t="shared" si="1399"/>
        <v>11.7</v>
      </c>
      <c r="N327" s="13">
        <f t="shared" si="1399"/>
        <v>7.1</v>
      </c>
      <c r="O327" s="13">
        <f t="shared" si="1399"/>
        <v>8.1</v>
      </c>
      <c r="P327" s="13">
        <f t="shared" si="1399"/>
        <v>6.5</v>
      </c>
      <c r="Q327" s="13">
        <f t="shared" si="1399"/>
        <v>6.3</v>
      </c>
      <c r="R327" s="13">
        <f t="shared" si="1399"/>
        <v>7.4</v>
      </c>
      <c r="S327" s="13">
        <f t="shared" si="1399"/>
        <v>7.8</v>
      </c>
      <c r="T327" s="13">
        <f t="shared" si="1399"/>
        <v>7.9</v>
      </c>
      <c r="U327" s="13">
        <f t="shared" si="1399"/>
        <v>8.4</v>
      </c>
      <c r="V327" s="13">
        <f t="shared" si="1399"/>
        <v>8.3000000000000007</v>
      </c>
      <c r="W327" s="13">
        <f t="shared" si="1399"/>
        <v>7.9</v>
      </c>
      <c r="X327" s="13">
        <f t="shared" si="1399"/>
        <v>8.1</v>
      </c>
      <c r="Y327" s="13">
        <f t="shared" si="1399"/>
        <v>8</v>
      </c>
      <c r="Z327" s="13">
        <f t="shared" ref="Z327:AB327" si="1400">-Z283</f>
        <v>8</v>
      </c>
      <c r="AA327" s="13">
        <f t="shared" si="1400"/>
        <v>8</v>
      </c>
      <c r="AB327" s="13">
        <f t="shared" si="1400"/>
        <v>8.1</v>
      </c>
      <c r="AC327" s="13">
        <f t="shared" ref="AC327:AD327" si="1401">-AC283</f>
        <v>8.1</v>
      </c>
      <c r="AD327" s="13">
        <f t="shared" si="1401"/>
        <v>18.3</v>
      </c>
      <c r="AK327" s="17">
        <f t="shared" si="1396"/>
        <v>47</v>
      </c>
      <c r="AL327" s="13">
        <f>-AL283</f>
        <v>47</v>
      </c>
      <c r="AM327" s="17">
        <f t="shared" ref="AM327:AM341" si="1402">+SUM(H327:K327)</f>
        <v>51.5</v>
      </c>
      <c r="AN327" s="17">
        <f t="shared" ref="AN327:AN341" si="1403">+SUM(L327:O327)</f>
        <v>40.200000000000003</v>
      </c>
      <c r="AO327" s="17">
        <f t="shared" ref="AO327:AO341" si="1404">+SUM(P327:S327)</f>
        <v>28.000000000000004</v>
      </c>
      <c r="AP327" s="17">
        <f t="shared" ref="AP327:AP341" si="1405">+SUM(T327:W327)</f>
        <v>32.5</v>
      </c>
      <c r="AQ327" s="17">
        <f t="shared" si="1398"/>
        <v>32.1</v>
      </c>
    </row>
    <row r="328" spans="2:43" x14ac:dyDescent="0.2">
      <c r="B328" t="s">
        <v>23</v>
      </c>
      <c r="D328" s="13">
        <f t="shared" ref="D328:Y328" si="1406">-D279</f>
        <v>0</v>
      </c>
      <c r="E328" s="13">
        <f t="shared" si="1406"/>
        <v>0</v>
      </c>
      <c r="F328" s="13">
        <f t="shared" si="1406"/>
        <v>0</v>
      </c>
      <c r="G328" s="13">
        <f t="shared" si="1406"/>
        <v>0</v>
      </c>
      <c r="H328" s="13">
        <f t="shared" si="1406"/>
        <v>0</v>
      </c>
      <c r="I328" s="13">
        <f t="shared" si="1406"/>
        <v>0</v>
      </c>
      <c r="J328" s="13">
        <f t="shared" si="1406"/>
        <v>0</v>
      </c>
      <c r="K328" s="13">
        <f t="shared" si="1406"/>
        <v>0</v>
      </c>
      <c r="L328" s="13">
        <f t="shared" si="1406"/>
        <v>0</v>
      </c>
      <c r="M328" s="13">
        <f t="shared" si="1406"/>
        <v>0</v>
      </c>
      <c r="N328" s="13">
        <f t="shared" si="1406"/>
        <v>0</v>
      </c>
      <c r="O328" s="13">
        <f t="shared" si="1406"/>
        <v>0</v>
      </c>
      <c r="P328" s="13">
        <f t="shared" si="1406"/>
        <v>0</v>
      </c>
      <c r="Q328" s="13">
        <f t="shared" si="1406"/>
        <v>0</v>
      </c>
      <c r="R328" s="13">
        <f t="shared" si="1406"/>
        <v>0</v>
      </c>
      <c r="S328" s="13">
        <f t="shared" si="1406"/>
        <v>0</v>
      </c>
      <c r="T328" s="13">
        <f t="shared" si="1406"/>
        <v>0</v>
      </c>
      <c r="U328" s="13">
        <f t="shared" si="1406"/>
        <v>-1.4</v>
      </c>
      <c r="V328" s="13">
        <f t="shared" si="1406"/>
        <v>-3.5</v>
      </c>
      <c r="W328" s="13">
        <f t="shared" si="1406"/>
        <v>-5.9</v>
      </c>
      <c r="X328" s="13">
        <f t="shared" si="1406"/>
        <v>-7.6</v>
      </c>
      <c r="Y328" s="13">
        <f t="shared" si="1406"/>
        <v>-8.8000000000000007</v>
      </c>
      <c r="Z328" s="13">
        <f t="shared" ref="Z328:AB328" si="1407">-Z279</f>
        <v>-9.6</v>
      </c>
      <c r="AA328" s="13">
        <f t="shared" si="1407"/>
        <v>-5.8999999999999986</v>
      </c>
      <c r="AB328" s="13">
        <f t="shared" si="1407"/>
        <v>-5.4</v>
      </c>
      <c r="AC328" s="13">
        <f t="shared" ref="AC328:AD328" si="1408">-AC279</f>
        <v>-5</v>
      </c>
      <c r="AD328" s="13">
        <f t="shared" si="1408"/>
        <v>-9.6999999999999993</v>
      </c>
      <c r="AK328" s="17">
        <f t="shared" si="1396"/>
        <v>0</v>
      </c>
      <c r="AL328" s="13">
        <f>-AL279</f>
        <v>0</v>
      </c>
      <c r="AM328" s="17">
        <f t="shared" si="1402"/>
        <v>0</v>
      </c>
      <c r="AN328" s="17">
        <f t="shared" si="1403"/>
        <v>0</v>
      </c>
      <c r="AO328" s="17">
        <f t="shared" si="1404"/>
        <v>0</v>
      </c>
      <c r="AP328" s="17">
        <f t="shared" si="1405"/>
        <v>-10.8</v>
      </c>
      <c r="AQ328" s="17">
        <f t="shared" si="1398"/>
        <v>-31.9</v>
      </c>
    </row>
    <row r="329" spans="2:43" x14ac:dyDescent="0.2">
      <c r="B329" t="s">
        <v>70</v>
      </c>
      <c r="D329" s="13">
        <f t="shared" ref="D329:Y329" si="1409">-D285</f>
        <v>-1.7</v>
      </c>
      <c r="E329" s="13">
        <f t="shared" si="1409"/>
        <v>-2.5</v>
      </c>
      <c r="F329" s="13">
        <f t="shared" si="1409"/>
        <v>0.2</v>
      </c>
      <c r="G329" s="13">
        <f t="shared" si="1409"/>
        <v>0.2</v>
      </c>
      <c r="H329" s="13">
        <f t="shared" si="1409"/>
        <v>0.3</v>
      </c>
      <c r="I329" s="13">
        <f t="shared" si="1409"/>
        <v>0.4</v>
      </c>
      <c r="J329" s="13">
        <f t="shared" si="1409"/>
        <v>0.5</v>
      </c>
      <c r="K329" s="13">
        <f t="shared" si="1409"/>
        <v>0.5</v>
      </c>
      <c r="L329" s="13">
        <f t="shared" si="1409"/>
        <v>0.3</v>
      </c>
      <c r="M329" s="13">
        <f t="shared" si="1409"/>
        <v>-0.6</v>
      </c>
      <c r="N329" s="13">
        <f t="shared" si="1409"/>
        <v>-0.7</v>
      </c>
      <c r="O329" s="13">
        <f t="shared" si="1409"/>
        <v>-1.4</v>
      </c>
      <c r="P329" s="13">
        <f t="shared" si="1409"/>
        <v>0.8</v>
      </c>
      <c r="Q329" s="13">
        <f t="shared" si="1409"/>
        <v>-5.9</v>
      </c>
      <c r="R329" s="13">
        <f t="shared" si="1409"/>
        <v>1</v>
      </c>
      <c r="S329" s="13">
        <f t="shared" si="1409"/>
        <v>1</v>
      </c>
      <c r="T329" s="13">
        <f t="shared" si="1409"/>
        <v>-6.2</v>
      </c>
      <c r="U329" s="13">
        <f t="shared" si="1409"/>
        <v>1</v>
      </c>
      <c r="V329" s="13">
        <f t="shared" si="1409"/>
        <v>1.2</v>
      </c>
      <c r="W329" s="13">
        <f t="shared" si="1409"/>
        <v>4.2</v>
      </c>
      <c r="X329" s="13">
        <f t="shared" si="1409"/>
        <v>-3.6</v>
      </c>
      <c r="Y329" s="13">
        <f t="shared" si="1409"/>
        <v>-3.3</v>
      </c>
      <c r="Z329" s="13">
        <f t="shared" ref="Z329:AB329" si="1410">-Z285</f>
        <v>0.9</v>
      </c>
      <c r="AA329" s="13">
        <f t="shared" si="1410"/>
        <v>2.6</v>
      </c>
      <c r="AB329" s="13">
        <f t="shared" si="1410"/>
        <v>1.4</v>
      </c>
      <c r="AC329" s="13">
        <f t="shared" ref="AC329:AD329" si="1411">-AC285</f>
        <v>-1.8</v>
      </c>
      <c r="AD329" s="13">
        <f t="shared" si="1411"/>
        <v>-280.5</v>
      </c>
      <c r="AK329" s="17">
        <f t="shared" si="1396"/>
        <v>-3.8</v>
      </c>
      <c r="AL329" s="13">
        <f>-AL285</f>
        <v>-4.0999999999999996</v>
      </c>
      <c r="AM329" s="17">
        <f t="shared" si="1402"/>
        <v>1.7</v>
      </c>
      <c r="AN329" s="17">
        <f t="shared" si="1403"/>
        <v>-2.4</v>
      </c>
      <c r="AO329" s="17">
        <f t="shared" si="1404"/>
        <v>-3.1000000000000005</v>
      </c>
      <c r="AP329" s="17">
        <f t="shared" si="1405"/>
        <v>0.20000000000000018</v>
      </c>
      <c r="AQ329" s="17">
        <f t="shared" si="1398"/>
        <v>-3.4</v>
      </c>
    </row>
    <row r="330" spans="2:43" ht="13.5" x14ac:dyDescent="0.35">
      <c r="B330" t="s">
        <v>15</v>
      </c>
      <c r="D330" s="15">
        <v>16.600000000000001</v>
      </c>
      <c r="E330" s="15">
        <v>16.2</v>
      </c>
      <c r="F330" s="15">
        <v>16.5</v>
      </c>
      <c r="G330" s="15">
        <v>16.899999999999999</v>
      </c>
      <c r="H330" s="15">
        <v>14.8</v>
      </c>
      <c r="I330" s="15">
        <v>15.2</v>
      </c>
      <c r="J330" s="15">
        <v>16.100000000000001</v>
      </c>
      <c r="K330" s="15">
        <v>16.5</v>
      </c>
      <c r="L330" s="15">
        <v>17.600000000000001</v>
      </c>
      <c r="M330" s="15">
        <v>17.899999999999999</v>
      </c>
      <c r="N330" s="15">
        <v>24.2</v>
      </c>
      <c r="O330" s="15">
        <v>24.5</v>
      </c>
      <c r="P330" s="15">
        <v>25.3</v>
      </c>
      <c r="Q330" s="15">
        <v>25.7</v>
      </c>
      <c r="R330" s="15">
        <v>25.8</v>
      </c>
      <c r="S330" s="15">
        <v>27.6</v>
      </c>
      <c r="T330" s="15">
        <v>29.1</v>
      </c>
      <c r="U330" s="15">
        <v>29.9</v>
      </c>
      <c r="V330" s="15">
        <v>42.6</v>
      </c>
      <c r="W330" s="15">
        <v>47.5</v>
      </c>
      <c r="X330" s="15">
        <v>47.6</v>
      </c>
      <c r="Y330" s="15">
        <v>50</v>
      </c>
      <c r="Z330" s="15">
        <v>55.1</v>
      </c>
      <c r="AA330" s="15">
        <v>61.9</v>
      </c>
      <c r="AB330" s="15">
        <v>66.099999999999994</v>
      </c>
      <c r="AC330" s="15">
        <v>69.7</v>
      </c>
      <c r="AD330" s="15">
        <v>77.3</v>
      </c>
      <c r="AK330" s="18">
        <f t="shared" si="1396"/>
        <v>66.199999999999989</v>
      </c>
      <c r="AL330" s="15">
        <v>71</v>
      </c>
      <c r="AM330" s="18">
        <f t="shared" si="1402"/>
        <v>62.6</v>
      </c>
      <c r="AN330" s="18">
        <f t="shared" si="1403"/>
        <v>84.2</v>
      </c>
      <c r="AO330" s="18">
        <f t="shared" si="1404"/>
        <v>104.4</v>
      </c>
      <c r="AP330" s="18">
        <f t="shared" si="1405"/>
        <v>149.1</v>
      </c>
      <c r="AQ330" s="18">
        <f t="shared" si="1398"/>
        <v>214.6</v>
      </c>
    </row>
    <row r="331" spans="2:43" x14ac:dyDescent="0.2">
      <c r="B331" s="11" t="s">
        <v>71</v>
      </c>
      <c r="D331" s="13">
        <f t="shared" ref="D331" si="1412">SUM(D326:D330)</f>
        <v>11.899999999999999</v>
      </c>
      <c r="E331" s="13">
        <f t="shared" ref="E331" si="1413">SUM(E326:E330)</f>
        <v>6.7000000000000295</v>
      </c>
      <c r="F331" s="13">
        <f t="shared" ref="F331" si="1414">SUM(F326:F330)</f>
        <v>18.099999999999994</v>
      </c>
      <c r="G331" s="13">
        <f t="shared" ref="G331" si="1415">SUM(G326:G330)</f>
        <v>22.799999999999994</v>
      </c>
      <c r="H331" s="13">
        <f t="shared" ref="H331:U331" si="1416">SUM(H326:H330)</f>
        <v>14.899999999999977</v>
      </c>
      <c r="I331" s="13">
        <f t="shared" si="1416"/>
        <v>20.299999999999976</v>
      </c>
      <c r="J331" s="13">
        <f t="shared" si="1416"/>
        <v>7.0000000000000124</v>
      </c>
      <c r="K331" s="13">
        <f t="shared" si="1416"/>
        <v>16.999999999999972</v>
      </c>
      <c r="L331" s="13">
        <f t="shared" si="1416"/>
        <v>26.100000000000026</v>
      </c>
      <c r="M331" s="13">
        <f t="shared" si="1416"/>
        <v>-45.799999999999983</v>
      </c>
      <c r="N331" s="13">
        <f t="shared" si="1416"/>
        <v>20.799999999999994</v>
      </c>
      <c r="O331" s="13">
        <f t="shared" si="1416"/>
        <v>9.499999999999968</v>
      </c>
      <c r="P331" s="13">
        <f t="shared" si="1416"/>
        <v>-18.400000000000002</v>
      </c>
      <c r="Q331" s="13">
        <f t="shared" si="1416"/>
        <v>30.600000000000033</v>
      </c>
      <c r="R331" s="13">
        <f t="shared" si="1416"/>
        <v>20.399999999999977</v>
      </c>
      <c r="S331" s="13">
        <f t="shared" si="1416"/>
        <v>22.700000000000003</v>
      </c>
      <c r="T331" s="13">
        <f t="shared" si="1416"/>
        <v>17.600000000000009</v>
      </c>
      <c r="U331" s="13">
        <f t="shared" si="1416"/>
        <v>52.899999999999977</v>
      </c>
      <c r="V331" s="13">
        <f t="shared" ref="V331:X331" si="1417">SUM(V326:V330)</f>
        <v>94.999999999999886</v>
      </c>
      <c r="W331" s="13">
        <f t="shared" si="1417"/>
        <v>92.199999999999946</v>
      </c>
      <c r="X331" s="13">
        <f t="shared" si="1417"/>
        <v>64.899999999999949</v>
      </c>
      <c r="Y331" s="13">
        <f t="shared" ref="Y331:AB331" si="1418">SUM(Y326:Y330)</f>
        <v>82.700000000000088</v>
      </c>
      <c r="Z331" s="13">
        <f t="shared" si="1418"/>
        <v>100.89999999999993</v>
      </c>
      <c r="AA331" s="13">
        <f t="shared" si="1418"/>
        <v>85.799999999999969</v>
      </c>
      <c r="AB331" s="13">
        <f t="shared" si="1418"/>
        <v>98.69999999999996</v>
      </c>
      <c r="AC331" s="13">
        <f t="shared" ref="AC331:AD331" si="1419">SUM(AC326:AC330)</f>
        <v>125.50000000000006</v>
      </c>
      <c r="AD331" s="13">
        <f t="shared" si="1419"/>
        <v>-122.40000000000002</v>
      </c>
      <c r="AK331" s="17">
        <f t="shared" si="1396"/>
        <v>59.500000000000014</v>
      </c>
      <c r="AL331" s="13">
        <f>SUM(AL326:AL330)</f>
        <v>58.499999999999979</v>
      </c>
      <c r="AM331" s="17">
        <f t="shared" si="1402"/>
        <v>59.199999999999939</v>
      </c>
      <c r="AN331" s="17">
        <f t="shared" si="1403"/>
        <v>10.600000000000005</v>
      </c>
      <c r="AO331" s="17">
        <f t="shared" si="1404"/>
        <v>55.300000000000011</v>
      </c>
      <c r="AP331" s="17">
        <f t="shared" si="1405"/>
        <v>257.69999999999982</v>
      </c>
      <c r="AQ331" s="17">
        <f t="shared" si="1398"/>
        <v>334.2999999999999</v>
      </c>
    </row>
    <row r="332" spans="2:43" x14ac:dyDescent="0.2">
      <c r="B332" t="s">
        <v>72</v>
      </c>
      <c r="D332" s="14">
        <v>0</v>
      </c>
      <c r="E332" s="14">
        <v>0</v>
      </c>
      <c r="F332" s="14">
        <v>0</v>
      </c>
      <c r="G332" s="14">
        <v>0</v>
      </c>
      <c r="H332" s="14">
        <v>0</v>
      </c>
      <c r="I332" s="14">
        <v>0</v>
      </c>
      <c r="J332" s="14">
        <v>0</v>
      </c>
      <c r="K332" s="14">
        <v>0</v>
      </c>
      <c r="L332" s="14">
        <v>0</v>
      </c>
      <c r="M332" s="14">
        <v>0</v>
      </c>
      <c r="N332" s="14">
        <v>0</v>
      </c>
      <c r="O332" s="14">
        <v>0</v>
      </c>
      <c r="P332" s="14">
        <v>0</v>
      </c>
      <c r="Q332" s="14">
        <v>0</v>
      </c>
      <c r="R332" s="14">
        <v>25.1</v>
      </c>
      <c r="S332" s="14">
        <v>1.2</v>
      </c>
      <c r="T332" s="14">
        <v>0</v>
      </c>
      <c r="U332" s="14">
        <v>0</v>
      </c>
      <c r="V332" s="14">
        <v>0</v>
      </c>
      <c r="W332" s="14">
        <v>0</v>
      </c>
      <c r="X332" s="14">
        <v>0</v>
      </c>
      <c r="Y332" s="14">
        <v>0</v>
      </c>
      <c r="Z332" s="14">
        <v>0</v>
      </c>
      <c r="AA332" s="14">
        <v>0</v>
      </c>
      <c r="AB332" s="14">
        <v>0</v>
      </c>
      <c r="AC332" s="14">
        <v>0</v>
      </c>
      <c r="AD332" s="14">
        <v>0</v>
      </c>
      <c r="AK332" s="17">
        <f t="shared" si="1396"/>
        <v>0</v>
      </c>
      <c r="AL332" s="14">
        <v>0</v>
      </c>
      <c r="AM332" s="17">
        <f t="shared" si="1402"/>
        <v>0</v>
      </c>
      <c r="AN332" s="17">
        <f t="shared" si="1403"/>
        <v>0</v>
      </c>
      <c r="AO332" s="17">
        <f t="shared" si="1404"/>
        <v>26.3</v>
      </c>
      <c r="AP332" s="17">
        <f t="shared" si="1405"/>
        <v>0</v>
      </c>
      <c r="AQ332" s="17">
        <f t="shared" si="1398"/>
        <v>0</v>
      </c>
    </row>
    <row r="333" spans="2:43" x14ac:dyDescent="0.2">
      <c r="B333" t="s">
        <v>73</v>
      </c>
      <c r="D333" s="49">
        <f>+D271+($AK$333-$AK$271)/4</f>
        <v>7.2750000000000004</v>
      </c>
      <c r="E333" s="49">
        <f>+E271+($AK$333-$AK$271)/4</f>
        <v>13.775</v>
      </c>
      <c r="F333" s="49">
        <f>+F271+($AK$333-$AK$271)/4</f>
        <v>2.0750000000000006</v>
      </c>
      <c r="G333" s="49">
        <f>+G271+($AK$333-$AK$271)/4</f>
        <v>1.6750000000000007</v>
      </c>
      <c r="H333" s="14">
        <v>5.5999999999999979</v>
      </c>
      <c r="I333" s="14">
        <v>4.2</v>
      </c>
      <c r="J333" s="14">
        <v>16.600000000000001</v>
      </c>
      <c r="K333" s="14">
        <v>0.8</v>
      </c>
      <c r="L333" s="14">
        <v>-9.8000000000000007</v>
      </c>
      <c r="M333" s="14">
        <v>12.9</v>
      </c>
      <c r="N333" s="14">
        <v>1.7</v>
      </c>
      <c r="O333" s="14">
        <v>-2.6</v>
      </c>
      <c r="P333" s="14">
        <v>25.8</v>
      </c>
      <c r="Q333" s="14">
        <v>3.2</v>
      </c>
      <c r="R333" s="14">
        <v>4</v>
      </c>
      <c r="S333" s="14">
        <v>3.9</v>
      </c>
      <c r="T333" s="14">
        <v>7.8</v>
      </c>
      <c r="U333" s="14">
        <v>2.4</v>
      </c>
      <c r="V333" s="14">
        <v>13</v>
      </c>
      <c r="W333" s="14">
        <v>4.7</v>
      </c>
      <c r="X333" s="14">
        <v>4.3</v>
      </c>
      <c r="Y333" s="14">
        <v>5.8</v>
      </c>
      <c r="Z333" s="14">
        <v>3.2</v>
      </c>
      <c r="AA333" s="14">
        <v>15</v>
      </c>
      <c r="AB333" s="14">
        <v>4</v>
      </c>
      <c r="AC333" s="14">
        <v>13.7</v>
      </c>
      <c r="AD333" s="14">
        <v>8.8000000000000007</v>
      </c>
      <c r="AK333" s="14">
        <v>24.8</v>
      </c>
      <c r="AL333" s="14">
        <v>25.8</v>
      </c>
      <c r="AM333" s="17">
        <f t="shared" si="1402"/>
        <v>27.2</v>
      </c>
      <c r="AN333" s="17">
        <f t="shared" si="1403"/>
        <v>2.1999999999999997</v>
      </c>
      <c r="AO333" s="17">
        <f t="shared" si="1404"/>
        <v>36.9</v>
      </c>
      <c r="AP333" s="17">
        <f t="shared" si="1405"/>
        <v>27.9</v>
      </c>
      <c r="AQ333" s="17">
        <f t="shared" si="1398"/>
        <v>28.3</v>
      </c>
    </row>
    <row r="334" spans="2:43" x14ac:dyDescent="0.2">
      <c r="B334" t="s">
        <v>74</v>
      </c>
      <c r="D334" s="14">
        <v>0</v>
      </c>
      <c r="E334" s="14">
        <v>0</v>
      </c>
      <c r="F334" s="14">
        <v>0</v>
      </c>
      <c r="G334" s="14">
        <v>0</v>
      </c>
      <c r="H334" s="14">
        <v>0</v>
      </c>
      <c r="I334" s="14">
        <v>0</v>
      </c>
      <c r="J334" s="14">
        <v>0</v>
      </c>
      <c r="K334" s="14">
        <v>0</v>
      </c>
      <c r="L334" s="14">
        <v>0</v>
      </c>
      <c r="M334" s="14">
        <v>50</v>
      </c>
      <c r="N334" s="14">
        <v>6.2</v>
      </c>
      <c r="O334" s="14">
        <v>10.7</v>
      </c>
      <c r="P334" s="14">
        <v>14.1</v>
      </c>
      <c r="Q334" s="14">
        <v>11.3</v>
      </c>
      <c r="R334" s="14">
        <v>6.6</v>
      </c>
      <c r="S334" s="14">
        <v>15.3</v>
      </c>
      <c r="T334" s="14">
        <v>17.100000000000001</v>
      </c>
      <c r="U334" s="14">
        <v>9.6999999999999993</v>
      </c>
      <c r="V334" s="14">
        <v>12.3</v>
      </c>
      <c r="W334" s="14">
        <v>11.3</v>
      </c>
      <c r="X334" s="14">
        <v>21.2</v>
      </c>
      <c r="Y334" s="14">
        <v>13.7</v>
      </c>
      <c r="Z334" s="14">
        <v>12.6</v>
      </c>
      <c r="AA334" s="14">
        <v>11.6</v>
      </c>
      <c r="AB334" s="14">
        <v>23.2</v>
      </c>
      <c r="AC334" s="14">
        <v>14.5</v>
      </c>
      <c r="AD334" s="14">
        <v>14.4</v>
      </c>
      <c r="AK334" s="17">
        <f t="shared" si="1396"/>
        <v>0</v>
      </c>
      <c r="AL334" s="14">
        <v>0</v>
      </c>
      <c r="AM334" s="17">
        <f t="shared" si="1402"/>
        <v>0</v>
      </c>
      <c r="AN334" s="17">
        <f t="shared" si="1403"/>
        <v>66.900000000000006</v>
      </c>
      <c r="AO334" s="17">
        <f t="shared" si="1404"/>
        <v>47.3</v>
      </c>
      <c r="AP334" s="17">
        <f t="shared" si="1405"/>
        <v>50.400000000000006</v>
      </c>
      <c r="AQ334" s="17">
        <f t="shared" si="1398"/>
        <v>59.1</v>
      </c>
    </row>
    <row r="335" spans="2:43" x14ac:dyDescent="0.2">
      <c r="B335" t="s">
        <v>82</v>
      </c>
      <c r="D335" s="14">
        <v>0</v>
      </c>
      <c r="E335" s="14">
        <v>0</v>
      </c>
      <c r="F335" s="14">
        <v>0</v>
      </c>
      <c r="G335" s="14">
        <v>0</v>
      </c>
      <c r="H335" s="14">
        <v>0</v>
      </c>
      <c r="I335" s="14">
        <v>0</v>
      </c>
      <c r="J335" s="14">
        <v>0</v>
      </c>
      <c r="K335" s="14">
        <v>0</v>
      </c>
      <c r="L335" s="14">
        <v>0</v>
      </c>
      <c r="M335" s="14">
        <v>-12.4</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K335" s="17">
        <f t="shared" si="1396"/>
        <v>0</v>
      </c>
      <c r="AL335" s="14">
        <v>0</v>
      </c>
      <c r="AM335" s="17">
        <f t="shared" si="1402"/>
        <v>0</v>
      </c>
      <c r="AN335" s="17">
        <f t="shared" si="1403"/>
        <v>-12.4</v>
      </c>
      <c r="AO335" s="17">
        <f t="shared" si="1404"/>
        <v>0</v>
      </c>
      <c r="AP335" s="17">
        <f t="shared" si="1405"/>
        <v>0</v>
      </c>
      <c r="AQ335" s="17">
        <f t="shared" si="1398"/>
        <v>0</v>
      </c>
    </row>
    <row r="336" spans="2:43" x14ac:dyDescent="0.2">
      <c r="B336" t="s">
        <v>91</v>
      </c>
      <c r="D336" s="14">
        <v>0</v>
      </c>
      <c r="E336" s="14">
        <v>0</v>
      </c>
      <c r="F336" s="14">
        <v>0</v>
      </c>
      <c r="G336" s="14">
        <v>0</v>
      </c>
      <c r="H336" s="14">
        <v>0</v>
      </c>
      <c r="I336" s="14">
        <v>0</v>
      </c>
      <c r="J336" s="14">
        <v>0</v>
      </c>
      <c r="K336" s="14">
        <v>0</v>
      </c>
      <c r="L336" s="14">
        <v>0</v>
      </c>
      <c r="M336" s="14">
        <v>0</v>
      </c>
      <c r="N336" s="14">
        <v>0</v>
      </c>
      <c r="O336" s="14">
        <v>0</v>
      </c>
      <c r="P336" s="14">
        <v>0</v>
      </c>
      <c r="Q336" s="14">
        <v>0</v>
      </c>
      <c r="R336" s="14">
        <v>0</v>
      </c>
      <c r="S336" s="14">
        <v>0</v>
      </c>
      <c r="T336" s="14">
        <v>-0.3</v>
      </c>
      <c r="U336" s="14">
        <v>0</v>
      </c>
      <c r="V336" s="14">
        <v>-36.9</v>
      </c>
      <c r="W336" s="14">
        <v>0.6</v>
      </c>
      <c r="X336" s="14">
        <v>7</v>
      </c>
      <c r="Y336" s="14">
        <v>5.6</v>
      </c>
      <c r="Z336" s="14">
        <v>8.9</v>
      </c>
      <c r="AA336" s="14">
        <v>1.6</v>
      </c>
      <c r="AB336" s="14">
        <v>2.1</v>
      </c>
      <c r="AC336" s="14">
        <v>0.3</v>
      </c>
      <c r="AD336" s="14">
        <v>1.5</v>
      </c>
      <c r="AK336" s="17">
        <f t="shared" ref="AK336" si="1420">+SUM(D336:G336)</f>
        <v>0</v>
      </c>
      <c r="AL336" s="14">
        <v>0</v>
      </c>
      <c r="AM336" s="17">
        <f t="shared" ref="AM336" si="1421">+SUM(H336:K336)</f>
        <v>0</v>
      </c>
      <c r="AN336" s="17">
        <f t="shared" ref="AN336" si="1422">+SUM(L336:O336)</f>
        <v>0</v>
      </c>
      <c r="AO336" s="17">
        <f t="shared" ref="AO336" si="1423">+SUM(P336:S336)</f>
        <v>0</v>
      </c>
      <c r="AP336" s="17">
        <f t="shared" si="1405"/>
        <v>-36.599999999999994</v>
      </c>
      <c r="AQ336" s="17">
        <f t="shared" si="1398"/>
        <v>23.1</v>
      </c>
    </row>
    <row r="337" spans="2:43" x14ac:dyDescent="0.2">
      <c r="B337" t="s">
        <v>235</v>
      </c>
      <c r="D337" s="14">
        <v>0</v>
      </c>
      <c r="E337" s="14">
        <v>0</v>
      </c>
      <c r="F337" s="14">
        <v>0</v>
      </c>
      <c r="G337" s="14">
        <v>0</v>
      </c>
      <c r="H337" s="14">
        <v>0</v>
      </c>
      <c r="I337" s="14">
        <v>0</v>
      </c>
      <c r="J337" s="14">
        <v>0</v>
      </c>
      <c r="K337" s="14">
        <v>0</v>
      </c>
      <c r="L337" s="14">
        <v>0</v>
      </c>
      <c r="M337" s="14">
        <v>0</v>
      </c>
      <c r="N337" s="14">
        <v>0</v>
      </c>
      <c r="O337" s="14">
        <v>0</v>
      </c>
      <c r="P337" s="14">
        <v>0</v>
      </c>
      <c r="Q337" s="14">
        <v>0</v>
      </c>
      <c r="R337" s="14">
        <v>0</v>
      </c>
      <c r="S337" s="14">
        <v>0</v>
      </c>
      <c r="T337" s="14">
        <v>0</v>
      </c>
      <c r="U337" s="14">
        <v>0</v>
      </c>
      <c r="V337" s="14">
        <v>0</v>
      </c>
      <c r="W337" s="14">
        <v>-15.1</v>
      </c>
      <c r="X337" s="14">
        <v>-8.9</v>
      </c>
      <c r="Y337" s="14">
        <v>0</v>
      </c>
      <c r="Z337" s="14">
        <v>-2.6</v>
      </c>
      <c r="AA337" s="14">
        <v>-0.7</v>
      </c>
      <c r="AB337" s="14">
        <v>-11</v>
      </c>
      <c r="AC337" s="14">
        <v>0.2</v>
      </c>
      <c r="AD337" s="14">
        <v>-10.8</v>
      </c>
      <c r="AK337" s="17">
        <f t="shared" ref="AK337" si="1424">+SUM(D337:G337)</f>
        <v>0</v>
      </c>
      <c r="AL337" s="14">
        <v>0</v>
      </c>
      <c r="AM337" s="17">
        <f t="shared" ref="AM337" si="1425">+SUM(H337:K337)</f>
        <v>0</v>
      </c>
      <c r="AN337" s="17">
        <f t="shared" ref="AN337" si="1426">+SUM(L337:O337)</f>
        <v>0</v>
      </c>
      <c r="AO337" s="17">
        <f t="shared" ref="AO337" si="1427">+SUM(P337:S337)</f>
        <v>0</v>
      </c>
      <c r="AP337" s="17">
        <f t="shared" si="1405"/>
        <v>-15.1</v>
      </c>
      <c r="AQ337" s="17">
        <f t="shared" si="1398"/>
        <v>-12.2</v>
      </c>
    </row>
    <row r="338" spans="2:43" x14ac:dyDescent="0.2">
      <c r="B338" t="s">
        <v>228</v>
      </c>
      <c r="D338" s="14">
        <v>0</v>
      </c>
      <c r="E338" s="14">
        <v>0</v>
      </c>
      <c r="F338" s="14">
        <v>0</v>
      </c>
      <c r="G338" s="14">
        <v>0</v>
      </c>
      <c r="H338" s="14">
        <v>0</v>
      </c>
      <c r="I338" s="14">
        <v>0</v>
      </c>
      <c r="J338" s="14">
        <v>0</v>
      </c>
      <c r="K338" s="14">
        <v>0</v>
      </c>
      <c r="L338" s="14">
        <v>0</v>
      </c>
      <c r="M338" s="14">
        <v>0</v>
      </c>
      <c r="N338" s="14">
        <v>0</v>
      </c>
      <c r="O338" s="14">
        <v>0</v>
      </c>
      <c r="P338" s="14">
        <v>0</v>
      </c>
      <c r="Q338" s="14">
        <v>0</v>
      </c>
      <c r="R338" s="14">
        <v>0</v>
      </c>
      <c r="S338" s="14">
        <v>0</v>
      </c>
      <c r="T338" s="14">
        <v>0</v>
      </c>
      <c r="U338" s="14">
        <v>0</v>
      </c>
      <c r="V338" s="14">
        <v>1.1000000000000001</v>
      </c>
      <c r="W338" s="14">
        <v>0.6</v>
      </c>
      <c r="X338" s="14">
        <v>0.5</v>
      </c>
      <c r="Y338" s="14">
        <v>0.8</v>
      </c>
      <c r="Z338" s="14">
        <v>1.5</v>
      </c>
      <c r="AA338" s="14">
        <v>0.6</v>
      </c>
      <c r="AB338" s="14">
        <v>1.2</v>
      </c>
      <c r="AC338" s="14">
        <v>3.6</v>
      </c>
      <c r="AD338" s="14">
        <v>289.39999999999998</v>
      </c>
      <c r="AK338" s="17">
        <f t="shared" ref="AK338" si="1428">+SUM(D338:G338)</f>
        <v>0</v>
      </c>
      <c r="AL338" s="14">
        <v>0</v>
      </c>
      <c r="AM338" s="17">
        <f t="shared" ref="AM338" si="1429">+SUM(H338:K338)</f>
        <v>0</v>
      </c>
      <c r="AN338" s="17">
        <f t="shared" ref="AN338" si="1430">+SUM(L338:O338)</f>
        <v>0</v>
      </c>
      <c r="AO338" s="17">
        <f t="shared" ref="AO338" si="1431">+SUM(P338:S338)</f>
        <v>0</v>
      </c>
      <c r="AP338" s="17">
        <f t="shared" si="1405"/>
        <v>1.7000000000000002</v>
      </c>
      <c r="AQ338" s="17">
        <f t="shared" si="1398"/>
        <v>3.4</v>
      </c>
    </row>
    <row r="339" spans="2:43" x14ac:dyDescent="0.2">
      <c r="B339" t="s">
        <v>263</v>
      </c>
      <c r="D339" s="14"/>
      <c r="E339" s="14"/>
      <c r="F339" s="14"/>
      <c r="G339" s="14"/>
      <c r="H339" s="14">
        <v>0</v>
      </c>
      <c r="I339" s="14">
        <v>0</v>
      </c>
      <c r="J339" s="14">
        <v>0</v>
      </c>
      <c r="K339" s="14">
        <v>0</v>
      </c>
      <c r="L339" s="14">
        <v>0</v>
      </c>
      <c r="M339" s="14">
        <v>0</v>
      </c>
      <c r="N339" s="14">
        <v>0</v>
      </c>
      <c r="O339" s="14">
        <v>0</v>
      </c>
      <c r="P339" s="14">
        <v>0</v>
      </c>
      <c r="Q339" s="14">
        <v>0</v>
      </c>
      <c r="R339" s="14">
        <v>0</v>
      </c>
      <c r="S339" s="14">
        <v>0</v>
      </c>
      <c r="T339" s="14">
        <v>0</v>
      </c>
      <c r="U339" s="14">
        <v>0</v>
      </c>
      <c r="V339" s="14">
        <v>0</v>
      </c>
      <c r="W339" s="14">
        <v>0</v>
      </c>
      <c r="X339" s="14">
        <v>0</v>
      </c>
      <c r="Y339" s="14">
        <v>0</v>
      </c>
      <c r="Z339" s="14">
        <v>0</v>
      </c>
      <c r="AA339" s="14">
        <v>18.600000000000001</v>
      </c>
      <c r="AB339" s="14">
        <v>0</v>
      </c>
      <c r="AC339" s="14">
        <v>0</v>
      </c>
      <c r="AD339" s="14">
        <v>0</v>
      </c>
      <c r="AK339" s="17"/>
      <c r="AL339" s="14">
        <v>0</v>
      </c>
      <c r="AM339" s="17">
        <f t="shared" ref="AM339" si="1432">+SUM(H339:K339)</f>
        <v>0</v>
      </c>
      <c r="AN339" s="17">
        <f t="shared" ref="AN339" si="1433">+SUM(L339:O339)</f>
        <v>0</v>
      </c>
      <c r="AO339" s="17">
        <f t="shared" ref="AO339" si="1434">+SUM(P339:S339)</f>
        <v>0</v>
      </c>
      <c r="AP339" s="17">
        <f t="shared" ref="AP339" si="1435">+SUM(T339:W339)</f>
        <v>0</v>
      </c>
      <c r="AQ339" s="17">
        <f t="shared" si="1398"/>
        <v>18.600000000000001</v>
      </c>
    </row>
    <row r="340" spans="2:43" ht="13.5" x14ac:dyDescent="0.35">
      <c r="B340" t="s">
        <v>75</v>
      </c>
      <c r="D340" s="22">
        <f>+$AK340/4</f>
        <v>1.4</v>
      </c>
      <c r="E340" s="22">
        <f t="shared" ref="E340:G340" si="1436">+$AK340/4</f>
        <v>1.4</v>
      </c>
      <c r="F340" s="22">
        <f t="shared" si="1436"/>
        <v>1.4</v>
      </c>
      <c r="G340" s="22">
        <f t="shared" si="1436"/>
        <v>1.4</v>
      </c>
      <c r="H340" s="15">
        <v>-0.1</v>
      </c>
      <c r="I340" s="15">
        <v>-0.4</v>
      </c>
      <c r="J340" s="15">
        <v>1</v>
      </c>
      <c r="K340" s="15">
        <v>2.9</v>
      </c>
      <c r="L340" s="15">
        <v>1.2</v>
      </c>
      <c r="M340" s="15">
        <v>10.1</v>
      </c>
      <c r="N340" s="15">
        <v>0</v>
      </c>
      <c r="O340" s="15">
        <v>9.1</v>
      </c>
      <c r="P340" s="15">
        <v>0.9</v>
      </c>
      <c r="Q340" s="15">
        <v>0.1</v>
      </c>
      <c r="R340" s="15">
        <v>-0.3</v>
      </c>
      <c r="S340" s="15">
        <v>0.9</v>
      </c>
      <c r="T340" s="15">
        <v>1.8</v>
      </c>
      <c r="U340" s="15">
        <v>0.6</v>
      </c>
      <c r="V340" s="15">
        <v>0.9</v>
      </c>
      <c r="W340" s="15">
        <v>0.1</v>
      </c>
      <c r="X340" s="15">
        <v>0.3</v>
      </c>
      <c r="Y340" s="15">
        <v>1.4</v>
      </c>
      <c r="Z340" s="15">
        <v>0</v>
      </c>
      <c r="AA340" s="15">
        <v>3.6</v>
      </c>
      <c r="AB340" s="15">
        <v>3.5</v>
      </c>
      <c r="AC340" s="15">
        <v>4.5999999999999996</v>
      </c>
      <c r="AD340" s="15">
        <v>6.5</v>
      </c>
      <c r="AK340" s="15">
        <v>5.6</v>
      </c>
      <c r="AL340" s="15">
        <v>5.6</v>
      </c>
      <c r="AM340" s="18">
        <f t="shared" si="1402"/>
        <v>3.4</v>
      </c>
      <c r="AN340" s="18">
        <f t="shared" si="1403"/>
        <v>20.399999999999999</v>
      </c>
      <c r="AO340" s="18">
        <f t="shared" si="1404"/>
        <v>1.6</v>
      </c>
      <c r="AP340" s="18">
        <f t="shared" si="1405"/>
        <v>3.4</v>
      </c>
      <c r="AQ340" s="18">
        <f t="shared" si="1398"/>
        <v>5.3</v>
      </c>
    </row>
    <row r="341" spans="2:43" s="1" customFormat="1" x14ac:dyDescent="0.2">
      <c r="B341" s="31" t="s">
        <v>69</v>
      </c>
      <c r="D341" s="56">
        <f t="shared" ref="D341:V341" si="1437">+SUM(D331:D340)</f>
        <v>20.574999999999996</v>
      </c>
      <c r="E341" s="56">
        <f t="shared" si="1437"/>
        <v>21.875000000000028</v>
      </c>
      <c r="F341" s="56">
        <f t="shared" si="1437"/>
        <v>21.574999999999992</v>
      </c>
      <c r="G341" s="56">
        <f t="shared" si="1437"/>
        <v>25.874999999999993</v>
      </c>
      <c r="H341" s="56">
        <f t="shared" si="1437"/>
        <v>20.399999999999974</v>
      </c>
      <c r="I341" s="56">
        <f t="shared" si="1437"/>
        <v>24.099999999999977</v>
      </c>
      <c r="J341" s="56">
        <f t="shared" si="1437"/>
        <v>24.600000000000016</v>
      </c>
      <c r="K341" s="56">
        <f t="shared" si="1437"/>
        <v>20.699999999999971</v>
      </c>
      <c r="L341" s="56">
        <f t="shared" si="1437"/>
        <v>17.500000000000025</v>
      </c>
      <c r="M341" s="56">
        <f t="shared" si="1437"/>
        <v>14.800000000000015</v>
      </c>
      <c r="N341" s="56">
        <f t="shared" si="1437"/>
        <v>28.699999999999992</v>
      </c>
      <c r="O341" s="56">
        <f t="shared" si="1437"/>
        <v>26.699999999999967</v>
      </c>
      <c r="P341" s="56">
        <f t="shared" si="1437"/>
        <v>22.4</v>
      </c>
      <c r="Q341" s="56">
        <f t="shared" si="1437"/>
        <v>45.200000000000038</v>
      </c>
      <c r="R341" s="56">
        <f t="shared" si="1437"/>
        <v>55.799999999999983</v>
      </c>
      <c r="S341" s="56">
        <f t="shared" si="1437"/>
        <v>44</v>
      </c>
      <c r="T341" s="56">
        <f t="shared" si="1437"/>
        <v>44.000000000000014</v>
      </c>
      <c r="U341" s="56">
        <f t="shared" si="1437"/>
        <v>65.599999999999966</v>
      </c>
      <c r="V341" s="56">
        <f t="shared" si="1437"/>
        <v>85.399999999999892</v>
      </c>
      <c r="W341" s="56">
        <f t="shared" ref="W341:Y341" si="1438">+SUM(W331:W340)</f>
        <v>94.399999999999935</v>
      </c>
      <c r="X341" s="56">
        <f t="shared" si="1438"/>
        <v>89.29999999999994</v>
      </c>
      <c r="Y341" s="56">
        <f t="shared" si="1438"/>
        <v>110.00000000000009</v>
      </c>
      <c r="Z341" s="56">
        <f t="shared" ref="Z341:AB341" si="1439">+SUM(Z331:Z340)</f>
        <v>124.49999999999994</v>
      </c>
      <c r="AA341" s="56">
        <f t="shared" si="1439"/>
        <v>136.09999999999994</v>
      </c>
      <c r="AB341" s="56">
        <f t="shared" si="1439"/>
        <v>121.69999999999996</v>
      </c>
      <c r="AC341" s="56">
        <f t="shared" ref="AC341:AD341" si="1440">+SUM(AC331:AC340)</f>
        <v>162.40000000000003</v>
      </c>
      <c r="AD341" s="56">
        <f t="shared" si="1440"/>
        <v>187.39999999999998</v>
      </c>
      <c r="AK341" s="56">
        <f>+SUM(AK331:AK340)</f>
        <v>89.9</v>
      </c>
      <c r="AL341" s="56">
        <f>+SUM(AL331:AL340)</f>
        <v>89.899999999999977</v>
      </c>
      <c r="AM341" s="34">
        <f t="shared" si="1402"/>
        <v>89.79999999999994</v>
      </c>
      <c r="AN341" s="34">
        <f t="shared" si="1403"/>
        <v>87.699999999999989</v>
      </c>
      <c r="AO341" s="34">
        <f t="shared" si="1404"/>
        <v>167.40000000000003</v>
      </c>
      <c r="AP341" s="34">
        <f t="shared" si="1405"/>
        <v>289.39999999999981</v>
      </c>
      <c r="AQ341" s="34">
        <f t="shared" si="1398"/>
        <v>459.89999999999986</v>
      </c>
    </row>
    <row r="342" spans="2:43" x14ac:dyDescent="0.2">
      <c r="B342" s="11"/>
      <c r="D342" s="13"/>
      <c r="E342" s="13"/>
      <c r="F342" s="13"/>
      <c r="G342" s="13"/>
      <c r="H342" s="13"/>
      <c r="I342" s="13"/>
      <c r="J342" s="13"/>
      <c r="K342" s="13"/>
      <c r="L342" s="13"/>
      <c r="M342" s="13"/>
      <c r="N342" s="13"/>
      <c r="O342" s="13"/>
      <c r="P342" s="13"/>
      <c r="Q342" s="13"/>
      <c r="R342" s="13"/>
      <c r="S342" s="13"/>
      <c r="T342" s="13"/>
      <c r="U342" s="13"/>
      <c r="V342" s="13"/>
      <c r="W342" s="13"/>
      <c r="AK342" s="17"/>
      <c r="AL342" s="13"/>
      <c r="AM342" s="17"/>
      <c r="AN342" s="17"/>
      <c r="AO342" s="17"/>
    </row>
    <row r="343" spans="2:43" x14ac:dyDescent="0.2">
      <c r="B343" s="23" t="s">
        <v>145</v>
      </c>
      <c r="D343" s="13"/>
      <c r="E343" s="13"/>
      <c r="F343" s="13"/>
      <c r="G343" s="13"/>
      <c r="H343" s="13"/>
      <c r="I343" s="13"/>
      <c r="J343" s="13"/>
      <c r="K343" s="13"/>
      <c r="L343" s="13"/>
      <c r="M343" s="13"/>
      <c r="N343" s="13"/>
      <c r="O343" s="13"/>
      <c r="P343" s="13"/>
      <c r="Q343" s="13"/>
      <c r="R343" s="13"/>
      <c r="S343" s="13"/>
      <c r="T343" s="13"/>
      <c r="U343" s="13"/>
      <c r="V343" s="13"/>
      <c r="W343" s="13"/>
      <c r="AK343" s="17"/>
      <c r="AL343" s="13"/>
      <c r="AM343" s="17"/>
      <c r="AN343" s="17"/>
      <c r="AO343" s="17"/>
    </row>
    <row r="344" spans="2:43" x14ac:dyDescent="0.2">
      <c r="B344" t="s">
        <v>229</v>
      </c>
      <c r="D344" s="13">
        <f t="shared" ref="D344:AD344" si="1441">+D264</f>
        <v>120.8</v>
      </c>
      <c r="E344" s="13">
        <f t="shared" si="1441"/>
        <v>139.6</v>
      </c>
      <c r="F344" s="13">
        <f t="shared" si="1441"/>
        <v>148.9</v>
      </c>
      <c r="G344" s="13">
        <f t="shared" si="1441"/>
        <v>151.30000000000001</v>
      </c>
      <c r="H344" s="13">
        <f t="shared" si="1441"/>
        <v>155</v>
      </c>
      <c r="I344" s="13">
        <f t="shared" si="1441"/>
        <v>180.5</v>
      </c>
      <c r="J344" s="13">
        <f t="shared" si="1441"/>
        <v>193.8</v>
      </c>
      <c r="K344" s="13">
        <f t="shared" si="1441"/>
        <v>202.1</v>
      </c>
      <c r="L344" s="13">
        <f t="shared" si="1441"/>
        <v>199.4</v>
      </c>
      <c r="M344" s="13">
        <f t="shared" si="1441"/>
        <v>141.80000000000001</v>
      </c>
      <c r="N344" s="13">
        <f t="shared" si="1441"/>
        <v>214.8</v>
      </c>
      <c r="O344" s="13">
        <f t="shared" si="1441"/>
        <v>210.9</v>
      </c>
      <c r="P344" s="13">
        <f t="shared" si="1441"/>
        <v>239.3</v>
      </c>
      <c r="Q344" s="13">
        <f t="shared" si="1441"/>
        <v>351</v>
      </c>
      <c r="R344" s="13">
        <f t="shared" si="1441"/>
        <v>377.8</v>
      </c>
      <c r="S344" s="13">
        <f t="shared" si="1441"/>
        <v>399.4</v>
      </c>
      <c r="T344" s="13">
        <f t="shared" si="1441"/>
        <v>401.9</v>
      </c>
      <c r="U344" s="13">
        <f t="shared" si="1441"/>
        <v>506.7</v>
      </c>
      <c r="V344" s="13">
        <f t="shared" si="1441"/>
        <v>547.29999999999995</v>
      </c>
      <c r="W344" s="13">
        <f t="shared" si="1441"/>
        <v>537.70000000000005</v>
      </c>
      <c r="X344" s="13">
        <f t="shared" si="1441"/>
        <v>547</v>
      </c>
      <c r="Y344" s="13">
        <f t="shared" si="1441"/>
        <v>637</v>
      </c>
      <c r="Z344" s="13">
        <f t="shared" si="1441"/>
        <v>675.4</v>
      </c>
      <c r="AA344" s="13">
        <f t="shared" si="1441"/>
        <v>705.40000000000009</v>
      </c>
      <c r="AB344" s="13">
        <f t="shared" si="1441"/>
        <v>707.4</v>
      </c>
      <c r="AC344" s="13">
        <f t="shared" si="1441"/>
        <v>827</v>
      </c>
      <c r="AD344" s="13">
        <f t="shared" si="1441"/>
        <v>909.2</v>
      </c>
      <c r="AK344" s="17"/>
      <c r="AL344" s="13">
        <f>+AL264</f>
        <v>560.6</v>
      </c>
      <c r="AM344" s="17">
        <f>+SUM(H344:K344)</f>
        <v>731.4</v>
      </c>
      <c r="AN344" s="17">
        <f>+SUM(L344:O344)</f>
        <v>766.9</v>
      </c>
      <c r="AO344" s="17">
        <f>+SUM(P344:S344)</f>
        <v>1367.5</v>
      </c>
      <c r="AP344" s="17">
        <f>+SUM(T344:W344)</f>
        <v>1993.6</v>
      </c>
      <c r="AQ344" s="17">
        <f>+SUM(X344:AA344)</f>
        <v>2564.8000000000002</v>
      </c>
    </row>
    <row r="345" spans="2:43" x14ac:dyDescent="0.2">
      <c r="B345" t="s">
        <v>48</v>
      </c>
      <c r="D345" s="13">
        <f t="shared" ref="D345:AD345" si="1442">-D265</f>
        <v>-63.6</v>
      </c>
      <c r="E345" s="13">
        <f t="shared" si="1442"/>
        <v>-76.099999999999994</v>
      </c>
      <c r="F345" s="13">
        <f t="shared" si="1442"/>
        <v>-83.4</v>
      </c>
      <c r="G345" s="13">
        <f t="shared" si="1442"/>
        <v>-84.8</v>
      </c>
      <c r="H345" s="13">
        <f t="shared" si="1442"/>
        <v>-88.7</v>
      </c>
      <c r="I345" s="13">
        <f t="shared" si="1442"/>
        <v>-105.2</v>
      </c>
      <c r="J345" s="13">
        <f t="shared" si="1442"/>
        <v>-114.1</v>
      </c>
      <c r="K345" s="13">
        <f t="shared" si="1442"/>
        <v>-117.9</v>
      </c>
      <c r="L345" s="13">
        <f t="shared" si="1442"/>
        <v>-120.3</v>
      </c>
      <c r="M345" s="13">
        <f t="shared" si="1442"/>
        <v>-74.400000000000006</v>
      </c>
      <c r="N345" s="13">
        <f t="shared" si="1442"/>
        <v>-127.1</v>
      </c>
      <c r="O345" s="13">
        <f t="shared" si="1442"/>
        <v>-122.10000000000002</v>
      </c>
      <c r="P345" s="13">
        <f t="shared" si="1442"/>
        <v>-141.80000000000001</v>
      </c>
      <c r="Q345" s="13">
        <f t="shared" si="1442"/>
        <v>-214.7</v>
      </c>
      <c r="R345" s="13">
        <f t="shared" si="1442"/>
        <v>-251.9</v>
      </c>
      <c r="S345" s="13">
        <f t="shared" si="1442"/>
        <v>-253.39999999999998</v>
      </c>
      <c r="T345" s="13">
        <f t="shared" si="1442"/>
        <v>-253.1</v>
      </c>
      <c r="U345" s="13">
        <f t="shared" si="1442"/>
        <v>-324.10000000000002</v>
      </c>
      <c r="V345" s="13">
        <f t="shared" si="1442"/>
        <v>-350.6</v>
      </c>
      <c r="W345" s="13">
        <f t="shared" si="1442"/>
        <v>-338.3</v>
      </c>
      <c r="X345" s="13">
        <f t="shared" si="1442"/>
        <v>-347</v>
      </c>
      <c r="Y345" s="13">
        <f t="shared" si="1442"/>
        <v>-408.9</v>
      </c>
      <c r="Z345" s="13">
        <f t="shared" si="1442"/>
        <v>-432.4</v>
      </c>
      <c r="AA345" s="13">
        <f t="shared" si="1442"/>
        <v>-436.10000000000014</v>
      </c>
      <c r="AB345" s="13">
        <f t="shared" si="1442"/>
        <v>-443.7</v>
      </c>
      <c r="AC345" s="13">
        <f t="shared" si="1442"/>
        <v>-506.4</v>
      </c>
      <c r="AD345" s="13">
        <f t="shared" si="1442"/>
        <v>-544.1</v>
      </c>
      <c r="AK345" s="17"/>
      <c r="AL345" s="13">
        <f>-AL265</f>
        <v>-307.89999999999998</v>
      </c>
      <c r="AM345" s="17">
        <f>+SUM(H345:K345)</f>
        <v>-425.9</v>
      </c>
      <c r="AN345" s="17">
        <f>+SUM(L345:O345)</f>
        <v>-443.9</v>
      </c>
      <c r="AO345" s="17">
        <f>+SUM(P345:S345)</f>
        <v>-861.8</v>
      </c>
      <c r="AP345" s="17">
        <f>+SUM(T345:W345)</f>
        <v>-1266.1000000000001</v>
      </c>
      <c r="AQ345" s="17">
        <f>+SUM(X345:AA345)</f>
        <v>-1624.4</v>
      </c>
    </row>
    <row r="346" spans="2:43" x14ac:dyDescent="0.2">
      <c r="B346" t="s">
        <v>49</v>
      </c>
      <c r="D346" s="13">
        <f t="shared" ref="D346:AD346" si="1443">-D266</f>
        <v>-23.1</v>
      </c>
      <c r="E346" s="13">
        <f t="shared" si="1443"/>
        <v>-25.3</v>
      </c>
      <c r="F346" s="13">
        <f t="shared" si="1443"/>
        <v>-26.6</v>
      </c>
      <c r="G346" s="13">
        <f t="shared" si="1443"/>
        <v>-27.3</v>
      </c>
      <c r="H346" s="13">
        <f t="shared" si="1443"/>
        <v>-29</v>
      </c>
      <c r="I346" s="13">
        <f t="shared" si="1443"/>
        <v>-33.1</v>
      </c>
      <c r="J346" s="13">
        <f t="shared" si="1443"/>
        <v>-34.4</v>
      </c>
      <c r="K346" s="13">
        <f t="shared" si="1443"/>
        <v>-35.6</v>
      </c>
      <c r="L346" s="13">
        <f t="shared" si="1443"/>
        <v>-35.700000000000003</v>
      </c>
      <c r="M346" s="13">
        <f t="shared" si="1443"/>
        <v>-35.799999999999997</v>
      </c>
      <c r="N346" s="13">
        <f t="shared" si="1443"/>
        <v>-36.200000000000003</v>
      </c>
      <c r="O346" s="13">
        <f t="shared" si="1443"/>
        <v>-37.5</v>
      </c>
      <c r="P346" s="13">
        <f t="shared" si="1443"/>
        <v>-45.7</v>
      </c>
      <c r="Q346" s="13">
        <f t="shared" si="1443"/>
        <v>-58.2</v>
      </c>
      <c r="R346" s="13">
        <f t="shared" si="1443"/>
        <v>-61.5</v>
      </c>
      <c r="S346" s="13">
        <f t="shared" si="1443"/>
        <v>-61.900000000000006</v>
      </c>
      <c r="T346" s="13">
        <f t="shared" si="1443"/>
        <v>-64.2</v>
      </c>
      <c r="U346" s="13">
        <f t="shared" si="1443"/>
        <v>-76.8</v>
      </c>
      <c r="V346" s="13">
        <f t="shared" si="1443"/>
        <v>-61</v>
      </c>
      <c r="W346" s="13">
        <f t="shared" si="1443"/>
        <v>-55.3</v>
      </c>
      <c r="X346" s="13">
        <f t="shared" si="1443"/>
        <v>-54.6</v>
      </c>
      <c r="Y346" s="13">
        <f t="shared" si="1443"/>
        <v>-61.2</v>
      </c>
      <c r="Z346" s="13">
        <f t="shared" si="1443"/>
        <v>-62.7</v>
      </c>
      <c r="AA346" s="13">
        <f t="shared" si="1443"/>
        <v>-74.099999999999994</v>
      </c>
      <c r="AB346" s="13">
        <f t="shared" si="1443"/>
        <v>-75.900000000000006</v>
      </c>
      <c r="AC346" s="13">
        <f t="shared" si="1443"/>
        <v>-88.8</v>
      </c>
      <c r="AD346" s="13">
        <f t="shared" si="1443"/>
        <v>-97.8</v>
      </c>
      <c r="AL346" s="13">
        <f>-AL266</f>
        <v>-112</v>
      </c>
      <c r="AM346" s="17">
        <f>+SUM(H346:K346)</f>
        <v>-132.1</v>
      </c>
      <c r="AN346" s="17">
        <f>+SUM(L346:O346)</f>
        <v>-145.19999999999999</v>
      </c>
      <c r="AO346" s="17">
        <f>+SUM(P346:S346)</f>
        <v>-227.3</v>
      </c>
      <c r="AP346" s="17">
        <f>+SUM(T346:W346)</f>
        <v>-257.3</v>
      </c>
      <c r="AQ346" s="17">
        <f>+SUM(X346:AA346)</f>
        <v>-252.6</v>
      </c>
    </row>
    <row r="347" spans="2:43" ht="13.5" x14ac:dyDescent="0.35">
      <c r="B347" t="s">
        <v>230</v>
      </c>
      <c r="D347" s="15">
        <v>0</v>
      </c>
      <c r="E347" s="15">
        <v>0</v>
      </c>
      <c r="F347" s="15">
        <v>0</v>
      </c>
      <c r="G347" s="15">
        <v>0</v>
      </c>
      <c r="H347" s="15">
        <v>0</v>
      </c>
      <c r="I347" s="15">
        <v>0</v>
      </c>
      <c r="J347" s="15">
        <v>0</v>
      </c>
      <c r="K347" s="15">
        <v>0</v>
      </c>
      <c r="L347" s="15">
        <v>0</v>
      </c>
      <c r="M347" s="15">
        <v>0</v>
      </c>
      <c r="N347" s="15">
        <v>-5.7</v>
      </c>
      <c r="O347" s="15">
        <v>-4.0999999999999996</v>
      </c>
      <c r="P347" s="15">
        <v>-4.5</v>
      </c>
      <c r="Q347" s="15">
        <v>-5.0999999999999996</v>
      </c>
      <c r="R347" s="15">
        <v>-5.8</v>
      </c>
      <c r="S347" s="15">
        <v>-6.4</v>
      </c>
      <c r="T347" s="15">
        <v>-7</v>
      </c>
      <c r="U347" s="15">
        <v>-7.4</v>
      </c>
      <c r="V347" s="15">
        <v>-8.1999999999999993</v>
      </c>
      <c r="W347" s="15">
        <v>-5.8</v>
      </c>
      <c r="X347" s="15">
        <v>-7.2</v>
      </c>
      <c r="Y347" s="15">
        <v>-8.1999999999999993</v>
      </c>
      <c r="Z347" s="15">
        <v>-9.3000000000000007</v>
      </c>
      <c r="AA347" s="15">
        <v>-10.6</v>
      </c>
      <c r="AB347" s="15">
        <v>-11.9</v>
      </c>
      <c r="AC347" s="15">
        <v>-13</v>
      </c>
      <c r="AD347" s="15">
        <v>-14.1</v>
      </c>
      <c r="AL347" s="15">
        <v>0</v>
      </c>
      <c r="AM347" s="18">
        <f>+SUM(H347:K347)</f>
        <v>0</v>
      </c>
      <c r="AN347" s="18">
        <f>+SUM(L347:O347)</f>
        <v>-9.8000000000000007</v>
      </c>
      <c r="AO347" s="18">
        <f>+SUM(P347:S347)</f>
        <v>-21.799999999999997</v>
      </c>
      <c r="AP347" s="18">
        <f>+SUM(T347:W347)</f>
        <v>-28.400000000000002</v>
      </c>
      <c r="AQ347" s="18">
        <f>+SUM(X347:AA347)</f>
        <v>-35.299999999999997</v>
      </c>
    </row>
    <row r="348" spans="2:43" s="1" customFormat="1" x14ac:dyDescent="0.2">
      <c r="B348" s="31" t="s">
        <v>145</v>
      </c>
      <c r="D348" s="56">
        <f t="shared" ref="D348:AD348" si="1444">SUM(D344:D347)</f>
        <v>34.099999999999994</v>
      </c>
      <c r="E348" s="56">
        <f t="shared" si="1444"/>
        <v>38.200000000000003</v>
      </c>
      <c r="F348" s="56">
        <f t="shared" si="1444"/>
        <v>38.9</v>
      </c>
      <c r="G348" s="56">
        <f t="shared" si="1444"/>
        <v>39.200000000000017</v>
      </c>
      <c r="H348" s="56">
        <f t="shared" si="1444"/>
        <v>37.299999999999997</v>
      </c>
      <c r="I348" s="56">
        <f t="shared" si="1444"/>
        <v>42.199999999999996</v>
      </c>
      <c r="J348" s="56">
        <f t="shared" si="1444"/>
        <v>45.300000000000018</v>
      </c>
      <c r="K348" s="56">
        <f t="shared" si="1444"/>
        <v>48.599999999999987</v>
      </c>
      <c r="L348" s="56">
        <f t="shared" si="1444"/>
        <v>43.400000000000006</v>
      </c>
      <c r="M348" s="56">
        <f t="shared" si="1444"/>
        <v>31.600000000000009</v>
      </c>
      <c r="N348" s="56">
        <f t="shared" si="1444"/>
        <v>45.800000000000011</v>
      </c>
      <c r="O348" s="56">
        <f t="shared" si="1444"/>
        <v>47.199999999999982</v>
      </c>
      <c r="P348" s="56">
        <f t="shared" si="1444"/>
        <v>47.3</v>
      </c>
      <c r="Q348" s="56">
        <f t="shared" si="1444"/>
        <v>73.000000000000014</v>
      </c>
      <c r="R348" s="56">
        <f t="shared" si="1444"/>
        <v>58.600000000000009</v>
      </c>
      <c r="S348" s="56">
        <f t="shared" si="1444"/>
        <v>77.699999999999989</v>
      </c>
      <c r="T348" s="56">
        <f t="shared" si="1444"/>
        <v>77.59999999999998</v>
      </c>
      <c r="U348" s="56">
        <f t="shared" si="1444"/>
        <v>98.399999999999963</v>
      </c>
      <c r="V348" s="56">
        <f t="shared" si="1444"/>
        <v>127.49999999999993</v>
      </c>
      <c r="W348" s="56">
        <f t="shared" si="1444"/>
        <v>138.30000000000001</v>
      </c>
      <c r="X348" s="56">
        <f t="shared" si="1444"/>
        <v>138.20000000000002</v>
      </c>
      <c r="Y348" s="56">
        <f t="shared" si="1444"/>
        <v>158.70000000000005</v>
      </c>
      <c r="Z348" s="56">
        <f t="shared" si="1444"/>
        <v>171</v>
      </c>
      <c r="AA348" s="56">
        <f t="shared" si="1444"/>
        <v>184.59999999999997</v>
      </c>
      <c r="AB348" s="56">
        <f t="shared" si="1444"/>
        <v>175.89999999999998</v>
      </c>
      <c r="AC348" s="56">
        <f t="shared" si="1444"/>
        <v>218.8</v>
      </c>
      <c r="AD348" s="56">
        <f t="shared" si="1444"/>
        <v>253.20000000000002</v>
      </c>
      <c r="AL348" s="56">
        <f>SUM(AL344:AL347)</f>
        <v>140.70000000000005</v>
      </c>
      <c r="AM348" s="34">
        <f>+SUM(H348:K348)</f>
        <v>173.4</v>
      </c>
      <c r="AN348" s="34">
        <f>+SUM(L348:O348)</f>
        <v>168</v>
      </c>
      <c r="AO348" s="34">
        <f>+SUM(P348:S348)</f>
        <v>256.60000000000002</v>
      </c>
      <c r="AP348" s="34">
        <f>+SUM(T348:W348)</f>
        <v>441.7999999999999</v>
      </c>
      <c r="AQ348" s="34">
        <f>+SUM(X348:AA348)</f>
        <v>652.5</v>
      </c>
    </row>
    <row r="349" spans="2:43" x14ac:dyDescent="0.2">
      <c r="X349" s="216"/>
      <c r="Y349" s="216"/>
      <c r="Z349" s="216"/>
      <c r="AA349" s="216"/>
      <c r="AB349" s="216"/>
      <c r="AC349" s="216"/>
      <c r="AD349" s="216"/>
      <c r="AM349" s="20"/>
      <c r="AN349" s="20"/>
      <c r="AO349" s="20"/>
      <c r="AP349" s="20"/>
      <c r="AQ349" s="20"/>
    </row>
    <row r="350" spans="2:43" x14ac:dyDescent="0.2">
      <c r="B350" s="23" t="s">
        <v>76</v>
      </c>
      <c r="AB350" s="272"/>
      <c r="AC350" s="272"/>
      <c r="AD350" s="272"/>
    </row>
    <row r="351" spans="2:43" x14ac:dyDescent="0.2">
      <c r="B351" t="s">
        <v>145</v>
      </c>
      <c r="D351" s="13">
        <f t="shared" ref="D351:AD351" si="1445">+D348</f>
        <v>34.099999999999994</v>
      </c>
      <c r="E351" s="13">
        <f t="shared" si="1445"/>
        <v>38.200000000000003</v>
      </c>
      <c r="F351" s="13">
        <f t="shared" si="1445"/>
        <v>38.9</v>
      </c>
      <c r="G351" s="13">
        <f t="shared" si="1445"/>
        <v>39.200000000000017</v>
      </c>
      <c r="H351" s="13">
        <f t="shared" si="1445"/>
        <v>37.299999999999997</v>
      </c>
      <c r="I351" s="13">
        <f t="shared" si="1445"/>
        <v>42.199999999999996</v>
      </c>
      <c r="J351" s="13">
        <f t="shared" si="1445"/>
        <v>45.300000000000018</v>
      </c>
      <c r="K351" s="13">
        <f t="shared" si="1445"/>
        <v>48.599999999999987</v>
      </c>
      <c r="L351" s="13">
        <f t="shared" si="1445"/>
        <v>43.400000000000006</v>
      </c>
      <c r="M351" s="13">
        <f t="shared" si="1445"/>
        <v>31.600000000000009</v>
      </c>
      <c r="N351" s="13">
        <f t="shared" si="1445"/>
        <v>45.800000000000011</v>
      </c>
      <c r="O351" s="13">
        <f t="shared" si="1445"/>
        <v>47.199999999999982</v>
      </c>
      <c r="P351" s="13">
        <f t="shared" si="1445"/>
        <v>47.3</v>
      </c>
      <c r="Q351" s="13">
        <f t="shared" si="1445"/>
        <v>73.000000000000014</v>
      </c>
      <c r="R351" s="13">
        <f t="shared" si="1445"/>
        <v>58.600000000000009</v>
      </c>
      <c r="S351" s="13">
        <f t="shared" si="1445"/>
        <v>77.699999999999989</v>
      </c>
      <c r="T351" s="13">
        <f t="shared" si="1445"/>
        <v>77.59999999999998</v>
      </c>
      <c r="U351" s="13">
        <f t="shared" si="1445"/>
        <v>98.399999999999963</v>
      </c>
      <c r="V351" s="13">
        <f t="shared" si="1445"/>
        <v>127.49999999999993</v>
      </c>
      <c r="W351" s="13">
        <f t="shared" si="1445"/>
        <v>138.30000000000001</v>
      </c>
      <c r="X351" s="13">
        <f t="shared" si="1445"/>
        <v>138.20000000000002</v>
      </c>
      <c r="Y351" s="13">
        <f t="shared" si="1445"/>
        <v>158.70000000000005</v>
      </c>
      <c r="Z351" s="13">
        <f t="shared" si="1445"/>
        <v>171</v>
      </c>
      <c r="AA351" s="13">
        <f t="shared" si="1445"/>
        <v>184.59999999999997</v>
      </c>
      <c r="AB351" s="13">
        <f t="shared" si="1445"/>
        <v>175.89999999999998</v>
      </c>
      <c r="AC351" s="13">
        <f t="shared" si="1445"/>
        <v>218.8</v>
      </c>
      <c r="AD351" s="13">
        <f t="shared" si="1445"/>
        <v>253.20000000000002</v>
      </c>
      <c r="AK351" s="17">
        <f>+SUM(D351:G351)</f>
        <v>150.4</v>
      </c>
      <c r="AL351" s="13">
        <f>+AL348</f>
        <v>140.70000000000005</v>
      </c>
      <c r="AM351" s="17">
        <f t="shared" ref="AM351" si="1446">+SUM(H351:K351)</f>
        <v>173.4</v>
      </c>
      <c r="AN351" s="17">
        <f>+SUM(L351:O351)</f>
        <v>168</v>
      </c>
      <c r="AO351" s="17">
        <f>+SUM(P351:S351)</f>
        <v>256.60000000000002</v>
      </c>
      <c r="AP351" s="17">
        <f t="shared" ref="AP351:AP355" si="1447">+SUM(T351:W351)</f>
        <v>441.7999999999999</v>
      </c>
      <c r="AQ351" s="17">
        <f>+SUM(X351:AA351)</f>
        <v>652.5</v>
      </c>
    </row>
    <row r="352" spans="2:43" x14ac:dyDescent="0.2">
      <c r="B352" t="s">
        <v>49</v>
      </c>
      <c r="D352" s="13">
        <f t="shared" ref="D352:AD352" si="1448">+D266</f>
        <v>23.1</v>
      </c>
      <c r="E352" s="13">
        <f t="shared" si="1448"/>
        <v>25.3</v>
      </c>
      <c r="F352" s="13">
        <f t="shared" si="1448"/>
        <v>26.6</v>
      </c>
      <c r="G352" s="13">
        <f t="shared" si="1448"/>
        <v>27.3</v>
      </c>
      <c r="H352" s="13">
        <f t="shared" si="1448"/>
        <v>29</v>
      </c>
      <c r="I352" s="13">
        <f t="shared" si="1448"/>
        <v>33.1</v>
      </c>
      <c r="J352" s="13">
        <f t="shared" si="1448"/>
        <v>34.4</v>
      </c>
      <c r="K352" s="13">
        <f t="shared" si="1448"/>
        <v>35.6</v>
      </c>
      <c r="L352" s="13">
        <f t="shared" si="1448"/>
        <v>35.700000000000003</v>
      </c>
      <c r="M352" s="13">
        <f t="shared" si="1448"/>
        <v>35.799999999999997</v>
      </c>
      <c r="N352" s="13">
        <f t="shared" si="1448"/>
        <v>36.200000000000003</v>
      </c>
      <c r="O352" s="13">
        <f t="shared" si="1448"/>
        <v>37.5</v>
      </c>
      <c r="P352" s="13">
        <f t="shared" si="1448"/>
        <v>45.7</v>
      </c>
      <c r="Q352" s="13">
        <f t="shared" si="1448"/>
        <v>58.2</v>
      </c>
      <c r="R352" s="13">
        <f t="shared" si="1448"/>
        <v>61.5</v>
      </c>
      <c r="S352" s="13">
        <f t="shared" si="1448"/>
        <v>61.900000000000006</v>
      </c>
      <c r="T352" s="13">
        <f t="shared" si="1448"/>
        <v>64.2</v>
      </c>
      <c r="U352" s="13">
        <f t="shared" si="1448"/>
        <v>76.8</v>
      </c>
      <c r="V352" s="13">
        <f t="shared" si="1448"/>
        <v>61</v>
      </c>
      <c r="W352" s="13">
        <f t="shared" si="1448"/>
        <v>55.3</v>
      </c>
      <c r="X352" s="13">
        <f t="shared" si="1448"/>
        <v>54.6</v>
      </c>
      <c r="Y352" s="13">
        <f t="shared" si="1448"/>
        <v>61.2</v>
      </c>
      <c r="Z352" s="13">
        <f t="shared" si="1448"/>
        <v>62.7</v>
      </c>
      <c r="AA352" s="13">
        <f t="shared" si="1448"/>
        <v>74.099999999999994</v>
      </c>
      <c r="AB352" s="13">
        <f t="shared" si="1448"/>
        <v>75.900000000000006</v>
      </c>
      <c r="AC352" s="13">
        <f t="shared" si="1448"/>
        <v>88.8</v>
      </c>
      <c r="AD352" s="13">
        <f t="shared" si="1448"/>
        <v>97.8</v>
      </c>
      <c r="AK352" s="17">
        <f t="shared" ref="AK352:AK355" si="1449">+SUM(D352:G352)</f>
        <v>102.3</v>
      </c>
      <c r="AL352" s="13">
        <f>+AL266</f>
        <v>112</v>
      </c>
      <c r="AM352" s="17">
        <f t="shared" ref="AM352:AM355" si="1450">+SUM(H352:K352)</f>
        <v>132.1</v>
      </c>
      <c r="AN352" s="17">
        <f t="shared" ref="AN352:AN355" si="1451">+SUM(L352:O352)</f>
        <v>145.19999999999999</v>
      </c>
      <c r="AO352" s="17">
        <f t="shared" ref="AO352:AO355" si="1452">+SUM(P352:S352)</f>
        <v>227.3</v>
      </c>
      <c r="AP352" s="17">
        <f t="shared" si="1447"/>
        <v>257.3</v>
      </c>
      <c r="AQ352" s="17">
        <f>+SUM(X352:AA352)</f>
        <v>252.6</v>
      </c>
    </row>
    <row r="353" spans="2:43" x14ac:dyDescent="0.2">
      <c r="B353" t="s">
        <v>230</v>
      </c>
      <c r="D353" s="13">
        <f t="shared" ref="D353:AD353" si="1453">-D347</f>
        <v>0</v>
      </c>
      <c r="E353" s="13">
        <f t="shared" si="1453"/>
        <v>0</v>
      </c>
      <c r="F353" s="13">
        <f t="shared" si="1453"/>
        <v>0</v>
      </c>
      <c r="G353" s="13">
        <f t="shared" si="1453"/>
        <v>0</v>
      </c>
      <c r="H353" s="13">
        <f t="shared" si="1453"/>
        <v>0</v>
      </c>
      <c r="I353" s="13">
        <f t="shared" si="1453"/>
        <v>0</v>
      </c>
      <c r="J353" s="13">
        <f t="shared" si="1453"/>
        <v>0</v>
      </c>
      <c r="K353" s="13">
        <f t="shared" si="1453"/>
        <v>0</v>
      </c>
      <c r="L353" s="13">
        <f t="shared" si="1453"/>
        <v>0</v>
      </c>
      <c r="M353" s="13">
        <f t="shared" si="1453"/>
        <v>0</v>
      </c>
      <c r="N353" s="13">
        <f t="shared" si="1453"/>
        <v>5.7</v>
      </c>
      <c r="O353" s="13">
        <f t="shared" si="1453"/>
        <v>4.0999999999999996</v>
      </c>
      <c r="P353" s="13">
        <f t="shared" si="1453"/>
        <v>4.5</v>
      </c>
      <c r="Q353" s="13">
        <f t="shared" si="1453"/>
        <v>5.0999999999999996</v>
      </c>
      <c r="R353" s="13">
        <f t="shared" si="1453"/>
        <v>5.8</v>
      </c>
      <c r="S353" s="13">
        <f t="shared" si="1453"/>
        <v>6.4</v>
      </c>
      <c r="T353" s="13">
        <f t="shared" si="1453"/>
        <v>7</v>
      </c>
      <c r="U353" s="13">
        <f t="shared" si="1453"/>
        <v>7.4</v>
      </c>
      <c r="V353" s="13">
        <f t="shared" si="1453"/>
        <v>8.1999999999999993</v>
      </c>
      <c r="W353" s="13">
        <f t="shared" si="1453"/>
        <v>5.8</v>
      </c>
      <c r="X353" s="13">
        <f t="shared" si="1453"/>
        <v>7.2</v>
      </c>
      <c r="Y353" s="13">
        <f t="shared" si="1453"/>
        <v>8.1999999999999993</v>
      </c>
      <c r="Z353" s="13">
        <f t="shared" si="1453"/>
        <v>9.3000000000000007</v>
      </c>
      <c r="AA353" s="13">
        <f t="shared" si="1453"/>
        <v>10.6</v>
      </c>
      <c r="AB353" s="13">
        <f t="shared" si="1453"/>
        <v>11.9</v>
      </c>
      <c r="AC353" s="13">
        <f t="shared" si="1453"/>
        <v>13</v>
      </c>
      <c r="AD353" s="13">
        <f t="shared" si="1453"/>
        <v>14.1</v>
      </c>
      <c r="AK353" s="17"/>
      <c r="AL353" s="13">
        <f>-AL347</f>
        <v>0</v>
      </c>
      <c r="AM353" s="17">
        <f t="shared" ref="AM353" si="1454">+SUM(H353:K353)</f>
        <v>0</v>
      </c>
      <c r="AN353" s="17">
        <f t="shared" ref="AN353" si="1455">+SUM(L353:O353)</f>
        <v>9.8000000000000007</v>
      </c>
      <c r="AO353" s="17">
        <f t="shared" ref="AO353" si="1456">+SUM(P353:S353)</f>
        <v>21.799999999999997</v>
      </c>
      <c r="AP353" s="17">
        <f t="shared" si="1447"/>
        <v>28.400000000000002</v>
      </c>
      <c r="AQ353" s="17">
        <f>+SUM(X353:AA353)</f>
        <v>35.299999999999997</v>
      </c>
    </row>
    <row r="354" spans="2:43" ht="13.5" x14ac:dyDescent="0.35">
      <c r="B354" t="s">
        <v>77</v>
      </c>
      <c r="D354" s="15">
        <v>0</v>
      </c>
      <c r="E354" s="15">
        <v>0</v>
      </c>
      <c r="F354" s="15">
        <v>0</v>
      </c>
      <c r="G354" s="15">
        <v>0</v>
      </c>
      <c r="H354" s="15">
        <v>0</v>
      </c>
      <c r="I354" s="15">
        <v>0</v>
      </c>
      <c r="J354" s="15">
        <v>0</v>
      </c>
      <c r="K354" s="15">
        <v>0</v>
      </c>
      <c r="L354" s="15">
        <v>0</v>
      </c>
      <c r="M354" s="15">
        <v>0</v>
      </c>
      <c r="N354" s="15">
        <v>0</v>
      </c>
      <c r="O354" s="15">
        <v>0</v>
      </c>
      <c r="P354" s="15">
        <v>0</v>
      </c>
      <c r="Q354" s="15">
        <v>0</v>
      </c>
      <c r="R354" s="15">
        <v>22.4</v>
      </c>
      <c r="S354" s="15">
        <v>0.9</v>
      </c>
      <c r="T354" s="15">
        <v>0</v>
      </c>
      <c r="U354" s="15">
        <v>0</v>
      </c>
      <c r="V354" s="15">
        <v>0</v>
      </c>
      <c r="W354" s="15">
        <v>0</v>
      </c>
      <c r="X354" s="15">
        <v>0</v>
      </c>
      <c r="Y354" s="15">
        <v>0</v>
      </c>
      <c r="Z354" s="15">
        <v>0</v>
      </c>
      <c r="AA354" s="15">
        <v>0</v>
      </c>
      <c r="AB354" s="15">
        <v>0</v>
      </c>
      <c r="AC354" s="15">
        <v>0</v>
      </c>
      <c r="AD354" s="15">
        <v>0</v>
      </c>
      <c r="AK354" s="18">
        <f t="shared" si="1449"/>
        <v>0</v>
      </c>
      <c r="AL354" s="15">
        <v>0</v>
      </c>
      <c r="AM354" s="18">
        <f t="shared" si="1450"/>
        <v>0</v>
      </c>
      <c r="AN354" s="18">
        <f t="shared" si="1451"/>
        <v>0</v>
      </c>
      <c r="AO354" s="18">
        <f t="shared" si="1452"/>
        <v>23.299999999999997</v>
      </c>
      <c r="AP354" s="18">
        <f t="shared" si="1447"/>
        <v>0</v>
      </c>
      <c r="AQ354" s="18">
        <f>+SUM(X354:AA354)</f>
        <v>0</v>
      </c>
    </row>
    <row r="355" spans="2:43" s="1" customFormat="1" x14ac:dyDescent="0.2">
      <c r="B355" s="31" t="s">
        <v>76</v>
      </c>
      <c r="D355" s="56">
        <f>SUM(D351:D354)</f>
        <v>57.199999999999996</v>
      </c>
      <c r="E355" s="56">
        <f t="shared" ref="E355:U355" si="1457">SUM(E351:E354)</f>
        <v>63.5</v>
      </c>
      <c r="F355" s="56">
        <f t="shared" si="1457"/>
        <v>65.5</v>
      </c>
      <c r="G355" s="56">
        <f t="shared" si="1457"/>
        <v>66.500000000000014</v>
      </c>
      <c r="H355" s="56">
        <f t="shared" si="1457"/>
        <v>66.3</v>
      </c>
      <c r="I355" s="56">
        <f t="shared" si="1457"/>
        <v>75.3</v>
      </c>
      <c r="J355" s="56">
        <f t="shared" si="1457"/>
        <v>79.700000000000017</v>
      </c>
      <c r="K355" s="56">
        <f t="shared" si="1457"/>
        <v>84.199999999999989</v>
      </c>
      <c r="L355" s="56">
        <f t="shared" si="1457"/>
        <v>79.100000000000009</v>
      </c>
      <c r="M355" s="56">
        <f t="shared" si="1457"/>
        <v>67.400000000000006</v>
      </c>
      <c r="N355" s="56">
        <f t="shared" si="1457"/>
        <v>87.700000000000017</v>
      </c>
      <c r="O355" s="56">
        <f t="shared" si="1457"/>
        <v>88.799999999999983</v>
      </c>
      <c r="P355" s="56">
        <f t="shared" si="1457"/>
        <v>97.5</v>
      </c>
      <c r="Q355" s="56">
        <f t="shared" si="1457"/>
        <v>136.30000000000001</v>
      </c>
      <c r="R355" s="56">
        <f t="shared" si="1457"/>
        <v>148.30000000000001</v>
      </c>
      <c r="S355" s="56">
        <f t="shared" si="1457"/>
        <v>146.9</v>
      </c>
      <c r="T355" s="56">
        <f t="shared" si="1457"/>
        <v>148.79999999999998</v>
      </c>
      <c r="U355" s="56">
        <f t="shared" si="1457"/>
        <v>182.59999999999997</v>
      </c>
      <c r="V355" s="56">
        <f t="shared" ref="V355:W355" si="1458">SUM(V351:V354)</f>
        <v>196.69999999999993</v>
      </c>
      <c r="W355" s="56">
        <f t="shared" si="1458"/>
        <v>199.40000000000003</v>
      </c>
      <c r="X355" s="56">
        <f t="shared" ref="X355:Y355" si="1459">SUM(X351:X354)</f>
        <v>200</v>
      </c>
      <c r="Y355" s="56">
        <f t="shared" si="1459"/>
        <v>228.10000000000002</v>
      </c>
      <c r="Z355" s="56">
        <f t="shared" ref="Z355:AB355" si="1460">SUM(Z351:Z354)</f>
        <v>243</v>
      </c>
      <c r="AA355" s="56">
        <f t="shared" si="1460"/>
        <v>269.29999999999995</v>
      </c>
      <c r="AB355" s="56">
        <f t="shared" si="1460"/>
        <v>263.7</v>
      </c>
      <c r="AC355" s="56">
        <f t="shared" ref="AC355:AD355" si="1461">SUM(AC351:AC354)</f>
        <v>320.60000000000002</v>
      </c>
      <c r="AD355" s="56">
        <f t="shared" si="1461"/>
        <v>365.1</v>
      </c>
      <c r="AK355" s="34">
        <f t="shared" si="1449"/>
        <v>252.7</v>
      </c>
      <c r="AL355" s="56">
        <f t="shared" ref="AL355" si="1462">SUM(AL351:AL354)</f>
        <v>252.70000000000005</v>
      </c>
      <c r="AM355" s="34">
        <f t="shared" si="1450"/>
        <v>305.5</v>
      </c>
      <c r="AN355" s="34">
        <f t="shared" si="1451"/>
        <v>323</v>
      </c>
      <c r="AO355" s="34">
        <f t="shared" si="1452"/>
        <v>529</v>
      </c>
      <c r="AP355" s="34">
        <f t="shared" si="1447"/>
        <v>727.5</v>
      </c>
      <c r="AQ355" s="34">
        <f>+SUM(X355:AA355)</f>
        <v>940.4</v>
      </c>
    </row>
    <row r="357" spans="2:43" x14ac:dyDescent="0.2">
      <c r="B357" s="23" t="s">
        <v>78</v>
      </c>
    </row>
    <row r="358" spans="2:43" x14ac:dyDescent="0.2">
      <c r="B358" t="s">
        <v>28</v>
      </c>
      <c r="D358" s="13">
        <f t="shared" ref="D358:AD358" si="1463">+D286</f>
        <v>-13.900000000000002</v>
      </c>
      <c r="E358" s="13">
        <f t="shared" si="1463"/>
        <v>-18.39999999999997</v>
      </c>
      <c r="F358" s="13">
        <f t="shared" si="1463"/>
        <v>-10.800000000000004</v>
      </c>
      <c r="G358" s="13">
        <f t="shared" si="1463"/>
        <v>-6.800000000000006</v>
      </c>
      <c r="H358" s="13">
        <f t="shared" si="1463"/>
        <v>-12.700000000000024</v>
      </c>
      <c r="I358" s="13">
        <f t="shared" si="1463"/>
        <v>-8.0000000000000213</v>
      </c>
      <c r="J358" s="13">
        <f t="shared" si="1463"/>
        <v>-22.499999999999989</v>
      </c>
      <c r="K358" s="13">
        <f t="shared" si="1463"/>
        <v>-13.400000000000029</v>
      </c>
      <c r="L358" s="13">
        <f t="shared" si="1463"/>
        <v>-5.0999999999999774</v>
      </c>
      <c r="M358" s="13">
        <f t="shared" si="1463"/>
        <v>-74.799999999999983</v>
      </c>
      <c r="N358" s="13">
        <f t="shared" si="1463"/>
        <v>-9.800000000000006</v>
      </c>
      <c r="O358" s="13">
        <f t="shared" si="1463"/>
        <v>-21.700000000000031</v>
      </c>
      <c r="P358" s="13">
        <f t="shared" si="1463"/>
        <v>-51</v>
      </c>
      <c r="Q358" s="13">
        <f t="shared" si="1463"/>
        <v>4.5000000000000346</v>
      </c>
      <c r="R358" s="13">
        <f t="shared" si="1463"/>
        <v>-13.800000000000022</v>
      </c>
      <c r="S358" s="13">
        <f t="shared" si="1463"/>
        <v>-13.7</v>
      </c>
      <c r="T358" s="13">
        <f t="shared" si="1463"/>
        <v>-13.199999999999992</v>
      </c>
      <c r="U358" s="13">
        <f t="shared" si="1463"/>
        <v>14.999999999999977</v>
      </c>
      <c r="V358" s="13">
        <f t="shared" si="1463"/>
        <v>46.399999999999878</v>
      </c>
      <c r="W358" s="152">
        <f t="shared" si="1463"/>
        <v>38.499999999999943</v>
      </c>
      <c r="X358" s="13">
        <f t="shared" si="1463"/>
        <v>20.399999999999956</v>
      </c>
      <c r="Y358" s="13">
        <f t="shared" si="1463"/>
        <v>36.80000000000009</v>
      </c>
      <c r="Z358" s="13">
        <f t="shared" si="1463"/>
        <v>46.499999999999936</v>
      </c>
      <c r="AA358" s="13">
        <f t="shared" si="1463"/>
        <v>19.199999999999971</v>
      </c>
      <c r="AB358" s="13">
        <f t="shared" si="1463"/>
        <v>28.499999999999972</v>
      </c>
      <c r="AC358" s="13">
        <f t="shared" si="1463"/>
        <v>54.500000000000043</v>
      </c>
      <c r="AD358" s="13">
        <f t="shared" si="1463"/>
        <v>72.199999999999989</v>
      </c>
      <c r="AK358" s="17">
        <f t="shared" ref="AK358:AK370" si="1464">+SUM(D358:G358)</f>
        <v>-49.899999999999977</v>
      </c>
      <c r="AL358" s="13">
        <f>+AL286</f>
        <v>-55.40000000000002</v>
      </c>
      <c r="AM358" s="17">
        <f t="shared" ref="AM358" si="1465">+SUM(H358:K358)</f>
        <v>-56.600000000000058</v>
      </c>
      <c r="AN358" s="17">
        <f>+SUM(L358:O358)</f>
        <v>-111.4</v>
      </c>
      <c r="AO358" s="17">
        <f>+SUM(P358:S358)</f>
        <v>-73.999999999999986</v>
      </c>
      <c r="AP358" s="17">
        <f t="shared" ref="AP358:AP370" si="1466">+SUM(T358:W358)</f>
        <v>86.699999999999804</v>
      </c>
      <c r="AQ358" s="17">
        <f t="shared" ref="AQ358:AQ370" si="1467">+SUM(X358:AA358)</f>
        <v>122.89999999999996</v>
      </c>
    </row>
    <row r="359" spans="2:43" x14ac:dyDescent="0.2">
      <c r="B359" t="s">
        <v>72</v>
      </c>
      <c r="D359" s="14">
        <v>0</v>
      </c>
      <c r="E359" s="14">
        <v>0</v>
      </c>
      <c r="F359" s="14">
        <v>0</v>
      </c>
      <c r="G359" s="14">
        <v>0</v>
      </c>
      <c r="H359" s="14">
        <v>0</v>
      </c>
      <c r="I359" s="14">
        <v>0</v>
      </c>
      <c r="J359" s="14">
        <v>0</v>
      </c>
      <c r="K359" s="14">
        <v>0</v>
      </c>
      <c r="L359" s="14">
        <v>0</v>
      </c>
      <c r="M359" s="14">
        <v>0</v>
      </c>
      <c r="N359" s="14">
        <v>0</v>
      </c>
      <c r="O359" s="14">
        <v>0</v>
      </c>
      <c r="P359" s="14">
        <v>0</v>
      </c>
      <c r="Q359" s="14">
        <v>0</v>
      </c>
      <c r="R359" s="14">
        <v>25.1</v>
      </c>
      <c r="S359" s="14">
        <v>1.2</v>
      </c>
      <c r="T359" s="14">
        <v>0</v>
      </c>
      <c r="U359" s="14">
        <v>0</v>
      </c>
      <c r="V359" s="14">
        <v>0</v>
      </c>
      <c r="W359" s="14">
        <v>0</v>
      </c>
      <c r="X359" s="14">
        <v>0</v>
      </c>
      <c r="Y359" s="14">
        <v>0</v>
      </c>
      <c r="Z359" s="14">
        <v>0</v>
      </c>
      <c r="AA359" s="14">
        <v>0</v>
      </c>
      <c r="AB359" s="14">
        <v>0</v>
      </c>
      <c r="AC359" s="14">
        <v>0</v>
      </c>
      <c r="AD359" s="14">
        <v>0</v>
      </c>
      <c r="AK359" s="17">
        <f t="shared" si="1464"/>
        <v>0</v>
      </c>
      <c r="AL359" s="14">
        <v>0</v>
      </c>
      <c r="AM359" s="17">
        <f t="shared" ref="AM359:AM370" si="1468">+SUM(H359:K359)</f>
        <v>0</v>
      </c>
      <c r="AN359" s="17">
        <f t="shared" ref="AN359:AN370" si="1469">+SUM(L359:O359)</f>
        <v>0</v>
      </c>
      <c r="AO359" s="17">
        <f t="shared" ref="AO359:AO370" si="1470">+SUM(P359:S359)</f>
        <v>26.3</v>
      </c>
      <c r="AP359" s="17">
        <f t="shared" si="1466"/>
        <v>0</v>
      </c>
      <c r="AQ359" s="17">
        <f t="shared" si="1467"/>
        <v>0</v>
      </c>
    </row>
    <row r="360" spans="2:43" x14ac:dyDescent="0.2">
      <c r="B360" t="s">
        <v>79</v>
      </c>
      <c r="D360" s="14">
        <v>0</v>
      </c>
      <c r="E360" s="14">
        <v>0</v>
      </c>
      <c r="F360" s="14">
        <v>0</v>
      </c>
      <c r="G360" s="14">
        <v>0</v>
      </c>
      <c r="H360" s="14">
        <v>0</v>
      </c>
      <c r="I360" s="14">
        <v>0</v>
      </c>
      <c r="J360" s="14">
        <v>0</v>
      </c>
      <c r="K360" s="14">
        <v>0</v>
      </c>
      <c r="L360" s="14">
        <v>0</v>
      </c>
      <c r="M360" s="14">
        <v>0</v>
      </c>
      <c r="N360" s="14">
        <v>0</v>
      </c>
      <c r="O360" s="14">
        <v>0</v>
      </c>
      <c r="P360" s="14">
        <v>0</v>
      </c>
      <c r="Q360" s="14">
        <v>0</v>
      </c>
      <c r="R360" s="14">
        <v>0</v>
      </c>
      <c r="S360" s="14">
        <v>0</v>
      </c>
      <c r="T360" s="14">
        <v>0</v>
      </c>
      <c r="U360" s="14">
        <v>0.4</v>
      </c>
      <c r="V360" s="14">
        <v>0</v>
      </c>
      <c r="W360" s="14">
        <v>0</v>
      </c>
      <c r="X360" s="14">
        <v>0</v>
      </c>
      <c r="Y360" s="14">
        <v>0</v>
      </c>
      <c r="Z360" s="14">
        <v>0</v>
      </c>
      <c r="AA360" s="14">
        <v>0</v>
      </c>
      <c r="AB360" s="14">
        <v>0</v>
      </c>
      <c r="AC360" s="14">
        <v>0</v>
      </c>
      <c r="AD360" s="14">
        <v>0</v>
      </c>
      <c r="AK360" s="17">
        <f t="shared" si="1464"/>
        <v>0</v>
      </c>
      <c r="AL360" s="14">
        <v>0</v>
      </c>
      <c r="AM360" s="17">
        <f t="shared" si="1468"/>
        <v>0</v>
      </c>
      <c r="AN360" s="17">
        <f t="shared" si="1469"/>
        <v>0</v>
      </c>
      <c r="AO360" s="17">
        <f t="shared" si="1470"/>
        <v>0</v>
      </c>
      <c r="AP360" s="17">
        <f t="shared" si="1466"/>
        <v>0.4</v>
      </c>
      <c r="AQ360" s="17">
        <f t="shared" si="1467"/>
        <v>0</v>
      </c>
    </row>
    <row r="361" spans="2:43" x14ac:dyDescent="0.2">
      <c r="B361" t="s">
        <v>80</v>
      </c>
      <c r="D361" s="17">
        <f>+D333</f>
        <v>7.2750000000000004</v>
      </c>
      <c r="E361" s="17">
        <f>+E333</f>
        <v>13.775</v>
      </c>
      <c r="F361" s="17">
        <f>+F333</f>
        <v>2.0750000000000006</v>
      </c>
      <c r="G361" s="17">
        <f>+G333</f>
        <v>1.6750000000000007</v>
      </c>
      <c r="H361" s="14">
        <v>5.5999999999999979</v>
      </c>
      <c r="I361" s="14">
        <v>4.2</v>
      </c>
      <c r="J361" s="14">
        <v>16.600000000000001</v>
      </c>
      <c r="K361" s="14">
        <v>0.3</v>
      </c>
      <c r="L361" s="14">
        <v>-9.8000000000000007</v>
      </c>
      <c r="M361" s="14">
        <v>12.9</v>
      </c>
      <c r="N361" s="14">
        <v>1.7</v>
      </c>
      <c r="O361" s="14">
        <v>-2.4</v>
      </c>
      <c r="P361" s="14">
        <v>25.8</v>
      </c>
      <c r="Q361" s="14">
        <v>3.2</v>
      </c>
      <c r="R361" s="14">
        <v>4</v>
      </c>
      <c r="S361" s="14">
        <v>3.8</v>
      </c>
      <c r="T361" s="14">
        <v>7.8</v>
      </c>
      <c r="U361" s="14">
        <v>2.2999999999999998</v>
      </c>
      <c r="V361" s="14">
        <v>13</v>
      </c>
      <c r="W361" s="14">
        <v>4.7</v>
      </c>
      <c r="X361" s="14">
        <v>4.3</v>
      </c>
      <c r="Y361" s="14">
        <v>5.8</v>
      </c>
      <c r="Z361" s="14">
        <v>3.2</v>
      </c>
      <c r="AA361" s="14">
        <v>15</v>
      </c>
      <c r="AB361" s="14">
        <v>4</v>
      </c>
      <c r="AC361" s="14">
        <v>13.7</v>
      </c>
      <c r="AD361" s="14">
        <v>8.8000000000000007</v>
      </c>
      <c r="AK361" s="17">
        <f t="shared" si="1464"/>
        <v>24.8</v>
      </c>
      <c r="AL361" s="17">
        <f>+AL333</f>
        <v>25.8</v>
      </c>
      <c r="AM361" s="17">
        <f t="shared" si="1468"/>
        <v>26.7</v>
      </c>
      <c r="AN361" s="17">
        <f t="shared" si="1469"/>
        <v>2.4</v>
      </c>
      <c r="AO361" s="17">
        <f t="shared" si="1470"/>
        <v>36.799999999999997</v>
      </c>
      <c r="AP361" s="17">
        <f t="shared" si="1466"/>
        <v>27.8</v>
      </c>
      <c r="AQ361" s="17">
        <f t="shared" si="1467"/>
        <v>28.3</v>
      </c>
    </row>
    <row r="362" spans="2:43" x14ac:dyDescent="0.2">
      <c r="B362" t="s">
        <v>81</v>
      </c>
      <c r="D362" s="14">
        <v>0</v>
      </c>
      <c r="E362" s="14">
        <v>0</v>
      </c>
      <c r="F362" s="14">
        <v>0</v>
      </c>
      <c r="G362" s="14">
        <v>0</v>
      </c>
      <c r="H362" s="14">
        <v>0</v>
      </c>
      <c r="I362" s="14">
        <v>0</v>
      </c>
      <c r="J362" s="14">
        <v>0</v>
      </c>
      <c r="K362" s="14">
        <v>0</v>
      </c>
      <c r="L362" s="14">
        <v>0</v>
      </c>
      <c r="M362" s="14">
        <v>50</v>
      </c>
      <c r="N362" s="14">
        <v>6.2</v>
      </c>
      <c r="O362" s="14">
        <v>10.7</v>
      </c>
      <c r="P362" s="14">
        <v>14.1</v>
      </c>
      <c r="Q362" s="14">
        <v>11.1</v>
      </c>
      <c r="R362" s="14">
        <v>6.6</v>
      </c>
      <c r="S362" s="14">
        <v>15.1</v>
      </c>
      <c r="T362" s="14">
        <v>16.899999999999999</v>
      </c>
      <c r="U362" s="14">
        <v>9.6</v>
      </c>
      <c r="V362" s="14">
        <v>12.2</v>
      </c>
      <c r="W362" s="14">
        <v>11.1</v>
      </c>
      <c r="X362" s="14">
        <v>21.2</v>
      </c>
      <c r="Y362" s="14">
        <v>13.7</v>
      </c>
      <c r="Z362" s="14">
        <v>12.6</v>
      </c>
      <c r="AA362" s="14">
        <v>11.6</v>
      </c>
      <c r="AB362" s="14">
        <v>23.2</v>
      </c>
      <c r="AC362" s="14">
        <v>14.5</v>
      </c>
      <c r="AD362" s="14">
        <v>14.4</v>
      </c>
      <c r="AK362" s="17">
        <f t="shared" si="1464"/>
        <v>0</v>
      </c>
      <c r="AL362" s="14">
        <v>0</v>
      </c>
      <c r="AM362" s="17">
        <f t="shared" si="1468"/>
        <v>0</v>
      </c>
      <c r="AN362" s="17">
        <f t="shared" si="1469"/>
        <v>66.900000000000006</v>
      </c>
      <c r="AO362" s="17">
        <f t="shared" si="1470"/>
        <v>46.9</v>
      </c>
      <c r="AP362" s="17">
        <f t="shared" si="1466"/>
        <v>49.800000000000004</v>
      </c>
      <c r="AQ362" s="17">
        <f t="shared" si="1467"/>
        <v>59.1</v>
      </c>
    </row>
    <row r="363" spans="2:43" x14ac:dyDescent="0.2">
      <c r="B363" t="s">
        <v>82</v>
      </c>
      <c r="D363" s="14">
        <v>0</v>
      </c>
      <c r="E363" s="14">
        <v>0</v>
      </c>
      <c r="F363" s="14">
        <v>0</v>
      </c>
      <c r="G363" s="14">
        <v>0</v>
      </c>
      <c r="H363" s="14">
        <v>0</v>
      </c>
      <c r="I363" s="14">
        <v>0</v>
      </c>
      <c r="J363" s="14">
        <v>0</v>
      </c>
      <c r="K363" s="14">
        <v>0</v>
      </c>
      <c r="L363" s="14">
        <v>0</v>
      </c>
      <c r="M363" s="14">
        <v>-12.4</v>
      </c>
      <c r="N363" s="14">
        <v>0</v>
      </c>
      <c r="O363" s="14">
        <v>0</v>
      </c>
      <c r="P363" s="14">
        <v>0</v>
      </c>
      <c r="Q363" s="14">
        <v>0</v>
      </c>
      <c r="R363" s="14">
        <v>0</v>
      </c>
      <c r="S363" s="14">
        <v>0</v>
      </c>
      <c r="T363" s="14">
        <v>0</v>
      </c>
      <c r="U363" s="14">
        <v>0</v>
      </c>
      <c r="V363" s="14">
        <v>0</v>
      </c>
      <c r="W363" s="14">
        <v>0</v>
      </c>
      <c r="X363" s="14">
        <v>0</v>
      </c>
      <c r="Y363" s="14">
        <v>0</v>
      </c>
      <c r="Z363" s="14">
        <v>0</v>
      </c>
      <c r="AA363" s="14">
        <v>0</v>
      </c>
      <c r="AB363" s="14">
        <v>0</v>
      </c>
      <c r="AC363" s="14">
        <v>0</v>
      </c>
      <c r="AD363" s="14">
        <v>0</v>
      </c>
      <c r="AK363" s="17">
        <f t="shared" si="1464"/>
        <v>0</v>
      </c>
      <c r="AL363" s="14">
        <v>0</v>
      </c>
      <c r="AM363" s="17">
        <f t="shared" si="1468"/>
        <v>0</v>
      </c>
      <c r="AN363" s="17">
        <f t="shared" si="1469"/>
        <v>-12.4</v>
      </c>
      <c r="AO363" s="17">
        <f t="shared" si="1470"/>
        <v>0</v>
      </c>
      <c r="AP363" s="17">
        <f t="shared" si="1466"/>
        <v>0</v>
      </c>
      <c r="AQ363" s="17">
        <f t="shared" si="1467"/>
        <v>0</v>
      </c>
    </row>
    <row r="364" spans="2:43" x14ac:dyDescent="0.2">
      <c r="B364" t="s">
        <v>91</v>
      </c>
      <c r="D364" s="14">
        <v>0</v>
      </c>
      <c r="E364" s="14">
        <v>0</v>
      </c>
      <c r="F364" s="14">
        <v>0</v>
      </c>
      <c r="G364" s="14">
        <v>0</v>
      </c>
      <c r="H364" s="14">
        <v>0</v>
      </c>
      <c r="I364" s="14">
        <v>0</v>
      </c>
      <c r="J364" s="14">
        <v>0</v>
      </c>
      <c r="K364" s="14">
        <v>0</v>
      </c>
      <c r="L364" s="14">
        <v>0</v>
      </c>
      <c r="M364" s="14">
        <v>0</v>
      </c>
      <c r="N364" s="14">
        <v>0</v>
      </c>
      <c r="O364" s="14">
        <v>0</v>
      </c>
      <c r="P364" s="14">
        <v>0</v>
      </c>
      <c r="Q364" s="14">
        <v>0</v>
      </c>
      <c r="R364" s="14">
        <v>0</v>
      </c>
      <c r="S364" s="14">
        <v>0</v>
      </c>
      <c r="T364" s="14">
        <v>-0.3</v>
      </c>
      <c r="U364" s="14">
        <v>0</v>
      </c>
      <c r="V364" s="14">
        <v>-36.9</v>
      </c>
      <c r="W364" s="14">
        <v>0.6</v>
      </c>
      <c r="X364" s="14">
        <v>7</v>
      </c>
      <c r="Y364" s="14">
        <v>5.6</v>
      </c>
      <c r="Z364" s="14">
        <v>8.9</v>
      </c>
      <c r="AA364" s="14">
        <v>1.6</v>
      </c>
      <c r="AB364" s="14">
        <v>2.1</v>
      </c>
      <c r="AC364" s="14">
        <v>0.3</v>
      </c>
      <c r="AD364" s="14">
        <v>1.5</v>
      </c>
      <c r="AK364" s="17">
        <f t="shared" ref="AK364:AK366" si="1471">+SUM(D364:G364)</f>
        <v>0</v>
      </c>
      <c r="AL364" s="14">
        <v>0</v>
      </c>
      <c r="AM364" s="17">
        <f t="shared" si="1468"/>
        <v>0</v>
      </c>
      <c r="AN364" s="17">
        <f t="shared" si="1469"/>
        <v>0</v>
      </c>
      <c r="AO364" s="17">
        <f t="shared" si="1470"/>
        <v>0</v>
      </c>
      <c r="AP364" s="17">
        <f t="shared" si="1466"/>
        <v>-36.599999999999994</v>
      </c>
      <c r="AQ364" s="17">
        <f t="shared" si="1467"/>
        <v>23.1</v>
      </c>
    </row>
    <row r="365" spans="2:43" x14ac:dyDescent="0.2">
      <c r="B365" t="s">
        <v>235</v>
      </c>
      <c r="D365" s="14"/>
      <c r="E365" s="14"/>
      <c r="F365" s="14"/>
      <c r="G365" s="14"/>
      <c r="H365" s="14">
        <v>0</v>
      </c>
      <c r="I365" s="14">
        <v>0</v>
      </c>
      <c r="J365" s="14">
        <v>0</v>
      </c>
      <c r="K365" s="14">
        <v>0</v>
      </c>
      <c r="L365" s="14">
        <v>0</v>
      </c>
      <c r="M365" s="14">
        <v>0</v>
      </c>
      <c r="N365" s="14">
        <v>0</v>
      </c>
      <c r="O365" s="14">
        <v>0</v>
      </c>
      <c r="P365" s="14">
        <v>0</v>
      </c>
      <c r="Q365" s="14">
        <v>0</v>
      </c>
      <c r="R365" s="14">
        <v>0</v>
      </c>
      <c r="S365" s="14">
        <v>0</v>
      </c>
      <c r="T365" s="14">
        <v>0</v>
      </c>
      <c r="U365" s="14">
        <v>0</v>
      </c>
      <c r="V365" s="14">
        <v>0</v>
      </c>
      <c r="W365" s="14">
        <v>-15.1</v>
      </c>
      <c r="X365" s="14">
        <v>-8.9</v>
      </c>
      <c r="Y365" s="14">
        <v>0</v>
      </c>
      <c r="Z365" s="14">
        <v>-2.6</v>
      </c>
      <c r="AA365" s="14">
        <v>-0.7</v>
      </c>
      <c r="AB365" s="14">
        <v>-11</v>
      </c>
      <c r="AC365" s="14">
        <v>0.2</v>
      </c>
      <c r="AD365" s="14">
        <v>-10.8</v>
      </c>
      <c r="AK365" s="17">
        <f t="shared" ref="AK365" si="1472">+SUM(D365:G365)</f>
        <v>0</v>
      </c>
      <c r="AL365" s="14">
        <v>0</v>
      </c>
      <c r="AM365" s="17">
        <f t="shared" ref="AM365" si="1473">+SUM(H365:K365)</f>
        <v>0</v>
      </c>
      <c r="AN365" s="17">
        <f t="shared" ref="AN365" si="1474">+SUM(L365:O365)</f>
        <v>0</v>
      </c>
      <c r="AO365" s="17">
        <f t="shared" ref="AO365" si="1475">+SUM(P365:S365)</f>
        <v>0</v>
      </c>
      <c r="AP365" s="17">
        <f t="shared" si="1466"/>
        <v>-15.1</v>
      </c>
      <c r="AQ365" s="17">
        <f t="shared" si="1467"/>
        <v>-12.2</v>
      </c>
    </row>
    <row r="366" spans="2:43" x14ac:dyDescent="0.2">
      <c r="B366" t="s">
        <v>228</v>
      </c>
      <c r="D366" s="14">
        <v>0</v>
      </c>
      <c r="E366" s="14">
        <v>0</v>
      </c>
      <c r="F366" s="14">
        <v>0</v>
      </c>
      <c r="G366" s="14">
        <v>0</v>
      </c>
      <c r="H366" s="14">
        <v>0</v>
      </c>
      <c r="I366" s="14">
        <v>0</v>
      </c>
      <c r="J366" s="14">
        <v>0</v>
      </c>
      <c r="K366" s="14">
        <v>0</v>
      </c>
      <c r="L366" s="14">
        <v>0</v>
      </c>
      <c r="M366" s="14">
        <v>0</v>
      </c>
      <c r="N366" s="14">
        <v>0</v>
      </c>
      <c r="O366" s="14">
        <v>0</v>
      </c>
      <c r="P366" s="14">
        <v>0</v>
      </c>
      <c r="Q366" s="14">
        <v>0</v>
      </c>
      <c r="R366" s="14">
        <v>0</v>
      </c>
      <c r="S366" s="14">
        <v>0</v>
      </c>
      <c r="T366" s="14">
        <v>0</v>
      </c>
      <c r="U366" s="14">
        <v>0</v>
      </c>
      <c r="V366" s="14">
        <v>1.1000000000000001</v>
      </c>
      <c r="W366" s="14">
        <v>0.6</v>
      </c>
      <c r="X366" s="14">
        <v>0.5</v>
      </c>
      <c r="Y366" s="14">
        <v>0.8</v>
      </c>
      <c r="Z366" s="14">
        <v>1.5</v>
      </c>
      <c r="AA366" s="14">
        <v>0.6</v>
      </c>
      <c r="AB366" s="14">
        <v>1.2</v>
      </c>
      <c r="AC366" s="14">
        <v>3.6</v>
      </c>
      <c r="AD366" s="14">
        <v>289.39999999999998</v>
      </c>
      <c r="AK366" s="17">
        <f t="shared" si="1471"/>
        <v>0</v>
      </c>
      <c r="AL366" s="14">
        <v>0</v>
      </c>
      <c r="AM366" s="17">
        <f t="shared" si="1468"/>
        <v>0</v>
      </c>
      <c r="AN366" s="17">
        <f t="shared" si="1469"/>
        <v>0</v>
      </c>
      <c r="AO366" s="17">
        <f t="shared" si="1470"/>
        <v>0</v>
      </c>
      <c r="AP366" s="17">
        <f t="shared" si="1466"/>
        <v>1.7000000000000002</v>
      </c>
      <c r="AQ366" s="17">
        <f t="shared" si="1467"/>
        <v>3.4</v>
      </c>
    </row>
    <row r="367" spans="2:43" x14ac:dyDescent="0.2">
      <c r="B367" t="s">
        <v>263</v>
      </c>
      <c r="D367" s="14"/>
      <c r="E367" s="14"/>
      <c r="F367" s="14"/>
      <c r="G367" s="14"/>
      <c r="H367" s="14">
        <v>0</v>
      </c>
      <c r="I367" s="14">
        <v>0</v>
      </c>
      <c r="J367" s="14">
        <v>0</v>
      </c>
      <c r="K367" s="14">
        <v>0</v>
      </c>
      <c r="L367" s="14">
        <v>0</v>
      </c>
      <c r="M367" s="14">
        <v>0</v>
      </c>
      <c r="N367" s="14">
        <v>0</v>
      </c>
      <c r="O367" s="14">
        <v>0</v>
      </c>
      <c r="P367" s="14">
        <v>0</v>
      </c>
      <c r="Q367" s="14">
        <v>0</v>
      </c>
      <c r="R367" s="14">
        <v>0</v>
      </c>
      <c r="S367" s="14">
        <v>0</v>
      </c>
      <c r="T367" s="14">
        <v>0</v>
      </c>
      <c r="U367" s="14">
        <v>0</v>
      </c>
      <c r="V367" s="14">
        <v>0</v>
      </c>
      <c r="W367" s="14">
        <v>0</v>
      </c>
      <c r="X367" s="14">
        <v>0</v>
      </c>
      <c r="Y367" s="14">
        <v>0</v>
      </c>
      <c r="Z367" s="14">
        <v>0</v>
      </c>
      <c r="AA367" s="14">
        <v>18.600000000000001</v>
      </c>
      <c r="AB367" s="14">
        <v>0</v>
      </c>
      <c r="AC367" s="14">
        <v>0</v>
      </c>
      <c r="AD367" s="14">
        <v>0</v>
      </c>
      <c r="AK367" s="17"/>
      <c r="AL367" s="14">
        <v>0</v>
      </c>
      <c r="AM367" s="17">
        <f t="shared" si="1468"/>
        <v>0</v>
      </c>
      <c r="AN367" s="17">
        <f t="shared" si="1469"/>
        <v>0</v>
      </c>
      <c r="AO367" s="17">
        <f t="shared" si="1470"/>
        <v>0</v>
      </c>
      <c r="AP367" s="17">
        <f t="shared" si="1466"/>
        <v>0</v>
      </c>
      <c r="AQ367" s="17">
        <f t="shared" si="1467"/>
        <v>18.600000000000001</v>
      </c>
    </row>
    <row r="368" spans="2:43" x14ac:dyDescent="0.2">
      <c r="B368" t="s">
        <v>264</v>
      </c>
      <c r="D368" s="17">
        <f>+D340</f>
        <v>1.4</v>
      </c>
      <c r="E368" s="17">
        <f>+E340</f>
        <v>1.4</v>
      </c>
      <c r="F368" s="17">
        <f>+F340</f>
        <v>1.4</v>
      </c>
      <c r="G368" s="17">
        <f>+G340</f>
        <v>1.4</v>
      </c>
      <c r="H368" s="14">
        <v>-0.1</v>
      </c>
      <c r="I368" s="14">
        <v>-0.4</v>
      </c>
      <c r="J368" s="14">
        <v>1</v>
      </c>
      <c r="K368" s="14">
        <v>2.9</v>
      </c>
      <c r="L368" s="14">
        <v>1.2</v>
      </c>
      <c r="M368" s="14">
        <v>10.1</v>
      </c>
      <c r="N368" s="14">
        <v>0</v>
      </c>
      <c r="O368" s="14">
        <v>9.1</v>
      </c>
      <c r="P368" s="14">
        <v>0.7</v>
      </c>
      <c r="Q368" s="14">
        <v>0.1</v>
      </c>
      <c r="R368" s="14">
        <v>-0.3</v>
      </c>
      <c r="S368" s="14">
        <v>0.8</v>
      </c>
      <c r="T368" s="14">
        <v>1.6</v>
      </c>
      <c r="U368" s="14">
        <v>0.6</v>
      </c>
      <c r="V368" s="14">
        <v>0.9</v>
      </c>
      <c r="W368" s="14">
        <v>0.1</v>
      </c>
      <c r="X368" s="14">
        <v>0</v>
      </c>
      <c r="Y368" s="14">
        <v>1.4</v>
      </c>
      <c r="Z368" s="14">
        <v>0</v>
      </c>
      <c r="AA368" s="14">
        <v>3.6</v>
      </c>
      <c r="AB368" s="14">
        <v>3.5</v>
      </c>
      <c r="AC368" s="14">
        <v>4.5999999999999996</v>
      </c>
      <c r="AD368" s="14">
        <v>6.5</v>
      </c>
      <c r="AK368" s="17">
        <f t="shared" si="1464"/>
        <v>5.6</v>
      </c>
      <c r="AL368" s="17">
        <f>+AL340</f>
        <v>5.6</v>
      </c>
      <c r="AM368" s="17">
        <f t="shared" si="1468"/>
        <v>3.4</v>
      </c>
      <c r="AN368" s="17">
        <f t="shared" si="1469"/>
        <v>20.399999999999999</v>
      </c>
      <c r="AO368" s="17">
        <f t="shared" si="1470"/>
        <v>1.3</v>
      </c>
      <c r="AP368" s="17">
        <f t="shared" si="1466"/>
        <v>3.2</v>
      </c>
      <c r="AQ368" s="17">
        <f t="shared" si="1467"/>
        <v>5</v>
      </c>
    </row>
    <row r="369" spans="2:43" ht="13.5" x14ac:dyDescent="0.35">
      <c r="B369" t="s">
        <v>242</v>
      </c>
      <c r="D369" s="15">
        <v>0</v>
      </c>
      <c r="E369" s="15">
        <v>0</v>
      </c>
      <c r="F369" s="15">
        <v>0</v>
      </c>
      <c r="G369" s="15">
        <v>0</v>
      </c>
      <c r="H369" s="15">
        <v>0</v>
      </c>
      <c r="I369" s="15">
        <v>0</v>
      </c>
      <c r="J369" s="15">
        <v>0</v>
      </c>
      <c r="K369" s="15">
        <v>0</v>
      </c>
      <c r="L369" s="15">
        <v>0</v>
      </c>
      <c r="M369" s="15">
        <v>0</v>
      </c>
      <c r="N369" s="15">
        <v>0</v>
      </c>
      <c r="O369" s="15">
        <v>0</v>
      </c>
      <c r="P369" s="15">
        <v>0</v>
      </c>
      <c r="Q369" s="15">
        <v>0</v>
      </c>
      <c r="R369" s="15">
        <v>0</v>
      </c>
      <c r="S369" s="15">
        <v>0</v>
      </c>
      <c r="T369" s="15">
        <v>0</v>
      </c>
      <c r="U369" s="15">
        <v>0</v>
      </c>
      <c r="V369" s="15">
        <v>0</v>
      </c>
      <c r="W369" s="15">
        <v>0</v>
      </c>
      <c r="X369" s="15">
        <v>-0.4</v>
      </c>
      <c r="Y369" s="15">
        <v>-0.7</v>
      </c>
      <c r="Z369" s="15">
        <v>-0.6</v>
      </c>
      <c r="AA369" s="15">
        <v>-1</v>
      </c>
      <c r="AB369" s="15">
        <v>-1</v>
      </c>
      <c r="AC369" s="15">
        <v>-2.2999999999999998</v>
      </c>
      <c r="AD369" s="15">
        <v>-285.8</v>
      </c>
      <c r="AK369" s="18"/>
      <c r="AL369" s="15">
        <v>0</v>
      </c>
      <c r="AM369" s="18">
        <f t="shared" ref="AM369" si="1476">+SUM(H369:K369)</f>
        <v>0</v>
      </c>
      <c r="AN369" s="18">
        <f t="shared" ref="AN369" si="1477">+SUM(L369:O369)</f>
        <v>0</v>
      </c>
      <c r="AO369" s="18">
        <f t="shared" ref="AO369" si="1478">+SUM(P369:S369)</f>
        <v>0</v>
      </c>
      <c r="AP369" s="18">
        <f t="shared" ref="AP369" si="1479">+SUM(T369:W369)</f>
        <v>0</v>
      </c>
      <c r="AQ369" s="18">
        <f t="shared" si="1467"/>
        <v>-2.7</v>
      </c>
    </row>
    <row r="370" spans="2:43" s="1" customFormat="1" x14ac:dyDescent="0.2">
      <c r="B370" s="31" t="s">
        <v>78</v>
      </c>
      <c r="D370" s="56">
        <f t="shared" ref="D370:AB370" si="1480">SUM(D358:D369)</f>
        <v>-5.2250000000000014</v>
      </c>
      <c r="E370" s="56">
        <f t="shared" si="1480"/>
        <v>-3.2249999999999699</v>
      </c>
      <c r="F370" s="56">
        <f t="shared" si="1480"/>
        <v>-7.3250000000000028</v>
      </c>
      <c r="G370" s="56">
        <f t="shared" si="1480"/>
        <v>-3.7250000000000054</v>
      </c>
      <c r="H370" s="56">
        <f t="shared" si="1480"/>
        <v>-7.2000000000000259</v>
      </c>
      <c r="I370" s="56">
        <f t="shared" si="1480"/>
        <v>-4.2000000000000215</v>
      </c>
      <c r="J370" s="56">
        <f t="shared" si="1480"/>
        <v>-4.8999999999999879</v>
      </c>
      <c r="K370" s="56">
        <f t="shared" si="1480"/>
        <v>-10.200000000000028</v>
      </c>
      <c r="L370" s="56">
        <f t="shared" si="1480"/>
        <v>-13.699999999999978</v>
      </c>
      <c r="M370" s="56">
        <f t="shared" si="1480"/>
        <v>-14.199999999999983</v>
      </c>
      <c r="N370" s="56">
        <f t="shared" si="1480"/>
        <v>-1.9000000000000066</v>
      </c>
      <c r="O370" s="56">
        <f t="shared" si="1480"/>
        <v>-4.3000000000000309</v>
      </c>
      <c r="P370" s="56">
        <f t="shared" si="1480"/>
        <v>-10.4</v>
      </c>
      <c r="Q370" s="56">
        <f t="shared" si="1480"/>
        <v>18.900000000000034</v>
      </c>
      <c r="R370" s="56">
        <f t="shared" si="1480"/>
        <v>21.599999999999977</v>
      </c>
      <c r="S370" s="56">
        <f t="shared" si="1480"/>
        <v>7.2</v>
      </c>
      <c r="T370" s="56">
        <f t="shared" si="1480"/>
        <v>12.800000000000006</v>
      </c>
      <c r="U370" s="56">
        <f t="shared" si="1480"/>
        <v>27.899999999999977</v>
      </c>
      <c r="V370" s="56">
        <f t="shared" si="1480"/>
        <v>36.699999999999882</v>
      </c>
      <c r="W370" s="56">
        <f t="shared" si="1480"/>
        <v>40.49999999999995</v>
      </c>
      <c r="X370" s="56">
        <f t="shared" si="1480"/>
        <v>44.099999999999959</v>
      </c>
      <c r="Y370" s="56">
        <f t="shared" si="1480"/>
        <v>63.400000000000077</v>
      </c>
      <c r="Z370" s="56">
        <f t="shared" si="1480"/>
        <v>69.499999999999957</v>
      </c>
      <c r="AA370" s="56">
        <f t="shared" si="1480"/>
        <v>68.499999999999972</v>
      </c>
      <c r="AB370" s="56">
        <f t="shared" si="1480"/>
        <v>50.499999999999979</v>
      </c>
      <c r="AC370" s="56">
        <f t="shared" ref="AC370:AD370" si="1481">SUM(AC358:AC369)</f>
        <v>89.100000000000037</v>
      </c>
      <c r="AD370" s="56">
        <f t="shared" si="1481"/>
        <v>96.199999999999989</v>
      </c>
      <c r="AK370" s="34">
        <f t="shared" si="1464"/>
        <v>-19.499999999999979</v>
      </c>
      <c r="AL370" s="56">
        <f>SUM(AL358:AL369)</f>
        <v>-24.000000000000021</v>
      </c>
      <c r="AM370" s="34">
        <f t="shared" si="1468"/>
        <v>-26.500000000000064</v>
      </c>
      <c r="AN370" s="34">
        <f t="shared" si="1469"/>
        <v>-34.1</v>
      </c>
      <c r="AO370" s="34">
        <f t="shared" si="1470"/>
        <v>37.300000000000011</v>
      </c>
      <c r="AP370" s="34">
        <f t="shared" si="1466"/>
        <v>117.89999999999981</v>
      </c>
      <c r="AQ370" s="34">
        <f t="shared" si="1467"/>
        <v>245.49999999999997</v>
      </c>
    </row>
    <row r="371" spans="2:43" s="1" customFormat="1" x14ac:dyDescent="0.2">
      <c r="B371" s="31"/>
      <c r="D371" s="56"/>
      <c r="E371" s="56"/>
      <c r="F371" s="56"/>
      <c r="G371" s="56"/>
      <c r="H371" s="56"/>
      <c r="I371" s="56"/>
      <c r="J371" s="56"/>
      <c r="K371" s="56"/>
      <c r="L371" s="56"/>
      <c r="M371" s="56"/>
      <c r="N371" s="56"/>
      <c r="O371" s="56"/>
      <c r="P371" s="56"/>
      <c r="Q371" s="56"/>
      <c r="R371" s="56"/>
      <c r="S371" s="56"/>
      <c r="T371" s="56"/>
      <c r="U371" s="56"/>
      <c r="V371" s="56"/>
      <c r="W371" s="56"/>
      <c r="X371" s="56"/>
      <c r="Y371" s="56"/>
      <c r="Z371" s="56"/>
      <c r="AA371" s="56"/>
      <c r="AB371" s="56"/>
      <c r="AC371" s="56"/>
      <c r="AD371" s="56"/>
      <c r="AK371" s="34"/>
      <c r="AL371" s="56"/>
      <c r="AM371" s="34"/>
      <c r="AN371" s="34"/>
      <c r="AO371" s="34"/>
      <c r="AP371" s="34"/>
      <c r="AQ371" s="34"/>
    </row>
    <row r="372" spans="2:43" s="1" customFormat="1" x14ac:dyDescent="0.2">
      <c r="B372" s="10" t="s">
        <v>512</v>
      </c>
      <c r="C372" s="276"/>
      <c r="D372" s="56"/>
      <c r="E372" s="56"/>
      <c r="F372" s="56"/>
      <c r="G372" s="56"/>
      <c r="H372" s="56"/>
      <c r="I372" s="56"/>
      <c r="J372" s="56"/>
      <c r="K372" s="56"/>
      <c r="L372" s="56"/>
      <c r="M372" s="56"/>
      <c r="N372" s="56"/>
      <c r="O372" s="56"/>
      <c r="P372" s="56"/>
      <c r="Q372" s="56"/>
      <c r="R372" s="56"/>
      <c r="S372" s="56"/>
      <c r="T372" s="56"/>
      <c r="U372" s="56"/>
      <c r="V372" s="56"/>
      <c r="W372" s="56"/>
      <c r="X372" s="56"/>
      <c r="Y372" s="56"/>
      <c r="Z372" s="56"/>
      <c r="AA372" s="56"/>
      <c r="AB372" s="56"/>
      <c r="AC372" s="56"/>
      <c r="AD372" s="56"/>
      <c r="AK372" s="34"/>
      <c r="AL372" s="56"/>
      <c r="AM372" s="34"/>
      <c r="AN372" s="34"/>
      <c r="AO372" s="34"/>
      <c r="AP372" s="34"/>
      <c r="AQ372" s="34"/>
    </row>
    <row r="373" spans="2:43" s="1" customFormat="1" x14ac:dyDescent="0.2">
      <c r="B373" s="31"/>
      <c r="D373" s="56"/>
      <c r="E373" s="56"/>
      <c r="F373" s="56"/>
      <c r="G373" s="56"/>
      <c r="H373" s="56"/>
      <c r="I373" s="56"/>
      <c r="J373" s="56"/>
      <c r="K373" s="56"/>
      <c r="L373" s="56"/>
      <c r="M373" s="56"/>
      <c r="N373" s="56"/>
      <c r="O373" s="56"/>
      <c r="P373" s="56"/>
      <c r="Q373" s="56"/>
      <c r="R373" s="56"/>
      <c r="S373" s="56"/>
      <c r="T373" s="56"/>
      <c r="U373" s="56"/>
      <c r="V373" s="56"/>
      <c r="W373" s="56"/>
      <c r="X373" s="56"/>
      <c r="Y373" s="56"/>
      <c r="Z373" s="56"/>
      <c r="AA373" s="56"/>
      <c r="AB373" s="56"/>
      <c r="AC373" s="56"/>
      <c r="AD373" s="56"/>
      <c r="AK373" s="34"/>
      <c r="AL373" s="56"/>
      <c r="AM373" s="34"/>
      <c r="AN373" s="34"/>
      <c r="AO373" s="34"/>
      <c r="AP373" s="34"/>
      <c r="AQ373" s="34"/>
    </row>
    <row r="374" spans="2:43" s="1" customFormat="1" x14ac:dyDescent="0.2">
      <c r="B374" s="23" t="s">
        <v>513</v>
      </c>
      <c r="D374" s="56"/>
      <c r="E374" s="56"/>
      <c r="F374" s="56"/>
      <c r="G374" s="56"/>
      <c r="H374" s="56"/>
      <c r="I374" s="56"/>
      <c r="J374" s="56"/>
      <c r="K374" s="56"/>
      <c r="L374" s="56"/>
      <c r="M374" s="56"/>
      <c r="N374" s="56"/>
      <c r="O374" s="56"/>
      <c r="P374" s="56"/>
      <c r="Q374" s="56"/>
      <c r="R374" s="56"/>
      <c r="S374" s="56"/>
      <c r="T374" s="56"/>
      <c r="U374" s="56"/>
      <c r="V374" s="56"/>
      <c r="W374" s="56"/>
      <c r="X374" s="56"/>
      <c r="Y374" s="56"/>
      <c r="Z374" s="56"/>
      <c r="AA374" s="56"/>
      <c r="AB374" s="56"/>
      <c r="AC374" s="56"/>
      <c r="AD374" s="56"/>
      <c r="AK374" s="34"/>
      <c r="AL374" s="56"/>
      <c r="AM374" s="34"/>
      <c r="AN374" s="34"/>
      <c r="AO374" s="34"/>
      <c r="AP374" s="34"/>
      <c r="AQ374" s="34"/>
    </row>
    <row r="375" spans="2:43" x14ac:dyDescent="0.2">
      <c r="B375" s="192" t="s">
        <v>514</v>
      </c>
      <c r="D375" s="13"/>
      <c r="E375" s="13"/>
      <c r="F375" s="13"/>
      <c r="G375" s="13"/>
      <c r="H375" s="277">
        <f>+$AM375/$AM262*H262</f>
        <v>11.451211932877566</v>
      </c>
      <c r="I375" s="277">
        <f>+$AM375/$AM262*I262</f>
        <v>13.630360472343073</v>
      </c>
      <c r="J375" s="277">
        <f>+$AM375/$AM262*J262</f>
        <v>14.690024860161595</v>
      </c>
      <c r="K375" s="277">
        <f>+$AM375/$AM262*K262</f>
        <v>15.228402734617777</v>
      </c>
      <c r="L375" s="277">
        <f>+H375+L380</f>
        <v>13.251211932877567</v>
      </c>
      <c r="M375" s="277">
        <f>+I375+M380</f>
        <v>12.230360472343072</v>
      </c>
      <c r="N375" s="277">
        <f>+J375+N380</f>
        <v>19.290024860161594</v>
      </c>
      <c r="O375" s="153">
        <f>+AN375-SUM(L375:N375)</f>
        <v>15.228402734617767</v>
      </c>
      <c r="P375" s="277">
        <f>+L375+P380</f>
        <v>19.851211932877568</v>
      </c>
      <c r="Q375" s="277">
        <f>+M375+Q380</f>
        <v>32.330360472343074</v>
      </c>
      <c r="R375" s="277">
        <f>+N375+R380</f>
        <v>33.390024860161596</v>
      </c>
      <c r="S375" s="153">
        <f>+AO375-SUM(P375:R375)</f>
        <v>29.428402734617762</v>
      </c>
      <c r="T375" s="277">
        <f>+P375+T380</f>
        <v>36.051211932877564</v>
      </c>
      <c r="U375" s="277">
        <f>+Q375+U380</f>
        <v>45.230360472343072</v>
      </c>
      <c r="V375" s="277">
        <f>+R375+V380</f>
        <v>26.090024860161595</v>
      </c>
      <c r="W375" s="153">
        <f>+AP375-SUM(T375:V375)</f>
        <v>17.928402734617777</v>
      </c>
      <c r="X375" s="277">
        <f>+T375+X380</f>
        <v>21.851211932877565</v>
      </c>
      <c r="Y375" s="277">
        <f>+U375+Y380</f>
        <v>24.130360472343071</v>
      </c>
      <c r="Z375" s="17">
        <f>+IFERROR(Z379-Z378-Z377-Z376,"n/a")</f>
        <v>17.346679753621636</v>
      </c>
      <c r="AA375" s="17">
        <f>+AQ375-SUM(X375:Z375)</f>
        <v>24.387572016981856</v>
      </c>
      <c r="AB375" s="17">
        <f>+IFERROR(AB379-AB378-AB377-AB376,"n/a")</f>
        <v>26.534146628713515</v>
      </c>
      <c r="AC375" s="17">
        <f>+IFERROR(AC379-AC378-AC377-AC376,"n/a")</f>
        <v>27.555664244061155</v>
      </c>
      <c r="AD375" s="17">
        <f>+IFERROR(AD379-AD378-AD377-AD376,"n/a")</f>
        <v>17.553090148762102</v>
      </c>
      <c r="AL375" s="145" t="s">
        <v>289</v>
      </c>
      <c r="AM375" s="14">
        <v>55</v>
      </c>
      <c r="AN375" s="14">
        <v>60</v>
      </c>
      <c r="AO375" s="14">
        <v>115</v>
      </c>
      <c r="AP375" s="14">
        <f>+AO375+10.3</f>
        <v>125.3</v>
      </c>
      <c r="AQ375" s="17">
        <f>+IFERROR(AQ379-AQ378-AQ377-AQ376,"n/a")</f>
        <v>87.715824175824125</v>
      </c>
    </row>
    <row r="376" spans="2:43" x14ac:dyDescent="0.2">
      <c r="B376" s="192" t="s">
        <v>515</v>
      </c>
      <c r="D376" s="13"/>
      <c r="E376" s="13"/>
      <c r="F376" s="13"/>
      <c r="G376" s="13"/>
      <c r="H376" s="145">
        <v>2.1</v>
      </c>
      <c r="I376" s="145">
        <f>5-H376</f>
        <v>2.9</v>
      </c>
      <c r="J376" s="145">
        <v>2.5</v>
      </c>
      <c r="K376" s="153">
        <f>+AM376-SUM(H376:J376)</f>
        <v>2.5</v>
      </c>
      <c r="L376" s="145">
        <v>3.3</v>
      </c>
      <c r="M376" s="145">
        <v>3.7</v>
      </c>
      <c r="N376" s="145">
        <v>4.2</v>
      </c>
      <c r="O376" s="153">
        <f>+AN376-SUM(L376:N376)</f>
        <v>4.5</v>
      </c>
      <c r="P376" s="145">
        <v>5</v>
      </c>
      <c r="Q376" s="145">
        <v>5.0999999999999996</v>
      </c>
      <c r="R376" s="145">
        <v>5.4</v>
      </c>
      <c r="S376" s="153">
        <f>+AO376-SUM(P376:R376)</f>
        <v>6</v>
      </c>
      <c r="T376" s="145">
        <v>6.1</v>
      </c>
      <c r="U376" s="145">
        <v>6.6</v>
      </c>
      <c r="V376" s="145">
        <v>6.6</v>
      </c>
      <c r="W376" s="153">
        <f>+AP376-SUM(T376:V376)</f>
        <v>4.9000000000000021</v>
      </c>
      <c r="X376" s="145">
        <f>8.5-Y376</f>
        <v>3.8</v>
      </c>
      <c r="Y376" s="145">
        <v>4.7</v>
      </c>
      <c r="Z376" s="145">
        <v>4.9000000000000004</v>
      </c>
      <c r="AA376" s="153">
        <f>+AQ376-SUM(X376:Z376)</f>
        <v>5.0999999999999996</v>
      </c>
      <c r="AB376" s="145">
        <f>11.8-AC376</f>
        <v>5.7000000000000011</v>
      </c>
      <c r="AC376" s="145">
        <v>6.1</v>
      </c>
      <c r="AD376" s="145">
        <v>6.6</v>
      </c>
      <c r="AL376" s="14">
        <v>14.3</v>
      </c>
      <c r="AM376" s="14">
        <v>10</v>
      </c>
      <c r="AN376" s="14">
        <v>15.7</v>
      </c>
      <c r="AO376" s="14">
        <v>21.5</v>
      </c>
      <c r="AP376" s="14">
        <v>24.2</v>
      </c>
      <c r="AQ376" s="14">
        <v>18.5</v>
      </c>
    </row>
    <row r="377" spans="2:43" x14ac:dyDescent="0.2">
      <c r="B377" s="192" t="s">
        <v>516</v>
      </c>
      <c r="D377" s="13"/>
      <c r="E377" s="13"/>
      <c r="F377" s="13"/>
      <c r="G377" s="13"/>
      <c r="H377" s="145">
        <v>2.8</v>
      </c>
      <c r="I377" s="145">
        <v>2.7</v>
      </c>
      <c r="J377" s="145">
        <v>3.3</v>
      </c>
      <c r="K377" s="145">
        <v>2.8999999999999986</v>
      </c>
      <c r="L377" s="145">
        <v>3.5</v>
      </c>
      <c r="M377" s="145">
        <v>3.7</v>
      </c>
      <c r="N377" s="145">
        <v>3.4</v>
      </c>
      <c r="O377" s="145">
        <v>4.4000000000000004</v>
      </c>
      <c r="P377" s="145">
        <v>4.5</v>
      </c>
      <c r="Q377" s="145">
        <v>4.7</v>
      </c>
      <c r="R377" s="145">
        <v>4.9000000000000004</v>
      </c>
      <c r="S377" s="145">
        <v>5.0000000000000018</v>
      </c>
      <c r="T377" s="145">
        <v>5.4</v>
      </c>
      <c r="U377" s="145">
        <v>6.3</v>
      </c>
      <c r="V377" s="145">
        <v>3.3</v>
      </c>
      <c r="W377" s="145">
        <v>12.5</v>
      </c>
      <c r="X377" s="145">
        <v>8.3000000000000007</v>
      </c>
      <c r="Y377" s="145">
        <v>9.1999999999999993</v>
      </c>
      <c r="Z377" s="145">
        <v>10</v>
      </c>
      <c r="AA377" s="145">
        <v>13.700000000000003</v>
      </c>
      <c r="AB377" s="145">
        <v>15.5</v>
      </c>
      <c r="AC377" s="145">
        <v>16.8</v>
      </c>
      <c r="AD377" s="145">
        <v>18.5</v>
      </c>
      <c r="AL377" s="14">
        <v>15</v>
      </c>
      <c r="AM377" s="14">
        <v>11</v>
      </c>
      <c r="AN377" s="14">
        <v>15</v>
      </c>
      <c r="AO377" s="14">
        <v>19.100000000000001</v>
      </c>
      <c r="AP377" s="14">
        <v>27.5</v>
      </c>
      <c r="AQ377" s="14">
        <v>41.2</v>
      </c>
    </row>
    <row r="378" spans="2:43" ht="13.5" x14ac:dyDescent="0.35">
      <c r="B378" s="192" t="s">
        <v>170</v>
      </c>
      <c r="D378" s="13"/>
      <c r="E378" s="13"/>
      <c r="F378" s="13"/>
      <c r="G378" s="13"/>
      <c r="H378" s="154">
        <f t="shared" ref="H378:Y378" si="1482">+IFERROR(H379-H375-H376-H377,"n/a")</f>
        <v>12.648788067122435</v>
      </c>
      <c r="I378" s="154">
        <f t="shared" si="1482"/>
        <v>13.869639527656933</v>
      </c>
      <c r="J378" s="154">
        <f t="shared" si="1482"/>
        <v>13.909975139838405</v>
      </c>
      <c r="K378" s="154">
        <f t="shared" si="1482"/>
        <v>14.971597265382226</v>
      </c>
      <c r="L378" s="154">
        <f t="shared" si="1482"/>
        <v>15.648788067122435</v>
      </c>
      <c r="M378" s="154">
        <f t="shared" si="1482"/>
        <v>16.169639527656926</v>
      </c>
      <c r="N378" s="154">
        <f t="shared" si="1482"/>
        <v>9.309975139838409</v>
      </c>
      <c r="O378" s="154">
        <f t="shared" si="1482"/>
        <v>13.371597265382233</v>
      </c>
      <c r="P378" s="154">
        <f t="shared" si="1482"/>
        <v>16.348788067122435</v>
      </c>
      <c r="Q378" s="154">
        <f t="shared" si="1482"/>
        <v>16.069639527656928</v>
      </c>
      <c r="R378" s="154">
        <f t="shared" si="1482"/>
        <v>17.809975139838407</v>
      </c>
      <c r="S378" s="154">
        <f t="shared" si="1482"/>
        <v>21.471597265382243</v>
      </c>
      <c r="T378" s="154">
        <f t="shared" si="1482"/>
        <v>16.648788067122439</v>
      </c>
      <c r="U378" s="154">
        <f t="shared" si="1482"/>
        <v>18.669639527656923</v>
      </c>
      <c r="V378" s="154">
        <f t="shared" si="1482"/>
        <v>25.009975139838406</v>
      </c>
      <c r="W378" s="154">
        <f t="shared" si="1482"/>
        <v>19.971597265382215</v>
      </c>
      <c r="X378" s="154">
        <f t="shared" si="1482"/>
        <v>20.648788067122432</v>
      </c>
      <c r="Y378" s="154">
        <f t="shared" si="1482"/>
        <v>23.16963952765693</v>
      </c>
      <c r="Z378" s="222">
        <f>+Y378/Y263*Z263</f>
        <v>30.453320246378368</v>
      </c>
      <c r="AA378" s="154">
        <f>+IFERROR(AA379-AA375-AA376-AA377,"n/a")</f>
        <v>30.912427983018134</v>
      </c>
      <c r="AB378" s="222">
        <f>+AA378/AA263*AB263</f>
        <v>28.165853371286492</v>
      </c>
      <c r="AC378" s="222">
        <f>+AB378/AB263*AC263</f>
        <v>38.344335755938836</v>
      </c>
      <c r="AD378" s="222">
        <f>+AC378/AC263*AD263</f>
        <v>55.146909851237893</v>
      </c>
      <c r="AL378" s="154" t="str">
        <f>+IFERROR(AL379-AL375-AL376-AL377,"n/a")</f>
        <v>n/a</v>
      </c>
      <c r="AM378" s="18">
        <f>+IFERROR(AM379-AM375-AM376-AM377,"n/a")</f>
        <v>56.099999999999994</v>
      </c>
      <c r="AN378" s="18">
        <f>+IFERROR(AN379-AN375-AN376-AN377,"n/a")</f>
        <v>54.499999999999986</v>
      </c>
      <c r="AO378" s="18">
        <f>+IFERROR(AO379-AO375-AO376-AO377,"n/a")</f>
        <v>71.700000000000017</v>
      </c>
      <c r="AP378" s="18">
        <f>+IFERROR(AP379-AP375-AP376-AP377,"n/a")</f>
        <v>80.3</v>
      </c>
      <c r="AQ378" s="22">
        <f>+AP378/AP263*AQ263</f>
        <v>105.18417582417587</v>
      </c>
    </row>
    <row r="379" spans="2:43" s="1" customFormat="1" x14ac:dyDescent="0.2">
      <c r="B379" s="31" t="s">
        <v>513</v>
      </c>
      <c r="D379" s="56"/>
      <c r="E379" s="56"/>
      <c r="F379" s="56"/>
      <c r="G379" s="56"/>
      <c r="H379" s="273">
        <f t="shared" ref="H379:AD379" si="1483">-H346</f>
        <v>29</v>
      </c>
      <c r="I379" s="273">
        <f t="shared" si="1483"/>
        <v>33.1</v>
      </c>
      <c r="J379" s="273">
        <f t="shared" si="1483"/>
        <v>34.4</v>
      </c>
      <c r="K379" s="273">
        <f t="shared" si="1483"/>
        <v>35.6</v>
      </c>
      <c r="L379" s="273">
        <f t="shared" si="1483"/>
        <v>35.700000000000003</v>
      </c>
      <c r="M379" s="273">
        <f t="shared" si="1483"/>
        <v>35.799999999999997</v>
      </c>
      <c r="N379" s="273">
        <f t="shared" si="1483"/>
        <v>36.200000000000003</v>
      </c>
      <c r="O379" s="273">
        <f t="shared" si="1483"/>
        <v>37.5</v>
      </c>
      <c r="P379" s="273">
        <f t="shared" si="1483"/>
        <v>45.7</v>
      </c>
      <c r="Q379" s="273">
        <f t="shared" si="1483"/>
        <v>58.2</v>
      </c>
      <c r="R379" s="273">
        <f t="shared" si="1483"/>
        <v>61.5</v>
      </c>
      <c r="S379" s="273">
        <f t="shared" si="1483"/>
        <v>61.900000000000006</v>
      </c>
      <c r="T379" s="273">
        <f t="shared" si="1483"/>
        <v>64.2</v>
      </c>
      <c r="U379" s="273">
        <f t="shared" si="1483"/>
        <v>76.8</v>
      </c>
      <c r="V379" s="273">
        <f t="shared" si="1483"/>
        <v>61</v>
      </c>
      <c r="W379" s="273">
        <f t="shared" si="1483"/>
        <v>55.3</v>
      </c>
      <c r="X379" s="273">
        <f t="shared" si="1483"/>
        <v>54.6</v>
      </c>
      <c r="Y379" s="273">
        <f t="shared" si="1483"/>
        <v>61.2</v>
      </c>
      <c r="Z379" s="273">
        <f t="shared" si="1483"/>
        <v>62.7</v>
      </c>
      <c r="AA379" s="273">
        <f t="shared" si="1483"/>
        <v>74.099999999999994</v>
      </c>
      <c r="AB379" s="273">
        <f t="shared" si="1483"/>
        <v>75.900000000000006</v>
      </c>
      <c r="AC379" s="273">
        <f t="shared" si="1483"/>
        <v>88.8</v>
      </c>
      <c r="AD379" s="273">
        <f t="shared" si="1483"/>
        <v>97.8</v>
      </c>
      <c r="AL379" s="34">
        <f t="shared" ref="AL379:AQ379" si="1484">-AL346</f>
        <v>112</v>
      </c>
      <c r="AM379" s="34">
        <f t="shared" si="1484"/>
        <v>132.1</v>
      </c>
      <c r="AN379" s="34">
        <f t="shared" si="1484"/>
        <v>145.19999999999999</v>
      </c>
      <c r="AO379" s="34">
        <f t="shared" si="1484"/>
        <v>227.3</v>
      </c>
      <c r="AP379" s="34">
        <f t="shared" si="1484"/>
        <v>257.3</v>
      </c>
      <c r="AQ379" s="34">
        <f t="shared" si="1484"/>
        <v>252.6</v>
      </c>
    </row>
    <row r="380" spans="2:43" x14ac:dyDescent="0.2">
      <c r="B380" s="28" t="s">
        <v>438</v>
      </c>
      <c r="D380" s="13"/>
      <c r="E380" s="13"/>
      <c r="F380" s="13"/>
      <c r="G380" s="13"/>
      <c r="H380" s="156"/>
      <c r="I380" s="156"/>
      <c r="J380" s="156"/>
      <c r="K380" s="156"/>
      <c r="L380" s="208">
        <v>1.8</v>
      </c>
      <c r="M380" s="208">
        <v>-1.4</v>
      </c>
      <c r="N380" s="208">
        <v>4.5999999999999996</v>
      </c>
      <c r="O380" s="208" t="s">
        <v>289</v>
      </c>
      <c r="P380" s="208">
        <v>6.6</v>
      </c>
      <c r="Q380" s="208">
        <v>20.100000000000001</v>
      </c>
      <c r="R380" s="208">
        <v>14.1</v>
      </c>
      <c r="S380" s="208" t="s">
        <v>289</v>
      </c>
      <c r="T380" s="208">
        <v>16.2</v>
      </c>
      <c r="U380" s="208">
        <v>12.9</v>
      </c>
      <c r="V380" s="208">
        <v>-7.3</v>
      </c>
      <c r="W380" s="208" t="s">
        <v>289</v>
      </c>
      <c r="X380" s="208">
        <v>-14.2</v>
      </c>
      <c r="Y380" s="208">
        <v>-21.1</v>
      </c>
      <c r="Z380" s="208" t="s">
        <v>289</v>
      </c>
      <c r="AA380" s="208" t="s">
        <v>289</v>
      </c>
      <c r="AB380" s="208" t="s">
        <v>289</v>
      </c>
      <c r="AC380" s="208" t="s">
        <v>289</v>
      </c>
      <c r="AD380" s="208" t="s">
        <v>289</v>
      </c>
      <c r="AL380" s="208" t="s">
        <v>289</v>
      </c>
      <c r="AM380" s="208" t="s">
        <v>289</v>
      </c>
      <c r="AN380" s="52">
        <f>+AN375-AM375</f>
        <v>5</v>
      </c>
      <c r="AO380" s="52">
        <f>+AO375-AN375</f>
        <v>55</v>
      </c>
      <c r="AP380" s="52">
        <f>+AP375-AO375</f>
        <v>10.299999999999997</v>
      </c>
      <c r="AQ380" s="52">
        <f>+AQ375-AP375</f>
        <v>-37.584175824175873</v>
      </c>
    </row>
    <row r="381" spans="2:43" x14ac:dyDescent="0.2">
      <c r="B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K381" s="17"/>
      <c r="AL381" s="13"/>
      <c r="AM381" s="17"/>
      <c r="AN381" s="17"/>
      <c r="AO381" s="17"/>
      <c r="AP381" s="17"/>
      <c r="AQ381" s="17"/>
    </row>
    <row r="382" spans="2:43" x14ac:dyDescent="0.2">
      <c r="B382" s="23" t="s">
        <v>511</v>
      </c>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K382" s="17"/>
      <c r="AL382" s="13"/>
      <c r="AM382" s="17"/>
      <c r="AN382" s="17"/>
      <c r="AO382" s="17"/>
      <c r="AP382" s="17"/>
      <c r="AQ382" s="17"/>
    </row>
    <row r="383" spans="2:43" x14ac:dyDescent="0.2">
      <c r="B383" t="s">
        <v>517</v>
      </c>
      <c r="D383" s="13"/>
      <c r="E383" s="13"/>
      <c r="F383" s="13"/>
      <c r="G383" s="13"/>
      <c r="H383" s="13">
        <f>-H347</f>
        <v>0</v>
      </c>
      <c r="I383" s="13">
        <f t="shared" ref="I383:AD383" si="1485">-I347</f>
        <v>0</v>
      </c>
      <c r="J383" s="13">
        <f t="shared" si="1485"/>
        <v>0</v>
      </c>
      <c r="K383" s="13">
        <f t="shared" si="1485"/>
        <v>0</v>
      </c>
      <c r="L383" s="13">
        <f t="shared" si="1485"/>
        <v>0</v>
      </c>
      <c r="M383" s="13">
        <f t="shared" si="1485"/>
        <v>0</v>
      </c>
      <c r="N383" s="13">
        <f t="shared" si="1485"/>
        <v>5.7</v>
      </c>
      <c r="O383" s="13">
        <f t="shared" si="1485"/>
        <v>4.0999999999999996</v>
      </c>
      <c r="P383" s="13">
        <f t="shared" si="1485"/>
        <v>4.5</v>
      </c>
      <c r="Q383" s="13">
        <f t="shared" si="1485"/>
        <v>5.0999999999999996</v>
      </c>
      <c r="R383" s="13">
        <f t="shared" si="1485"/>
        <v>5.8</v>
      </c>
      <c r="S383" s="13">
        <f t="shared" si="1485"/>
        <v>6.4</v>
      </c>
      <c r="T383" s="13">
        <f t="shared" si="1485"/>
        <v>7</v>
      </c>
      <c r="U383" s="13">
        <f t="shared" si="1485"/>
        <v>7.4</v>
      </c>
      <c r="V383" s="13">
        <f t="shared" si="1485"/>
        <v>8.1999999999999993</v>
      </c>
      <c r="W383" s="13">
        <f t="shared" si="1485"/>
        <v>5.8</v>
      </c>
      <c r="X383" s="13">
        <f t="shared" si="1485"/>
        <v>7.2</v>
      </c>
      <c r="Y383" s="13">
        <f t="shared" si="1485"/>
        <v>8.1999999999999993</v>
      </c>
      <c r="Z383" s="13">
        <f t="shared" si="1485"/>
        <v>9.3000000000000007</v>
      </c>
      <c r="AA383" s="13">
        <f t="shared" si="1485"/>
        <v>10.6</v>
      </c>
      <c r="AB383" s="13">
        <f t="shared" si="1485"/>
        <v>11.9</v>
      </c>
      <c r="AC383" s="13">
        <f t="shared" si="1485"/>
        <v>13</v>
      </c>
      <c r="AD383" s="13">
        <f t="shared" si="1485"/>
        <v>14.1</v>
      </c>
      <c r="AK383" s="17"/>
      <c r="AL383" s="13">
        <f t="shared" ref="AL383:AQ383" si="1486">-AL347</f>
        <v>0</v>
      </c>
      <c r="AM383" s="13">
        <f t="shared" si="1486"/>
        <v>0</v>
      </c>
      <c r="AN383" s="13">
        <f t="shared" si="1486"/>
        <v>9.8000000000000007</v>
      </c>
      <c r="AO383" s="13">
        <f t="shared" si="1486"/>
        <v>21.799999999999997</v>
      </c>
      <c r="AP383" s="13">
        <f t="shared" si="1486"/>
        <v>28.400000000000002</v>
      </c>
      <c r="AQ383" s="13">
        <f t="shared" si="1486"/>
        <v>35.299999999999997</v>
      </c>
    </row>
    <row r="384" spans="2:43" ht="13.5" x14ac:dyDescent="0.35">
      <c r="B384" t="s">
        <v>518</v>
      </c>
      <c r="D384" s="13"/>
      <c r="E384" s="13"/>
      <c r="F384" s="13"/>
      <c r="G384" s="13"/>
      <c r="H384" s="146">
        <v>0.7</v>
      </c>
      <c r="I384" s="146">
        <v>0.7</v>
      </c>
      <c r="J384" s="146">
        <v>1.1000000000000001</v>
      </c>
      <c r="K384" s="146">
        <v>1.2999999999999998</v>
      </c>
      <c r="L384" s="146">
        <v>1.4</v>
      </c>
      <c r="M384" s="146">
        <v>1.3</v>
      </c>
      <c r="N384" s="146">
        <v>1.2</v>
      </c>
      <c r="O384" s="146">
        <v>1.2999999999999998</v>
      </c>
      <c r="P384" s="146">
        <v>1.2</v>
      </c>
      <c r="Q384" s="146">
        <v>1.4</v>
      </c>
      <c r="R384" s="146">
        <v>1.5</v>
      </c>
      <c r="S384" s="146">
        <v>1.3000000000000007</v>
      </c>
      <c r="T384" s="146">
        <v>1.3</v>
      </c>
      <c r="U384" s="146">
        <v>1.2</v>
      </c>
      <c r="V384" s="146">
        <v>1.3</v>
      </c>
      <c r="W384" s="146">
        <v>1.4000000000000004</v>
      </c>
      <c r="X384" s="146">
        <v>1.5</v>
      </c>
      <c r="Y384" s="146">
        <v>1.7</v>
      </c>
      <c r="Z384" s="146">
        <v>2.2999999999999998</v>
      </c>
      <c r="AA384" s="146">
        <v>2.9000000000000004</v>
      </c>
      <c r="AB384" s="146">
        <v>2.5</v>
      </c>
      <c r="AC384" s="146">
        <v>2.8</v>
      </c>
      <c r="AD384" s="146">
        <v>3.3</v>
      </c>
      <c r="AK384" s="17"/>
      <c r="AL384" s="146">
        <v>3.5</v>
      </c>
      <c r="AM384" s="146">
        <v>3.8</v>
      </c>
      <c r="AN384" s="146">
        <v>5.2</v>
      </c>
      <c r="AO384" s="146">
        <v>5.4</v>
      </c>
      <c r="AP384" s="146">
        <v>5.2</v>
      </c>
      <c r="AQ384" s="146">
        <v>8.4</v>
      </c>
    </row>
    <row r="385" spans="2:43" x14ac:dyDescent="0.2">
      <c r="B385" s="31" t="s">
        <v>519</v>
      </c>
      <c r="D385" s="13"/>
      <c r="E385" s="13"/>
      <c r="F385" s="13"/>
      <c r="G385" s="13"/>
      <c r="H385" s="273">
        <f>+H383+H384</f>
        <v>0.7</v>
      </c>
      <c r="I385" s="273">
        <f t="shared" ref="I385:AD385" si="1487">+I383+I384</f>
        <v>0.7</v>
      </c>
      <c r="J385" s="273">
        <f t="shared" si="1487"/>
        <v>1.1000000000000001</v>
      </c>
      <c r="K385" s="273">
        <f t="shared" si="1487"/>
        <v>1.2999999999999998</v>
      </c>
      <c r="L385" s="273">
        <f t="shared" si="1487"/>
        <v>1.4</v>
      </c>
      <c r="M385" s="273">
        <f t="shared" si="1487"/>
        <v>1.3</v>
      </c>
      <c r="N385" s="273">
        <f t="shared" si="1487"/>
        <v>6.9</v>
      </c>
      <c r="O385" s="273">
        <f t="shared" si="1487"/>
        <v>5.3999999999999995</v>
      </c>
      <c r="P385" s="273">
        <f t="shared" si="1487"/>
        <v>5.7</v>
      </c>
      <c r="Q385" s="273">
        <f t="shared" si="1487"/>
        <v>6.5</v>
      </c>
      <c r="R385" s="273">
        <f t="shared" si="1487"/>
        <v>7.3</v>
      </c>
      <c r="S385" s="273">
        <f t="shared" si="1487"/>
        <v>7.7000000000000011</v>
      </c>
      <c r="T385" s="273">
        <f t="shared" si="1487"/>
        <v>8.3000000000000007</v>
      </c>
      <c r="U385" s="273">
        <f t="shared" si="1487"/>
        <v>8.6</v>
      </c>
      <c r="V385" s="273">
        <f t="shared" si="1487"/>
        <v>9.5</v>
      </c>
      <c r="W385" s="273">
        <f t="shared" si="1487"/>
        <v>7.2</v>
      </c>
      <c r="X385" s="273">
        <f t="shared" si="1487"/>
        <v>8.6999999999999993</v>
      </c>
      <c r="Y385" s="273">
        <f t="shared" si="1487"/>
        <v>9.8999999999999986</v>
      </c>
      <c r="Z385" s="273">
        <f t="shared" si="1487"/>
        <v>11.600000000000001</v>
      </c>
      <c r="AA385" s="273">
        <f t="shared" si="1487"/>
        <v>13.5</v>
      </c>
      <c r="AB385" s="273">
        <f t="shared" si="1487"/>
        <v>14.4</v>
      </c>
      <c r="AC385" s="273">
        <f t="shared" si="1487"/>
        <v>15.8</v>
      </c>
      <c r="AD385" s="273">
        <f t="shared" si="1487"/>
        <v>17.399999999999999</v>
      </c>
      <c r="AK385" s="17"/>
      <c r="AL385" s="273">
        <f t="shared" ref="AL385" si="1488">+AL383+AL384</f>
        <v>3.5</v>
      </c>
      <c r="AM385" s="273">
        <f t="shared" ref="AM385" si="1489">+AM383+AM384</f>
        <v>3.8</v>
      </c>
      <c r="AN385" s="273">
        <f t="shared" ref="AN385" si="1490">+AN383+AN384</f>
        <v>15</v>
      </c>
      <c r="AO385" s="273">
        <f t="shared" ref="AO385" si="1491">+AO383+AO384</f>
        <v>27.199999999999996</v>
      </c>
      <c r="AP385" s="273">
        <f t="shared" ref="AP385" si="1492">+AP383+AP384</f>
        <v>33.6</v>
      </c>
      <c r="AQ385" s="273">
        <f t="shared" ref="AQ385" si="1493">+AQ383+AQ384</f>
        <v>43.699999999999996</v>
      </c>
    </row>
    <row r="386" spans="2:43" x14ac:dyDescent="0.2">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K386" s="17"/>
      <c r="AL386" s="13"/>
      <c r="AM386" s="13"/>
      <c r="AN386" s="13"/>
      <c r="AO386" s="13"/>
      <c r="AP386" s="13"/>
      <c r="AQ386" s="13"/>
    </row>
    <row r="387" spans="2:43" x14ac:dyDescent="0.2">
      <c r="B387" t="s">
        <v>188</v>
      </c>
      <c r="D387" s="13"/>
      <c r="E387" s="13"/>
      <c r="F387" s="13"/>
      <c r="G387" s="13"/>
      <c r="H387" s="49">
        <f>+$AM387/4</f>
        <v>0.75</v>
      </c>
      <c r="I387" s="49">
        <f t="shared" ref="I387:K387" si="1494">+$AM387/4</f>
        <v>0.75</v>
      </c>
      <c r="J387" s="49">
        <f t="shared" si="1494"/>
        <v>0.75</v>
      </c>
      <c r="K387" s="49">
        <f t="shared" si="1494"/>
        <v>0.75</v>
      </c>
      <c r="L387" s="49">
        <f>+$AN387/4</f>
        <v>0.92500000000000004</v>
      </c>
      <c r="M387" s="49">
        <f t="shared" ref="M387:O387" si="1495">+$AN387/4</f>
        <v>0.92500000000000004</v>
      </c>
      <c r="N387" s="49">
        <f t="shared" si="1495"/>
        <v>0.92500000000000004</v>
      </c>
      <c r="O387" s="49">
        <f t="shared" si="1495"/>
        <v>0.92500000000000004</v>
      </c>
      <c r="P387" s="49">
        <f>+$AO387/4</f>
        <v>1.125</v>
      </c>
      <c r="Q387" s="49">
        <f t="shared" ref="Q387:S387" si="1496">+$AO387/4</f>
        <v>1.125</v>
      </c>
      <c r="R387" s="49">
        <f t="shared" si="1496"/>
        <v>1.125</v>
      </c>
      <c r="S387" s="49">
        <f t="shared" si="1496"/>
        <v>1.125</v>
      </c>
      <c r="T387" s="14">
        <v>1.9</v>
      </c>
      <c r="U387" s="14">
        <v>2.2999999999999998</v>
      </c>
      <c r="V387" s="14">
        <v>16.3</v>
      </c>
      <c r="W387" s="17">
        <f>+AP387-SUM(T387:V387)</f>
        <v>20.9</v>
      </c>
      <c r="X387" s="14">
        <v>21.6</v>
      </c>
      <c r="Y387" s="14">
        <v>20.7</v>
      </c>
      <c r="Z387" s="14">
        <v>23</v>
      </c>
      <c r="AA387" s="17">
        <f>+AQ387-SUM(X387:Z387)</f>
        <v>21.600000000000009</v>
      </c>
      <c r="AB387" s="14">
        <v>21.8</v>
      </c>
      <c r="AC387" s="14">
        <v>21.7</v>
      </c>
      <c r="AD387" s="14">
        <v>21.8</v>
      </c>
      <c r="AK387" s="17"/>
      <c r="AL387" s="49">
        <v>2</v>
      </c>
      <c r="AM387" s="49">
        <v>3</v>
      </c>
      <c r="AN387" s="14">
        <v>3.7</v>
      </c>
      <c r="AO387" s="14">
        <v>4.5</v>
      </c>
      <c r="AP387" s="14">
        <v>41.4</v>
      </c>
      <c r="AQ387" s="14">
        <v>86.9</v>
      </c>
    </row>
    <row r="388" spans="2:43" ht="13.5" x14ac:dyDescent="0.35">
      <c r="B388" t="s">
        <v>520</v>
      </c>
      <c r="D388" s="13"/>
      <c r="E388" s="13"/>
      <c r="F388" s="13"/>
      <c r="G388" s="13"/>
      <c r="H388" s="16">
        <f>+H389-H387</f>
        <v>10.500000000000002</v>
      </c>
      <c r="I388" s="16">
        <f t="shared" ref="I388:AD388" si="1497">+I389-I387</f>
        <v>10.1</v>
      </c>
      <c r="J388" s="16">
        <f t="shared" si="1497"/>
        <v>11.000000000000002</v>
      </c>
      <c r="K388" s="16">
        <f t="shared" si="1497"/>
        <v>11.2</v>
      </c>
      <c r="L388" s="16">
        <f t="shared" si="1497"/>
        <v>11.05</v>
      </c>
      <c r="M388" s="16">
        <f t="shared" si="1497"/>
        <v>11.049999999999995</v>
      </c>
      <c r="N388" s="16">
        <f t="shared" si="1497"/>
        <v>11.249999999999995</v>
      </c>
      <c r="O388" s="16">
        <f t="shared" si="1497"/>
        <v>12.75</v>
      </c>
      <c r="P388" s="16">
        <f t="shared" si="1497"/>
        <v>11.849999999999998</v>
      </c>
      <c r="Q388" s="16">
        <f t="shared" si="1497"/>
        <v>11.349999999999996</v>
      </c>
      <c r="R388" s="16">
        <f t="shared" si="1497"/>
        <v>10.349999999999996</v>
      </c>
      <c r="S388" s="16">
        <f t="shared" si="1497"/>
        <v>11.149999999999995</v>
      </c>
      <c r="T388" s="16">
        <f t="shared" si="1497"/>
        <v>10.6</v>
      </c>
      <c r="U388" s="16">
        <f t="shared" si="1497"/>
        <v>9.3999999999999986</v>
      </c>
      <c r="V388" s="16">
        <f t="shared" si="1497"/>
        <v>6.3999999999999986</v>
      </c>
      <c r="W388" s="16">
        <f t="shared" si="1497"/>
        <v>10.100000000000009</v>
      </c>
      <c r="X388" s="16">
        <f t="shared" si="1497"/>
        <v>8.3999999999999986</v>
      </c>
      <c r="Y388" s="16">
        <f t="shared" si="1497"/>
        <v>9.1000000000000014</v>
      </c>
      <c r="Z388" s="16">
        <f t="shared" si="1497"/>
        <v>9.1000000000000014</v>
      </c>
      <c r="AA388" s="16">
        <f t="shared" si="1497"/>
        <v>14.299999999999983</v>
      </c>
      <c r="AB388" s="16">
        <f t="shared" si="1497"/>
        <v>16.2</v>
      </c>
      <c r="AC388" s="16">
        <f>+AC389-AC387</f>
        <v>17.099999999999998</v>
      </c>
      <c r="AD388" s="16">
        <f t="shared" si="1497"/>
        <v>21.7</v>
      </c>
      <c r="AK388" s="17"/>
      <c r="AL388" s="16">
        <f t="shared" ref="AL388" si="1498">+AL389-AL387</f>
        <v>49.2</v>
      </c>
      <c r="AM388" s="16">
        <f t="shared" ref="AM388" si="1499">+AM389-AM387</f>
        <v>42.800000000000004</v>
      </c>
      <c r="AN388" s="16">
        <f t="shared" ref="AN388" si="1500">+AN389-AN387</f>
        <v>46.099999999999994</v>
      </c>
      <c r="AO388" s="16">
        <f t="shared" ref="AO388" si="1501">+AO389-AO387</f>
        <v>44.7</v>
      </c>
      <c r="AP388" s="16">
        <f t="shared" ref="AP388" si="1502">+AP389-AP387</f>
        <v>36.500000000000007</v>
      </c>
      <c r="AQ388" s="16">
        <f t="shared" ref="AQ388" si="1503">+AQ389-AQ387</f>
        <v>40.899999999999991</v>
      </c>
    </row>
    <row r="389" spans="2:43" x14ac:dyDescent="0.2">
      <c r="B389" s="11" t="s">
        <v>521</v>
      </c>
      <c r="D389" s="13"/>
      <c r="E389" s="13"/>
      <c r="F389" s="13"/>
      <c r="G389" s="13"/>
      <c r="H389" s="17">
        <f t="shared" ref="H389:S389" si="1504">+H393-H392</f>
        <v>11.250000000000002</v>
      </c>
      <c r="I389" s="17">
        <f t="shared" si="1504"/>
        <v>10.85</v>
      </c>
      <c r="J389" s="17">
        <f t="shared" si="1504"/>
        <v>11.750000000000002</v>
      </c>
      <c r="K389" s="17">
        <f t="shared" si="1504"/>
        <v>11.95</v>
      </c>
      <c r="L389" s="17">
        <f t="shared" si="1504"/>
        <v>11.975000000000001</v>
      </c>
      <c r="M389" s="17">
        <f t="shared" si="1504"/>
        <v>11.974999999999996</v>
      </c>
      <c r="N389" s="17">
        <f t="shared" si="1504"/>
        <v>12.174999999999995</v>
      </c>
      <c r="O389" s="17">
        <f t="shared" si="1504"/>
        <v>13.675000000000001</v>
      </c>
      <c r="P389" s="17">
        <f t="shared" si="1504"/>
        <v>12.974999999999998</v>
      </c>
      <c r="Q389" s="17">
        <f t="shared" si="1504"/>
        <v>12.474999999999996</v>
      </c>
      <c r="R389" s="17">
        <f t="shared" si="1504"/>
        <v>11.474999999999996</v>
      </c>
      <c r="S389" s="17">
        <f t="shared" si="1504"/>
        <v>12.274999999999995</v>
      </c>
      <c r="T389" s="14">
        <v>12.5</v>
      </c>
      <c r="U389" s="14">
        <v>11.7</v>
      </c>
      <c r="V389" s="14">
        <v>22.7</v>
      </c>
      <c r="W389" s="17">
        <f>+AP389-SUM(T389:V389)</f>
        <v>31.000000000000007</v>
      </c>
      <c r="X389" s="14">
        <v>30</v>
      </c>
      <c r="Y389" s="14">
        <v>29.8</v>
      </c>
      <c r="Z389" s="14">
        <v>32.1</v>
      </c>
      <c r="AA389" s="17">
        <f>+AQ389-SUM(X389:Z389)</f>
        <v>35.899999999999991</v>
      </c>
      <c r="AB389" s="14">
        <v>38</v>
      </c>
      <c r="AC389" s="14">
        <v>38.799999999999997</v>
      </c>
      <c r="AD389" s="14">
        <v>43.5</v>
      </c>
      <c r="AK389" s="17"/>
      <c r="AL389" s="17">
        <f>+AL393-AL392</f>
        <v>51.2</v>
      </c>
      <c r="AM389" s="17">
        <f>+AM393-AM392</f>
        <v>45.800000000000004</v>
      </c>
      <c r="AN389" s="14">
        <v>49.8</v>
      </c>
      <c r="AO389" s="14">
        <v>49.2</v>
      </c>
      <c r="AP389" s="14">
        <v>77.900000000000006</v>
      </c>
      <c r="AQ389" s="14">
        <v>127.8</v>
      </c>
    </row>
    <row r="390" spans="2:43" x14ac:dyDescent="0.2">
      <c r="B390" t="s">
        <v>522</v>
      </c>
      <c r="D390" s="13"/>
      <c r="E390" s="13"/>
      <c r="F390" s="13"/>
      <c r="G390" s="13"/>
      <c r="H390" s="49">
        <f>+$AM390/4</f>
        <v>0.75</v>
      </c>
      <c r="I390" s="49">
        <f t="shared" ref="I390:K390" si="1505">+$AM390/4</f>
        <v>0.75</v>
      </c>
      <c r="J390" s="49">
        <f t="shared" si="1505"/>
        <v>0.75</v>
      </c>
      <c r="K390" s="49">
        <f t="shared" si="1505"/>
        <v>0.75</v>
      </c>
      <c r="L390" s="49">
        <f>+$AN390/4</f>
        <v>0.9250000000000016</v>
      </c>
      <c r="M390" s="49">
        <f t="shared" ref="M390:O390" si="1506">+$AN390/4</f>
        <v>0.9250000000000016</v>
      </c>
      <c r="N390" s="49">
        <f t="shared" si="1506"/>
        <v>0.9250000000000016</v>
      </c>
      <c r="O390" s="49">
        <f t="shared" si="1506"/>
        <v>0.9250000000000016</v>
      </c>
      <c r="P390" s="49">
        <f>+$AO390/4</f>
        <v>1.6250000000000036</v>
      </c>
      <c r="Q390" s="49">
        <f t="shared" ref="Q390:S390" si="1507">+$AO390/4</f>
        <v>1.6250000000000036</v>
      </c>
      <c r="R390" s="49">
        <f t="shared" si="1507"/>
        <v>1.6250000000000036</v>
      </c>
      <c r="S390" s="49">
        <f t="shared" si="1507"/>
        <v>1.6250000000000036</v>
      </c>
      <c r="T390" s="13">
        <f t="shared" ref="T390:X390" si="1508">+T392-T391</f>
        <v>2.2000000000000011</v>
      </c>
      <c r="U390" s="13">
        <f t="shared" si="1508"/>
        <v>2.9999999999999982</v>
      </c>
      <c r="V390" s="13">
        <f t="shared" si="1508"/>
        <v>3.8000000000000025</v>
      </c>
      <c r="W390" s="13">
        <f t="shared" si="1508"/>
        <v>4.3999999999999879</v>
      </c>
      <c r="X390" s="13">
        <f t="shared" si="1508"/>
        <v>5.1000000000000059</v>
      </c>
      <c r="Y390" s="13">
        <f>+Y392-Y391</f>
        <v>5.6000000000000005</v>
      </c>
      <c r="Z390" s="13">
        <f t="shared" ref="Z390:AD390" si="1509">+Z392-Z391</f>
        <v>6.4999999999999982</v>
      </c>
      <c r="AA390" s="13">
        <f t="shared" si="1509"/>
        <v>7.4000000000000075</v>
      </c>
      <c r="AB390" s="13">
        <f t="shared" si="1509"/>
        <v>7.9999999999999947</v>
      </c>
      <c r="AC390" s="13">
        <f t="shared" si="1509"/>
        <v>9.0000000000000089</v>
      </c>
      <c r="AD390" s="13">
        <f t="shared" si="1509"/>
        <v>9.7999999999999989</v>
      </c>
      <c r="AK390" s="17"/>
      <c r="AL390" s="49">
        <v>2</v>
      </c>
      <c r="AM390" s="49">
        <v>3</v>
      </c>
      <c r="AN390" s="13">
        <f t="shared" ref="AN390" si="1510">+AN392-AN391</f>
        <v>3.7000000000000064</v>
      </c>
      <c r="AO390" s="13">
        <f t="shared" ref="AO390" si="1511">+AO392-AO391</f>
        <v>6.5000000000000142</v>
      </c>
      <c r="AP390" s="13">
        <f t="shared" ref="AP390" si="1512">+AP392-AP391</f>
        <v>13.399999999999995</v>
      </c>
      <c r="AQ390" s="13">
        <f t="shared" ref="AQ390" si="1513">+AQ392-AQ391</f>
        <v>24.600000000000009</v>
      </c>
    </row>
    <row r="391" spans="2:43" ht="13.5" x14ac:dyDescent="0.35">
      <c r="B391" t="s">
        <v>523</v>
      </c>
      <c r="D391" s="13"/>
      <c r="E391" s="13"/>
      <c r="F391" s="13"/>
      <c r="G391" s="13"/>
      <c r="H391" s="16">
        <f t="shared" ref="H391:X391" si="1514">+H376</f>
        <v>2.1</v>
      </c>
      <c r="I391" s="16">
        <f t="shared" si="1514"/>
        <v>2.9</v>
      </c>
      <c r="J391" s="16">
        <f t="shared" si="1514"/>
        <v>2.5</v>
      </c>
      <c r="K391" s="16">
        <f t="shared" si="1514"/>
        <v>2.5</v>
      </c>
      <c r="L391" s="16">
        <f t="shared" si="1514"/>
        <v>3.3</v>
      </c>
      <c r="M391" s="16">
        <f t="shared" si="1514"/>
        <v>3.7</v>
      </c>
      <c r="N391" s="16">
        <f t="shared" si="1514"/>
        <v>4.2</v>
      </c>
      <c r="O391" s="16">
        <f t="shared" si="1514"/>
        <v>4.5</v>
      </c>
      <c r="P391" s="16">
        <f t="shared" si="1514"/>
        <v>5</v>
      </c>
      <c r="Q391" s="16">
        <f t="shared" si="1514"/>
        <v>5.0999999999999996</v>
      </c>
      <c r="R391" s="16">
        <f t="shared" si="1514"/>
        <v>5.4</v>
      </c>
      <c r="S391" s="16">
        <f t="shared" si="1514"/>
        <v>6</v>
      </c>
      <c r="T391" s="16">
        <f t="shared" si="1514"/>
        <v>6.1</v>
      </c>
      <c r="U391" s="16">
        <f t="shared" si="1514"/>
        <v>6.6</v>
      </c>
      <c r="V391" s="16">
        <f t="shared" si="1514"/>
        <v>6.6</v>
      </c>
      <c r="W391" s="16">
        <f t="shared" si="1514"/>
        <v>4.9000000000000021</v>
      </c>
      <c r="X391" s="16">
        <f t="shared" si="1514"/>
        <v>3.8</v>
      </c>
      <c r="Y391" s="16">
        <f t="shared" ref="Y391" si="1515">+Y376</f>
        <v>4.7</v>
      </c>
      <c r="Z391" s="16">
        <f t="shared" ref="Z391:AD391" si="1516">+Z376</f>
        <v>4.9000000000000004</v>
      </c>
      <c r="AA391" s="16">
        <f t="shared" si="1516"/>
        <v>5.0999999999999996</v>
      </c>
      <c r="AB391" s="16">
        <f t="shared" si="1516"/>
        <v>5.7000000000000011</v>
      </c>
      <c r="AC391" s="16">
        <f t="shared" si="1516"/>
        <v>6.1</v>
      </c>
      <c r="AD391" s="16">
        <f t="shared" si="1516"/>
        <v>6.6</v>
      </c>
      <c r="AE391" s="21"/>
      <c r="AF391" s="21"/>
      <c r="AG391" s="21"/>
      <c r="AH391" s="21"/>
      <c r="AI391" s="21"/>
      <c r="AJ391" s="21"/>
      <c r="AK391" s="18"/>
      <c r="AL391" s="16">
        <f t="shared" ref="AL391:AQ391" si="1517">+AL376</f>
        <v>14.3</v>
      </c>
      <c r="AM391" s="16">
        <f t="shared" si="1517"/>
        <v>10</v>
      </c>
      <c r="AN391" s="16">
        <f t="shared" si="1517"/>
        <v>15.7</v>
      </c>
      <c r="AO391" s="16">
        <f t="shared" si="1517"/>
        <v>21.5</v>
      </c>
      <c r="AP391" s="16">
        <f t="shared" si="1517"/>
        <v>24.2</v>
      </c>
      <c r="AQ391" s="16">
        <f t="shared" si="1517"/>
        <v>18.5</v>
      </c>
    </row>
    <row r="392" spans="2:43" ht="13.5" x14ac:dyDescent="0.35">
      <c r="B392" s="11" t="s">
        <v>524</v>
      </c>
      <c r="D392" s="13"/>
      <c r="E392" s="13"/>
      <c r="F392" s="13"/>
      <c r="G392" s="13"/>
      <c r="H392" s="16">
        <f>+H390+H391</f>
        <v>2.85</v>
      </c>
      <c r="I392" s="16">
        <f t="shared" ref="I392:S392" si="1518">+I390+I391</f>
        <v>3.65</v>
      </c>
      <c r="J392" s="16">
        <f t="shared" si="1518"/>
        <v>3.25</v>
      </c>
      <c r="K392" s="16">
        <f t="shared" si="1518"/>
        <v>3.25</v>
      </c>
      <c r="L392" s="16">
        <f t="shared" si="1518"/>
        <v>4.2250000000000014</v>
      </c>
      <c r="M392" s="16">
        <f t="shared" si="1518"/>
        <v>4.6250000000000018</v>
      </c>
      <c r="N392" s="16">
        <f t="shared" si="1518"/>
        <v>5.1250000000000018</v>
      </c>
      <c r="O392" s="16">
        <f t="shared" si="1518"/>
        <v>5.4250000000000016</v>
      </c>
      <c r="P392" s="16">
        <f t="shared" si="1518"/>
        <v>6.6250000000000036</v>
      </c>
      <c r="Q392" s="16">
        <f t="shared" si="1518"/>
        <v>6.7250000000000032</v>
      </c>
      <c r="R392" s="16">
        <f t="shared" si="1518"/>
        <v>7.0250000000000039</v>
      </c>
      <c r="S392" s="16">
        <f t="shared" si="1518"/>
        <v>7.6250000000000036</v>
      </c>
      <c r="T392" s="16">
        <f t="shared" ref="T392:X392" si="1519">+T393-T389</f>
        <v>8.3000000000000007</v>
      </c>
      <c r="U392" s="16">
        <f t="shared" si="1519"/>
        <v>9.5999999999999979</v>
      </c>
      <c r="V392" s="16">
        <f t="shared" si="1519"/>
        <v>10.400000000000002</v>
      </c>
      <c r="W392" s="16">
        <f t="shared" si="1519"/>
        <v>9.2999999999999901</v>
      </c>
      <c r="X392" s="16">
        <f t="shared" si="1519"/>
        <v>8.9000000000000057</v>
      </c>
      <c r="Y392" s="16">
        <f>+Y393-Y389</f>
        <v>10.3</v>
      </c>
      <c r="Z392" s="16">
        <f t="shared" ref="Z392:AD392" si="1520">+Z393-Z389</f>
        <v>11.399999999999999</v>
      </c>
      <c r="AA392" s="16">
        <f t="shared" si="1520"/>
        <v>12.500000000000007</v>
      </c>
      <c r="AB392" s="16">
        <f t="shared" si="1520"/>
        <v>13.699999999999996</v>
      </c>
      <c r="AC392" s="16">
        <f t="shared" si="1520"/>
        <v>15.100000000000009</v>
      </c>
      <c r="AD392" s="16">
        <f t="shared" si="1520"/>
        <v>16.399999999999999</v>
      </c>
      <c r="AK392" s="17"/>
      <c r="AL392" s="16">
        <f>+AL390+AL391</f>
        <v>16.3</v>
      </c>
      <c r="AM392" s="16">
        <f>+AM390+AM391</f>
        <v>13</v>
      </c>
      <c r="AN392" s="16">
        <f t="shared" ref="AN392" si="1521">+AN393-AN389</f>
        <v>19.400000000000006</v>
      </c>
      <c r="AO392" s="16">
        <f t="shared" ref="AO392" si="1522">+AO393-AO389</f>
        <v>28.000000000000014</v>
      </c>
      <c r="AP392" s="16">
        <f t="shared" ref="AP392" si="1523">+AP393-AP389</f>
        <v>37.599999999999994</v>
      </c>
      <c r="AQ392" s="16">
        <f t="shared" ref="AQ392" si="1524">+AQ393-AQ389</f>
        <v>43.100000000000009</v>
      </c>
    </row>
    <row r="393" spans="2:43" x14ac:dyDescent="0.2">
      <c r="B393" s="40" t="s">
        <v>525</v>
      </c>
      <c r="D393" s="13"/>
      <c r="E393" s="13"/>
      <c r="F393" s="13"/>
      <c r="G393" s="13"/>
      <c r="H393" s="56">
        <f t="shared" ref="H393:AB393" si="1525">+H396</f>
        <v>14.100000000000001</v>
      </c>
      <c r="I393" s="56">
        <f t="shared" si="1525"/>
        <v>14.5</v>
      </c>
      <c r="J393" s="56">
        <f t="shared" si="1525"/>
        <v>15.000000000000002</v>
      </c>
      <c r="K393" s="56">
        <f t="shared" si="1525"/>
        <v>15.2</v>
      </c>
      <c r="L393" s="56">
        <f t="shared" si="1525"/>
        <v>16.200000000000003</v>
      </c>
      <c r="M393" s="56">
        <f t="shared" si="1525"/>
        <v>16.599999999999998</v>
      </c>
      <c r="N393" s="56">
        <f t="shared" si="1525"/>
        <v>17.299999999999997</v>
      </c>
      <c r="O393" s="56">
        <f t="shared" si="1525"/>
        <v>19.100000000000001</v>
      </c>
      <c r="P393" s="56">
        <f t="shared" si="1525"/>
        <v>19.600000000000001</v>
      </c>
      <c r="Q393" s="56">
        <f t="shared" si="1525"/>
        <v>19.2</v>
      </c>
      <c r="R393" s="56">
        <f t="shared" si="1525"/>
        <v>18.5</v>
      </c>
      <c r="S393" s="56">
        <f t="shared" si="1525"/>
        <v>19.899999999999999</v>
      </c>
      <c r="T393" s="56">
        <f t="shared" si="1525"/>
        <v>20.8</v>
      </c>
      <c r="U393" s="56">
        <f t="shared" si="1525"/>
        <v>21.299999999999997</v>
      </c>
      <c r="V393" s="56">
        <f t="shared" si="1525"/>
        <v>33.1</v>
      </c>
      <c r="W393" s="56">
        <f t="shared" si="1525"/>
        <v>40.299999999999997</v>
      </c>
      <c r="X393" s="56">
        <f t="shared" si="1525"/>
        <v>38.900000000000006</v>
      </c>
      <c r="Y393" s="56">
        <f t="shared" si="1525"/>
        <v>40.1</v>
      </c>
      <c r="Z393" s="56">
        <f t="shared" si="1525"/>
        <v>43.5</v>
      </c>
      <c r="AA393" s="56">
        <f t="shared" si="1525"/>
        <v>48.4</v>
      </c>
      <c r="AB393" s="56">
        <f t="shared" si="1525"/>
        <v>51.699999999999996</v>
      </c>
      <c r="AC393" s="56">
        <f>+AC396</f>
        <v>53.900000000000006</v>
      </c>
      <c r="AD393" s="56">
        <f>+AD396</f>
        <v>59.9</v>
      </c>
      <c r="AK393" s="17"/>
      <c r="AL393" s="56">
        <f t="shared" ref="AL393:AQ393" si="1526">+AL396</f>
        <v>67.5</v>
      </c>
      <c r="AM393" s="56">
        <f t="shared" si="1526"/>
        <v>58.800000000000004</v>
      </c>
      <c r="AN393" s="56">
        <f t="shared" si="1526"/>
        <v>69.2</v>
      </c>
      <c r="AO393" s="56">
        <f t="shared" si="1526"/>
        <v>77.200000000000017</v>
      </c>
      <c r="AP393" s="56">
        <f t="shared" si="1526"/>
        <v>115.5</v>
      </c>
      <c r="AQ393" s="56">
        <f t="shared" si="1526"/>
        <v>170.9</v>
      </c>
    </row>
    <row r="394" spans="2:43" x14ac:dyDescent="0.2">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K394" s="17"/>
      <c r="AL394" s="13"/>
      <c r="AM394" s="13"/>
      <c r="AN394" s="13"/>
      <c r="AO394" s="13"/>
      <c r="AP394" s="13"/>
      <c r="AQ394" s="13"/>
    </row>
    <row r="395" spans="2:43" x14ac:dyDescent="0.2">
      <c r="B395" t="s">
        <v>519</v>
      </c>
      <c r="D395" s="13"/>
      <c r="E395" s="13"/>
      <c r="F395" s="13"/>
      <c r="G395" s="13"/>
      <c r="H395" s="13">
        <f>+H385</f>
        <v>0.7</v>
      </c>
      <c r="I395" s="13">
        <f t="shared" ref="I395:AD395" si="1527">+I385</f>
        <v>0.7</v>
      </c>
      <c r="J395" s="13">
        <f t="shared" si="1527"/>
        <v>1.1000000000000001</v>
      </c>
      <c r="K395" s="13">
        <f t="shared" si="1527"/>
        <v>1.2999999999999998</v>
      </c>
      <c r="L395" s="13">
        <f t="shared" si="1527"/>
        <v>1.4</v>
      </c>
      <c r="M395" s="13">
        <f t="shared" si="1527"/>
        <v>1.3</v>
      </c>
      <c r="N395" s="13">
        <f t="shared" si="1527"/>
        <v>6.9</v>
      </c>
      <c r="O395" s="13">
        <f t="shared" si="1527"/>
        <v>5.3999999999999995</v>
      </c>
      <c r="P395" s="13">
        <f t="shared" si="1527"/>
        <v>5.7</v>
      </c>
      <c r="Q395" s="13">
        <f t="shared" si="1527"/>
        <v>6.5</v>
      </c>
      <c r="R395" s="13">
        <f t="shared" si="1527"/>
        <v>7.3</v>
      </c>
      <c r="S395" s="13">
        <f t="shared" si="1527"/>
        <v>7.7000000000000011</v>
      </c>
      <c r="T395" s="13">
        <f t="shared" si="1527"/>
        <v>8.3000000000000007</v>
      </c>
      <c r="U395" s="13">
        <f t="shared" si="1527"/>
        <v>8.6</v>
      </c>
      <c r="V395" s="13">
        <f t="shared" si="1527"/>
        <v>9.5</v>
      </c>
      <c r="W395" s="13">
        <f t="shared" si="1527"/>
        <v>7.2</v>
      </c>
      <c r="X395" s="13">
        <f t="shared" si="1527"/>
        <v>8.6999999999999993</v>
      </c>
      <c r="Y395" s="13">
        <f t="shared" si="1527"/>
        <v>9.8999999999999986</v>
      </c>
      <c r="Z395" s="13">
        <f t="shared" si="1527"/>
        <v>11.600000000000001</v>
      </c>
      <c r="AA395" s="13">
        <f t="shared" si="1527"/>
        <v>13.5</v>
      </c>
      <c r="AB395" s="13">
        <f t="shared" si="1527"/>
        <v>14.4</v>
      </c>
      <c r="AC395" s="13">
        <f t="shared" si="1527"/>
        <v>15.8</v>
      </c>
      <c r="AD395" s="13">
        <f t="shared" si="1527"/>
        <v>17.399999999999999</v>
      </c>
      <c r="AK395" s="17"/>
      <c r="AL395" s="13">
        <f t="shared" ref="AL395:AQ395" si="1528">+AL385</f>
        <v>3.5</v>
      </c>
      <c r="AM395" s="13">
        <f t="shared" si="1528"/>
        <v>3.8</v>
      </c>
      <c r="AN395" s="13">
        <f t="shared" si="1528"/>
        <v>15</v>
      </c>
      <c r="AO395" s="13">
        <f t="shared" si="1528"/>
        <v>27.199999999999996</v>
      </c>
      <c r="AP395" s="13">
        <f t="shared" si="1528"/>
        <v>33.6</v>
      </c>
      <c r="AQ395" s="13">
        <f t="shared" si="1528"/>
        <v>43.699999999999996</v>
      </c>
    </row>
    <row r="396" spans="2:43" ht="13.5" x14ac:dyDescent="0.35">
      <c r="B396" t="s">
        <v>525</v>
      </c>
      <c r="D396" s="13"/>
      <c r="E396" s="13"/>
      <c r="F396" s="13"/>
      <c r="G396" s="13"/>
      <c r="H396" s="16">
        <f>+H397-H395</f>
        <v>14.100000000000001</v>
      </c>
      <c r="I396" s="16">
        <f t="shared" ref="I396:AD396" si="1529">+I397-I395</f>
        <v>14.5</v>
      </c>
      <c r="J396" s="16">
        <f t="shared" si="1529"/>
        <v>15.000000000000002</v>
      </c>
      <c r="K396" s="16">
        <f t="shared" si="1529"/>
        <v>15.2</v>
      </c>
      <c r="L396" s="16">
        <f t="shared" si="1529"/>
        <v>16.200000000000003</v>
      </c>
      <c r="M396" s="16">
        <f t="shared" si="1529"/>
        <v>16.599999999999998</v>
      </c>
      <c r="N396" s="16">
        <f t="shared" si="1529"/>
        <v>17.299999999999997</v>
      </c>
      <c r="O396" s="16">
        <f t="shared" si="1529"/>
        <v>19.100000000000001</v>
      </c>
      <c r="P396" s="16">
        <f t="shared" si="1529"/>
        <v>19.600000000000001</v>
      </c>
      <c r="Q396" s="16">
        <f t="shared" si="1529"/>
        <v>19.2</v>
      </c>
      <c r="R396" s="16">
        <f t="shared" si="1529"/>
        <v>18.5</v>
      </c>
      <c r="S396" s="16">
        <f t="shared" si="1529"/>
        <v>19.899999999999999</v>
      </c>
      <c r="T396" s="16">
        <f t="shared" si="1529"/>
        <v>20.8</v>
      </c>
      <c r="U396" s="16">
        <f t="shared" si="1529"/>
        <v>21.299999999999997</v>
      </c>
      <c r="V396" s="16">
        <f t="shared" si="1529"/>
        <v>33.1</v>
      </c>
      <c r="W396" s="16">
        <f t="shared" si="1529"/>
        <v>40.299999999999997</v>
      </c>
      <c r="X396" s="16">
        <f t="shared" si="1529"/>
        <v>38.900000000000006</v>
      </c>
      <c r="Y396" s="16">
        <f t="shared" si="1529"/>
        <v>40.1</v>
      </c>
      <c r="Z396" s="16">
        <f t="shared" si="1529"/>
        <v>43.5</v>
      </c>
      <c r="AA396" s="16">
        <f t="shared" si="1529"/>
        <v>48.4</v>
      </c>
      <c r="AB396" s="16">
        <f t="shared" si="1529"/>
        <v>51.699999999999996</v>
      </c>
      <c r="AC396" s="16">
        <f t="shared" si="1529"/>
        <v>53.900000000000006</v>
      </c>
      <c r="AD396" s="16">
        <f t="shared" si="1529"/>
        <v>59.9</v>
      </c>
      <c r="AK396" s="17"/>
      <c r="AL396" s="16">
        <f t="shared" ref="AL396" si="1530">+AL397-AL395</f>
        <v>67.5</v>
      </c>
      <c r="AM396" s="16">
        <f t="shared" ref="AM396" si="1531">+AM397-AM395</f>
        <v>58.800000000000004</v>
      </c>
      <c r="AN396" s="16">
        <f t="shared" ref="AN396" si="1532">+AN397-AN395</f>
        <v>69.2</v>
      </c>
      <c r="AO396" s="16">
        <f t="shared" ref="AO396" si="1533">+AO397-AO395</f>
        <v>77.200000000000017</v>
      </c>
      <c r="AP396" s="16">
        <f t="shared" ref="AP396" si="1534">+AP397-AP395</f>
        <v>115.5</v>
      </c>
      <c r="AQ396" s="16">
        <f t="shared" ref="AQ396" si="1535">+AQ397-AQ395</f>
        <v>170.9</v>
      </c>
    </row>
    <row r="397" spans="2:43" x14ac:dyDescent="0.2">
      <c r="B397" s="31" t="s">
        <v>526</v>
      </c>
      <c r="H397" s="56">
        <f>+H330</f>
        <v>14.8</v>
      </c>
      <c r="I397" s="56">
        <f t="shared" ref="I397:AD397" si="1536">+I330</f>
        <v>15.2</v>
      </c>
      <c r="J397" s="56">
        <f t="shared" si="1536"/>
        <v>16.100000000000001</v>
      </c>
      <c r="K397" s="56">
        <f t="shared" si="1536"/>
        <v>16.5</v>
      </c>
      <c r="L397" s="56">
        <f t="shared" si="1536"/>
        <v>17.600000000000001</v>
      </c>
      <c r="M397" s="56">
        <f t="shared" si="1536"/>
        <v>17.899999999999999</v>
      </c>
      <c r="N397" s="56">
        <f t="shared" si="1536"/>
        <v>24.2</v>
      </c>
      <c r="O397" s="56">
        <f t="shared" si="1536"/>
        <v>24.5</v>
      </c>
      <c r="P397" s="56">
        <f t="shared" si="1536"/>
        <v>25.3</v>
      </c>
      <c r="Q397" s="56">
        <f t="shared" si="1536"/>
        <v>25.7</v>
      </c>
      <c r="R397" s="56">
        <f t="shared" si="1536"/>
        <v>25.8</v>
      </c>
      <c r="S397" s="56">
        <f t="shared" si="1536"/>
        <v>27.6</v>
      </c>
      <c r="T397" s="56">
        <f t="shared" si="1536"/>
        <v>29.1</v>
      </c>
      <c r="U397" s="56">
        <f t="shared" si="1536"/>
        <v>29.9</v>
      </c>
      <c r="V397" s="56">
        <f t="shared" si="1536"/>
        <v>42.6</v>
      </c>
      <c r="W397" s="56">
        <f t="shared" si="1536"/>
        <v>47.5</v>
      </c>
      <c r="X397" s="56">
        <f t="shared" si="1536"/>
        <v>47.6</v>
      </c>
      <c r="Y397" s="56">
        <f t="shared" si="1536"/>
        <v>50</v>
      </c>
      <c r="Z397" s="56">
        <f t="shared" si="1536"/>
        <v>55.1</v>
      </c>
      <c r="AA397" s="56">
        <f t="shared" si="1536"/>
        <v>61.9</v>
      </c>
      <c r="AB397" s="56">
        <f t="shared" si="1536"/>
        <v>66.099999999999994</v>
      </c>
      <c r="AC397" s="56">
        <f t="shared" si="1536"/>
        <v>69.7</v>
      </c>
      <c r="AD397" s="56">
        <f t="shared" si="1536"/>
        <v>77.3</v>
      </c>
      <c r="AL397" s="56">
        <f t="shared" ref="AL397:AQ397" si="1537">+AL330</f>
        <v>71</v>
      </c>
      <c r="AM397" s="56">
        <f t="shared" si="1537"/>
        <v>62.6</v>
      </c>
      <c r="AN397" s="56">
        <f t="shared" si="1537"/>
        <v>84.2</v>
      </c>
      <c r="AO397" s="56">
        <f t="shared" si="1537"/>
        <v>104.4</v>
      </c>
      <c r="AP397" s="56">
        <f t="shared" si="1537"/>
        <v>149.1</v>
      </c>
      <c r="AQ397" s="56">
        <f t="shared" si="1537"/>
        <v>214.6</v>
      </c>
    </row>
    <row r="398" spans="2:43" x14ac:dyDescent="0.2">
      <c r="B398" s="31"/>
    </row>
    <row r="399" spans="2:43" x14ac:dyDescent="0.2">
      <c r="B399" s="10" t="s">
        <v>83</v>
      </c>
      <c r="C399" s="9"/>
    </row>
    <row r="401" spans="2:43" x14ac:dyDescent="0.2">
      <c r="B401" s="1" t="s">
        <v>84</v>
      </c>
      <c r="H401" s="13"/>
      <c r="I401" s="13"/>
      <c r="J401" s="13"/>
      <c r="K401" s="13"/>
      <c r="L401" s="13"/>
      <c r="M401" s="13"/>
      <c r="N401" s="13"/>
      <c r="O401" s="13"/>
      <c r="P401" s="13"/>
      <c r="Q401" s="13"/>
      <c r="R401" s="13"/>
      <c r="S401" s="13"/>
      <c r="T401" s="13"/>
      <c r="U401" s="13"/>
      <c r="AM401" s="13"/>
      <c r="AN401" s="13"/>
      <c r="AO401" s="13"/>
    </row>
    <row r="402" spans="2:43" x14ac:dyDescent="0.2">
      <c r="B402" t="s">
        <v>85</v>
      </c>
      <c r="D402" s="14">
        <v>-13.867241121827837</v>
      </c>
      <c r="E402" s="14">
        <v>-18.454119878172161</v>
      </c>
      <c r="F402" s="14">
        <v>-10.789052999999999</v>
      </c>
      <c r="G402" s="14">
        <v>-6.778435</v>
      </c>
      <c r="H402" s="17">
        <f>+H470</f>
        <v>-13.5</v>
      </c>
      <c r="I402" s="17">
        <f>+IFERROR(I470-H470,"n/a")</f>
        <v>-8.1999999999999993</v>
      </c>
      <c r="J402" s="17">
        <f t="shared" ref="J402:K402" si="1538">+IFERROR(J470-I470,"n/a")</f>
        <v>-22.599999999999998</v>
      </c>
      <c r="K402" s="17">
        <f t="shared" si="1538"/>
        <v>-12.300000000000004</v>
      </c>
      <c r="L402" s="17">
        <f>+L470</f>
        <v>-5.0999999999999996</v>
      </c>
      <c r="M402" s="17">
        <f>+IFERROR(M470-L470,"n/a")</f>
        <v>-74.800000000000011</v>
      </c>
      <c r="N402" s="17">
        <f t="shared" ref="N402:O402" si="1539">+IFERROR(N470-M470,"n/a")</f>
        <v>-9.7999999999999972</v>
      </c>
      <c r="O402" s="17">
        <f t="shared" si="1539"/>
        <v>-21.700000000000003</v>
      </c>
      <c r="P402" s="17">
        <f>+P470</f>
        <v>-51</v>
      </c>
      <c r="Q402" s="17">
        <f>+IFERROR(Q470-P470,"n/a")</f>
        <v>4.5</v>
      </c>
      <c r="R402" s="17">
        <f t="shared" ref="R402:S402" si="1540">+IFERROR(R470-Q470,"n/a")</f>
        <v>-13.799999999999997</v>
      </c>
      <c r="S402" s="17">
        <f t="shared" si="1540"/>
        <v>-13.700000000000003</v>
      </c>
      <c r="T402" s="17">
        <f>+T470</f>
        <v>-13.2</v>
      </c>
      <c r="U402" s="17">
        <f>+IFERROR(U470-T470,"n/a")</f>
        <v>15</v>
      </c>
      <c r="V402" s="17">
        <f t="shared" ref="V402:W402" si="1541">+IFERROR(V470-U470,"n/a")</f>
        <v>46.400000000000006</v>
      </c>
      <c r="W402" s="17">
        <f t="shared" si="1541"/>
        <v>38.5</v>
      </c>
      <c r="X402" s="17">
        <f>+X470</f>
        <v>20.399999999999999</v>
      </c>
      <c r="Y402" s="17">
        <f>+IFERROR(Y470-X470,"n/a")</f>
        <v>36.800000000000004</v>
      </c>
      <c r="Z402" s="17">
        <f t="shared" ref="Z402:AA402" si="1542">+IFERROR(Z470-Y470,"n/a")</f>
        <v>46.5</v>
      </c>
      <c r="AA402" s="17">
        <f t="shared" si="1542"/>
        <v>19.200000000000003</v>
      </c>
      <c r="AB402" s="17">
        <f>+AB470</f>
        <v>28.5</v>
      </c>
      <c r="AC402" s="17">
        <f>+IFERROR(AC470-AB470,"n/a")</f>
        <v>54.5</v>
      </c>
      <c r="AD402" s="17">
        <f>+IFERROR(AD470-AC470,"n/a")</f>
        <v>72.199999999999989</v>
      </c>
      <c r="AK402" s="17">
        <f>+AK470</f>
        <v>-49.9</v>
      </c>
      <c r="AL402" s="17">
        <f>+AL470</f>
        <v>-55.4</v>
      </c>
      <c r="AM402" s="17">
        <f>+AM470</f>
        <v>-56.6</v>
      </c>
      <c r="AN402" s="17">
        <f t="shared" ref="AN402:AO402" si="1543">+AN470</f>
        <v>-111.4</v>
      </c>
      <c r="AO402" s="17">
        <f t="shared" si="1543"/>
        <v>-74</v>
      </c>
      <c r="AP402" s="17">
        <f t="shared" ref="AP402:AQ402" si="1544">+AP470</f>
        <v>86.7</v>
      </c>
      <c r="AQ402" s="17">
        <f t="shared" si="1544"/>
        <v>122.9</v>
      </c>
    </row>
    <row r="403" spans="2:43" x14ac:dyDescent="0.2">
      <c r="B403" t="s">
        <v>86</v>
      </c>
      <c r="D403" s="14"/>
      <c r="E403" s="14"/>
      <c r="F403" s="14"/>
      <c r="G403" s="14"/>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K403" s="17"/>
      <c r="AL403" s="17"/>
      <c r="AM403" s="17"/>
      <c r="AN403" s="17"/>
      <c r="AO403" s="17"/>
      <c r="AP403" s="17"/>
      <c r="AQ403" s="17"/>
    </row>
    <row r="404" spans="2:43" x14ac:dyDescent="0.2">
      <c r="B404" s="11" t="s">
        <v>87</v>
      </c>
      <c r="D404" s="14">
        <v>16.573917000000002</v>
      </c>
      <c r="E404" s="14">
        <v>16.187056999999999</v>
      </c>
      <c r="F404" s="14">
        <v>16.531369999999999</v>
      </c>
      <c r="G404" s="14">
        <v>16.924876000000001</v>
      </c>
      <c r="H404" s="17">
        <f t="shared" ref="H404:H406" si="1545">+H472</f>
        <v>14.9</v>
      </c>
      <c r="I404" s="153">
        <f t="shared" ref="I404:K404" si="1546">+IFERROR(I472-H472,"n/a")</f>
        <v>15.299999999999999</v>
      </c>
      <c r="J404" s="153">
        <f t="shared" si="1546"/>
        <v>16.099999999999998</v>
      </c>
      <c r="K404" s="153">
        <f t="shared" si="1546"/>
        <v>16.300000000000004</v>
      </c>
      <c r="L404" s="17">
        <f t="shared" ref="L404:L406" si="1547">+L472</f>
        <v>17.600000000000001</v>
      </c>
      <c r="M404" s="153">
        <f t="shared" ref="M404:O404" si="1548">+IFERROR(M472-L472,"n/a")</f>
        <v>17.899999999999999</v>
      </c>
      <c r="N404" s="153">
        <f t="shared" si="1548"/>
        <v>24.200000000000003</v>
      </c>
      <c r="O404" s="153">
        <f t="shared" si="1548"/>
        <v>24.5</v>
      </c>
      <c r="P404" s="17">
        <f t="shared" ref="P404:P406" si="1549">+P472</f>
        <v>25.3</v>
      </c>
      <c r="Q404" s="153">
        <f t="shared" ref="Q404:S404" si="1550">+IFERROR(Q472-P472,"n/a")</f>
        <v>25.7</v>
      </c>
      <c r="R404" s="153">
        <f t="shared" si="1550"/>
        <v>25.799999999999997</v>
      </c>
      <c r="S404" s="153">
        <f t="shared" si="1550"/>
        <v>27.600000000000009</v>
      </c>
      <c r="T404" s="17">
        <f t="shared" ref="T404:T406" si="1551">+T472</f>
        <v>29.1</v>
      </c>
      <c r="U404" s="153">
        <f t="shared" ref="U404:W405" si="1552">+IFERROR(U472-T472,"n/a")</f>
        <v>29.9</v>
      </c>
      <c r="V404" s="153">
        <f t="shared" si="1552"/>
        <v>42.599999999999994</v>
      </c>
      <c r="W404" s="153">
        <f t="shared" si="1552"/>
        <v>47.5</v>
      </c>
      <c r="X404" s="17">
        <f t="shared" ref="X404:X406" si="1553">+X472</f>
        <v>47.6</v>
      </c>
      <c r="Y404" s="153">
        <f t="shared" ref="Y404:Y405" si="1554">+IFERROR(Y472-X472,"n/a")</f>
        <v>49.999999999999993</v>
      </c>
      <c r="Z404" s="153">
        <f t="shared" ref="Z404:Z415" si="1555">+IFERROR(Z472-Y472,"n/a")</f>
        <v>55.099999999999994</v>
      </c>
      <c r="AA404" s="153">
        <f t="shared" ref="AA404:AA415" si="1556">+IFERROR(AA472-Z472,"n/a")</f>
        <v>61.900000000000006</v>
      </c>
      <c r="AB404" s="17">
        <f t="shared" ref="AB404:AB406" si="1557">+AB472</f>
        <v>66.099999999999994</v>
      </c>
      <c r="AC404" s="153">
        <f t="shared" ref="AC404:AD415" si="1558">+IFERROR(AC472-AB472,"n/a")</f>
        <v>69.700000000000017</v>
      </c>
      <c r="AD404" s="153">
        <f t="shared" si="1558"/>
        <v>77.299999999999983</v>
      </c>
      <c r="AK404" s="17">
        <f t="shared" ref="AK404:AL404" si="1559">+AK472</f>
        <v>66.2</v>
      </c>
      <c r="AL404" s="17">
        <f t="shared" si="1559"/>
        <v>70.8</v>
      </c>
      <c r="AM404" s="17">
        <f t="shared" ref="AM404:AO406" si="1560">+AM472</f>
        <v>62.6</v>
      </c>
      <c r="AN404" s="17">
        <f t="shared" si="1560"/>
        <v>84.2</v>
      </c>
      <c r="AO404" s="17">
        <f t="shared" si="1560"/>
        <v>104.4</v>
      </c>
      <c r="AP404" s="17">
        <f t="shared" ref="AP404:AQ404" si="1561">+AP472</f>
        <v>149.1</v>
      </c>
      <c r="AQ404" s="17">
        <f t="shared" si="1561"/>
        <v>214.6</v>
      </c>
    </row>
    <row r="405" spans="2:43" x14ac:dyDescent="0.2">
      <c r="B405" s="11" t="s">
        <v>88</v>
      </c>
      <c r="D405" s="14">
        <v>0.93477900000000003</v>
      </c>
      <c r="E405" s="14">
        <v>0.93477900000000003</v>
      </c>
      <c r="F405" s="14">
        <v>0.93477900000000003</v>
      </c>
      <c r="G405" s="14">
        <v>0.93477900000000003</v>
      </c>
      <c r="H405" s="17">
        <f t="shared" si="1545"/>
        <v>0.9</v>
      </c>
      <c r="I405" s="153">
        <f t="shared" ref="I405:K405" si="1562">+IFERROR(I473-H473,"n/a")</f>
        <v>0.99999999999999989</v>
      </c>
      <c r="J405" s="153">
        <f t="shared" si="1562"/>
        <v>0.89999999999999991</v>
      </c>
      <c r="K405" s="153">
        <f t="shared" si="1562"/>
        <v>1.2000000000000002</v>
      </c>
      <c r="L405" s="17">
        <f t="shared" si="1547"/>
        <v>1.1000000000000001</v>
      </c>
      <c r="M405" s="153">
        <f t="shared" ref="M405:O405" si="1563">+IFERROR(M473-L473,"n/a")</f>
        <v>1</v>
      </c>
      <c r="N405" s="153">
        <f t="shared" si="1563"/>
        <v>0.79999999999999982</v>
      </c>
      <c r="O405" s="153">
        <f t="shared" si="1563"/>
        <v>2.5000000000000004</v>
      </c>
      <c r="P405" s="17">
        <f t="shared" si="1549"/>
        <v>1.2</v>
      </c>
      <c r="Q405" s="153">
        <f t="shared" ref="Q405:S405" si="1564">+IFERROR(Q473-P473,"n/a")</f>
        <v>1.2</v>
      </c>
      <c r="R405" s="153">
        <f t="shared" si="1564"/>
        <v>1.6999999999999997</v>
      </c>
      <c r="S405" s="153">
        <f t="shared" si="1564"/>
        <v>1.8000000000000007</v>
      </c>
      <c r="T405" s="17">
        <f t="shared" si="1551"/>
        <v>1.9</v>
      </c>
      <c r="U405" s="153">
        <f t="shared" si="1552"/>
        <v>2</v>
      </c>
      <c r="V405" s="153">
        <f t="shared" si="1552"/>
        <v>2.1</v>
      </c>
      <c r="W405" s="153">
        <f t="shared" si="1552"/>
        <v>2.0999999999999996</v>
      </c>
      <c r="X405" s="17">
        <f t="shared" si="1553"/>
        <v>2.1</v>
      </c>
      <c r="Y405" s="153">
        <f t="shared" si="1554"/>
        <v>1.9999999999999996</v>
      </c>
      <c r="Z405" s="153">
        <f t="shared" si="1555"/>
        <v>2.1000000000000005</v>
      </c>
      <c r="AA405" s="153">
        <f t="shared" si="1556"/>
        <v>2.1000000000000005</v>
      </c>
      <c r="AB405" s="17">
        <f t="shared" si="1557"/>
        <v>2.1</v>
      </c>
      <c r="AC405" s="153">
        <f t="shared" si="1558"/>
        <v>1.9999999999999996</v>
      </c>
      <c r="AD405" s="153">
        <f t="shared" si="1558"/>
        <v>2.5</v>
      </c>
      <c r="AK405" s="17">
        <f t="shared" ref="AK405:AL406" si="1565">+AK473</f>
        <v>3.7</v>
      </c>
      <c r="AL405" s="17">
        <f t="shared" si="1565"/>
        <v>3.7</v>
      </c>
      <c r="AM405" s="17">
        <f t="shared" si="1560"/>
        <v>4</v>
      </c>
      <c r="AN405" s="17">
        <f t="shared" si="1560"/>
        <v>5.4</v>
      </c>
      <c r="AO405" s="17">
        <f t="shared" si="1560"/>
        <v>5.9</v>
      </c>
      <c r="AP405" s="17">
        <f t="shared" ref="AP405:AQ406" si="1566">+AP473</f>
        <v>8.1</v>
      </c>
      <c r="AQ405" s="17">
        <f t="shared" si="1566"/>
        <v>8.3000000000000007</v>
      </c>
    </row>
    <row r="406" spans="2:43" x14ac:dyDescent="0.2">
      <c r="B406" s="11" t="s">
        <v>263</v>
      </c>
      <c r="D406" s="14">
        <v>0</v>
      </c>
      <c r="E406" s="14">
        <v>0</v>
      </c>
      <c r="F406" s="14">
        <v>0</v>
      </c>
      <c r="G406" s="14">
        <v>0</v>
      </c>
      <c r="H406" s="17">
        <f t="shared" si="1545"/>
        <v>0</v>
      </c>
      <c r="I406" s="153">
        <f t="shared" ref="I406" si="1567">+IFERROR(I474-H474,"n/a")</f>
        <v>0</v>
      </c>
      <c r="J406" s="153">
        <f t="shared" ref="J406" si="1568">+IFERROR(J474-I474,"n/a")</f>
        <v>0</v>
      </c>
      <c r="K406" s="153">
        <f t="shared" ref="K406" si="1569">+IFERROR(K474-J474,"n/a")</f>
        <v>0</v>
      </c>
      <c r="L406" s="17">
        <f t="shared" si="1547"/>
        <v>0</v>
      </c>
      <c r="M406" s="153">
        <f t="shared" ref="M406" si="1570">+IFERROR(M474-L474,"n/a")</f>
        <v>0</v>
      </c>
      <c r="N406" s="153">
        <f t="shared" ref="N406" si="1571">+IFERROR(N474-M474,"n/a")</f>
        <v>0</v>
      </c>
      <c r="O406" s="153">
        <f t="shared" ref="O406" si="1572">+IFERROR(O474-N474,"n/a")</f>
        <v>0</v>
      </c>
      <c r="P406" s="17">
        <f t="shared" si="1549"/>
        <v>0</v>
      </c>
      <c r="Q406" s="153">
        <f t="shared" ref="Q406" si="1573">+IFERROR(Q474-P474,"n/a")</f>
        <v>0</v>
      </c>
      <c r="R406" s="153">
        <f t="shared" ref="R406" si="1574">+IFERROR(R474-Q474,"n/a")</f>
        <v>0</v>
      </c>
      <c r="S406" s="153">
        <f t="shared" ref="S406" si="1575">+IFERROR(S474-R474,"n/a")</f>
        <v>0</v>
      </c>
      <c r="T406" s="17">
        <f t="shared" si="1551"/>
        <v>0</v>
      </c>
      <c r="U406" s="153">
        <f t="shared" ref="U406" si="1576">+IFERROR(U474-T474,"n/a")</f>
        <v>0</v>
      </c>
      <c r="V406" s="153">
        <f t="shared" ref="V406" si="1577">+IFERROR(V474-U474,"n/a")</f>
        <v>0</v>
      </c>
      <c r="W406" s="153">
        <f t="shared" ref="W406" si="1578">+IFERROR(W474-V474,"n/a")</f>
        <v>0</v>
      </c>
      <c r="X406" s="17">
        <f t="shared" si="1553"/>
        <v>0</v>
      </c>
      <c r="Y406" s="153">
        <f t="shared" ref="Y406" si="1579">+IFERROR(Y474-X474,"n/a")</f>
        <v>0</v>
      </c>
      <c r="Z406" s="153">
        <f t="shared" si="1555"/>
        <v>0</v>
      </c>
      <c r="AA406" s="153">
        <f t="shared" si="1556"/>
        <v>18.600000000000001</v>
      </c>
      <c r="AB406" s="17">
        <f t="shared" si="1557"/>
        <v>0</v>
      </c>
      <c r="AC406" s="153">
        <f t="shared" si="1558"/>
        <v>0</v>
      </c>
      <c r="AD406" s="153">
        <f t="shared" si="1558"/>
        <v>0</v>
      </c>
      <c r="AK406" s="17">
        <f t="shared" si="1565"/>
        <v>0</v>
      </c>
      <c r="AL406" s="17">
        <f t="shared" si="1565"/>
        <v>0</v>
      </c>
      <c r="AM406" s="17">
        <f t="shared" si="1560"/>
        <v>0</v>
      </c>
      <c r="AN406" s="17">
        <f t="shared" si="1560"/>
        <v>0</v>
      </c>
      <c r="AO406" s="17">
        <f t="shared" si="1560"/>
        <v>0</v>
      </c>
      <c r="AP406" s="17">
        <f t="shared" si="1566"/>
        <v>0</v>
      </c>
      <c r="AQ406" s="17">
        <f t="shared" si="1566"/>
        <v>0</v>
      </c>
    </row>
    <row r="407" spans="2:43" x14ac:dyDescent="0.2">
      <c r="B407" s="11" t="s">
        <v>22</v>
      </c>
      <c r="D407" s="14">
        <v>0</v>
      </c>
      <c r="E407" s="14">
        <v>0</v>
      </c>
      <c r="F407" s="14">
        <v>0</v>
      </c>
      <c r="G407" s="14">
        <v>0</v>
      </c>
      <c r="H407" s="17">
        <f t="shared" ref="H407:H415" si="1580">+H475</f>
        <v>0</v>
      </c>
      <c r="I407" s="153">
        <f t="shared" ref="I407:K407" si="1581">+IFERROR(I475-H475,"n/a")</f>
        <v>0</v>
      </c>
      <c r="J407" s="153">
        <f t="shared" si="1581"/>
        <v>0</v>
      </c>
      <c r="K407" s="153">
        <f t="shared" si="1581"/>
        <v>0</v>
      </c>
      <c r="L407" s="17">
        <f t="shared" ref="L407:L415" si="1582">+L475</f>
        <v>0</v>
      </c>
      <c r="M407" s="153">
        <f t="shared" ref="M407:O407" si="1583">+IFERROR(M475-L475,"n/a")</f>
        <v>7.1</v>
      </c>
      <c r="N407" s="153">
        <f t="shared" si="1583"/>
        <v>0</v>
      </c>
      <c r="O407" s="153">
        <f t="shared" si="1583"/>
        <v>9.5000000000000018</v>
      </c>
      <c r="P407" s="17">
        <f t="shared" ref="P407:P415" si="1584">+P475</f>
        <v>0.2</v>
      </c>
      <c r="Q407" s="153">
        <f t="shared" ref="Q407:S407" si="1585">+IFERROR(Q475-P475,"n/a")</f>
        <v>0</v>
      </c>
      <c r="R407" s="153">
        <f t="shared" si="1585"/>
        <v>0</v>
      </c>
      <c r="S407" s="153">
        <f t="shared" si="1585"/>
        <v>0</v>
      </c>
      <c r="T407" s="17">
        <f t="shared" ref="T407:T415" si="1586">+T475</f>
        <v>0</v>
      </c>
      <c r="U407" s="153">
        <f t="shared" ref="U407:W415" si="1587">+IFERROR(U475-T475,"n/a")</f>
        <v>0</v>
      </c>
      <c r="V407" s="153">
        <f t="shared" si="1587"/>
        <v>0</v>
      </c>
      <c r="W407" s="153">
        <f t="shared" si="1587"/>
        <v>0</v>
      </c>
      <c r="X407" s="17">
        <f t="shared" ref="X407:X415" si="1588">+X475</f>
        <v>0</v>
      </c>
      <c r="Y407" s="153">
        <f t="shared" ref="Y407:Y415" si="1589">+IFERROR(Y475-X475,"n/a")</f>
        <v>0</v>
      </c>
      <c r="Z407" s="153">
        <f t="shared" si="1555"/>
        <v>0</v>
      </c>
      <c r="AA407" s="153">
        <f t="shared" si="1556"/>
        <v>0</v>
      </c>
      <c r="AB407" s="17">
        <f t="shared" ref="AB407:AB415" si="1590">+AB475</f>
        <v>0</v>
      </c>
      <c r="AC407" s="153">
        <f t="shared" si="1558"/>
        <v>0</v>
      </c>
      <c r="AD407" s="153">
        <f t="shared" si="1558"/>
        <v>0</v>
      </c>
      <c r="AK407" s="17">
        <f t="shared" ref="AK407:AL407" si="1591">+AK475</f>
        <v>0</v>
      </c>
      <c r="AL407" s="17">
        <f t="shared" si="1591"/>
        <v>0</v>
      </c>
      <c r="AM407" s="17">
        <f t="shared" ref="AM407:AO412" si="1592">+AM475</f>
        <v>0</v>
      </c>
      <c r="AN407" s="17">
        <f t="shared" si="1592"/>
        <v>16.600000000000001</v>
      </c>
      <c r="AO407" s="17">
        <f t="shared" si="1592"/>
        <v>0.2</v>
      </c>
      <c r="AP407" s="17">
        <f t="shared" ref="AP407:AQ407" si="1593">+AP475</f>
        <v>0</v>
      </c>
      <c r="AQ407" s="17">
        <f t="shared" si="1593"/>
        <v>0</v>
      </c>
    </row>
    <row r="408" spans="2:43" x14ac:dyDescent="0.2">
      <c r="B408" s="11" t="s">
        <v>89</v>
      </c>
      <c r="D408" s="14">
        <v>-1.6486798681721622</v>
      </c>
      <c r="E408" s="14">
        <v>-2.5756061318278376</v>
      </c>
      <c r="F408" s="14">
        <v>-0.39348499999999997</v>
      </c>
      <c r="G408" s="14">
        <v>0.77939800000000004</v>
      </c>
      <c r="H408" s="17">
        <f t="shared" si="1580"/>
        <v>0.1</v>
      </c>
      <c r="I408" s="153">
        <f t="shared" ref="I408:K408" si="1594">+IFERROR(I476-H476,"n/a")</f>
        <v>0.30000000000000004</v>
      </c>
      <c r="J408" s="153">
        <f t="shared" si="1594"/>
        <v>-0.10000000000000003</v>
      </c>
      <c r="K408" s="153">
        <f t="shared" si="1594"/>
        <v>-9.9999999999999978E-2</v>
      </c>
      <c r="L408" s="17">
        <f t="shared" si="1582"/>
        <v>-0.6</v>
      </c>
      <c r="M408" s="153">
        <f t="shared" ref="M408:O408" si="1595">+IFERROR(M476-L476,"n/a")</f>
        <v>0.19999999999999996</v>
      </c>
      <c r="N408" s="153">
        <f t="shared" si="1595"/>
        <v>1.5</v>
      </c>
      <c r="O408" s="153">
        <f t="shared" si="1595"/>
        <v>-2.4000000000000004</v>
      </c>
      <c r="P408" s="17">
        <f t="shared" si="1584"/>
        <v>-0.1</v>
      </c>
      <c r="Q408" s="153">
        <f t="shared" ref="Q408:S408" si="1596">+IFERROR(Q476-P476,"n/a")</f>
        <v>-2.1999999999999997</v>
      </c>
      <c r="R408" s="153">
        <f t="shared" si="1596"/>
        <v>-2</v>
      </c>
      <c r="S408" s="153">
        <f t="shared" si="1596"/>
        <v>1.7999999999999998</v>
      </c>
      <c r="T408" s="17">
        <f t="shared" si="1586"/>
        <v>-6.3</v>
      </c>
      <c r="U408" s="153">
        <f t="shared" si="1587"/>
        <v>0.79999999999999982</v>
      </c>
      <c r="V408" s="153">
        <f t="shared" si="1587"/>
        <v>1.0999999999999996</v>
      </c>
      <c r="W408" s="153">
        <f t="shared" si="1587"/>
        <v>2.3000000000000003</v>
      </c>
      <c r="X408" s="17">
        <f t="shared" si="1588"/>
        <v>-5.6</v>
      </c>
      <c r="Y408" s="153">
        <f t="shared" si="1589"/>
        <v>-2.8000000000000007</v>
      </c>
      <c r="Z408" s="153">
        <f t="shared" si="1555"/>
        <v>-0.19999999999999929</v>
      </c>
      <c r="AA408" s="153">
        <f t="shared" si="1556"/>
        <v>0.5</v>
      </c>
      <c r="AB408" s="17">
        <f t="shared" si="1590"/>
        <v>0</v>
      </c>
      <c r="AC408" s="153">
        <f t="shared" si="1558"/>
        <v>-9.3000000000000007</v>
      </c>
      <c r="AD408" s="153">
        <f t="shared" si="1558"/>
        <v>-290.8</v>
      </c>
      <c r="AK408" s="17">
        <f t="shared" ref="AK408:AL408" si="1597">+AK476</f>
        <v>-3.8</v>
      </c>
      <c r="AL408" s="17">
        <f t="shared" si="1597"/>
        <v>-4</v>
      </c>
      <c r="AM408" s="17">
        <f t="shared" si="1592"/>
        <v>0.2</v>
      </c>
      <c r="AN408" s="17">
        <f t="shared" si="1592"/>
        <v>-1.3</v>
      </c>
      <c r="AO408" s="17">
        <f t="shared" si="1592"/>
        <v>-2.5</v>
      </c>
      <c r="AP408" s="17">
        <f t="shared" ref="AP408:AQ408" si="1598">+AP476</f>
        <v>-2.1</v>
      </c>
      <c r="AQ408" s="17">
        <f t="shared" si="1598"/>
        <v>-8.1</v>
      </c>
    </row>
    <row r="409" spans="2:43" x14ac:dyDescent="0.2">
      <c r="B409" s="11" t="s">
        <v>90</v>
      </c>
      <c r="D409" s="14">
        <v>0.343858</v>
      </c>
      <c r="E409" s="14">
        <v>0.68114200000000003</v>
      </c>
      <c r="F409" s="14">
        <v>0.42499999999999999</v>
      </c>
      <c r="G409" s="14">
        <v>0.74066100000000001</v>
      </c>
      <c r="H409" s="17">
        <f t="shared" si="1580"/>
        <v>1.2</v>
      </c>
      <c r="I409" s="153">
        <f t="shared" ref="I409:K409" si="1599">+IFERROR(I477-H477,"n/a")</f>
        <v>1.3</v>
      </c>
      <c r="J409" s="153">
        <f t="shared" si="1599"/>
        <v>1.5999999999999996</v>
      </c>
      <c r="K409" s="153">
        <f t="shared" si="1599"/>
        <v>1.4000000000000004</v>
      </c>
      <c r="L409" s="17">
        <f t="shared" si="1582"/>
        <v>1.6</v>
      </c>
      <c r="M409" s="153">
        <f t="shared" ref="M409:O409" si="1600">+IFERROR(M477-L477,"n/a")</f>
        <v>3.8000000000000003</v>
      </c>
      <c r="N409" s="153">
        <f t="shared" si="1600"/>
        <v>1.5</v>
      </c>
      <c r="O409" s="153">
        <f t="shared" si="1600"/>
        <v>0.79999999999999982</v>
      </c>
      <c r="P409" s="17">
        <f t="shared" si="1584"/>
        <v>6.7</v>
      </c>
      <c r="Q409" s="153">
        <f t="shared" ref="Q409:S409" si="1601">+IFERROR(Q477-P477,"n/a")</f>
        <v>1.3999999999999995</v>
      </c>
      <c r="R409" s="153">
        <f t="shared" si="1601"/>
        <v>2.2000000000000011</v>
      </c>
      <c r="S409" s="153">
        <f t="shared" si="1601"/>
        <v>1</v>
      </c>
      <c r="T409" s="17">
        <f t="shared" si="1586"/>
        <v>3</v>
      </c>
      <c r="U409" s="153">
        <f t="shared" si="1587"/>
        <v>1.2999999999999998</v>
      </c>
      <c r="V409" s="153">
        <f t="shared" si="1587"/>
        <v>1.5</v>
      </c>
      <c r="W409" s="153">
        <f t="shared" si="1587"/>
        <v>4.2</v>
      </c>
      <c r="X409" s="17">
        <f t="shared" si="1588"/>
        <v>3.2</v>
      </c>
      <c r="Y409" s="153">
        <f t="shared" si="1589"/>
        <v>2.2999999999999998</v>
      </c>
      <c r="Z409" s="153">
        <f t="shared" si="1555"/>
        <v>1.9000000000000004</v>
      </c>
      <c r="AA409" s="153">
        <f t="shared" si="1556"/>
        <v>1.7999999999999989</v>
      </c>
      <c r="AB409" s="17">
        <f t="shared" si="1590"/>
        <v>1.8</v>
      </c>
      <c r="AC409" s="153">
        <f t="shared" si="1558"/>
        <v>2.0999999999999996</v>
      </c>
      <c r="AD409" s="153">
        <f t="shared" si="1558"/>
        <v>2.5000000000000004</v>
      </c>
      <c r="AK409" s="17">
        <f t="shared" ref="AK409:AL409" si="1602">+AK477</f>
        <v>2.2000000000000002</v>
      </c>
      <c r="AL409" s="17">
        <f t="shared" si="1602"/>
        <v>2.2000000000000002</v>
      </c>
      <c r="AM409" s="17">
        <f t="shared" si="1592"/>
        <v>5.5</v>
      </c>
      <c r="AN409" s="17">
        <f t="shared" si="1592"/>
        <v>7.7</v>
      </c>
      <c r="AO409" s="17">
        <f t="shared" si="1592"/>
        <v>11.3</v>
      </c>
      <c r="AP409" s="17">
        <f t="shared" ref="AP409:AQ409" si="1603">+AP477</f>
        <v>10</v>
      </c>
      <c r="AQ409" s="17">
        <f t="shared" si="1603"/>
        <v>9.1999999999999993</v>
      </c>
    </row>
    <row r="410" spans="2:43" x14ac:dyDescent="0.2">
      <c r="B410" s="11" t="s">
        <v>91</v>
      </c>
      <c r="D410" s="14">
        <v>-0.43110100000000001</v>
      </c>
      <c r="E410" s="14">
        <v>0.263208</v>
      </c>
      <c r="F410" s="14">
        <v>1.589372</v>
      </c>
      <c r="G410" s="14">
        <v>-1.7497259999999999</v>
      </c>
      <c r="H410" s="17">
        <f t="shared" si="1580"/>
        <v>4.0999999999999996</v>
      </c>
      <c r="I410" s="153">
        <f t="shared" ref="I410:K410" si="1604">+IFERROR(I478-H478,"n/a")</f>
        <v>2.7</v>
      </c>
      <c r="J410" s="153">
        <f t="shared" si="1604"/>
        <v>8.1999999999999993</v>
      </c>
      <c r="K410" s="153">
        <f t="shared" si="1604"/>
        <v>0.5</v>
      </c>
      <c r="L410" s="17">
        <f t="shared" si="1582"/>
        <v>-8.5</v>
      </c>
      <c r="M410" s="153">
        <f t="shared" ref="M410:O410" si="1605">+IFERROR(M478-L478,"n/a")</f>
        <v>1.5</v>
      </c>
      <c r="N410" s="153">
        <f t="shared" si="1605"/>
        <v>1.0999999999999996</v>
      </c>
      <c r="O410" s="153">
        <f t="shared" si="1605"/>
        <v>-0.19999999999999929</v>
      </c>
      <c r="P410" s="17">
        <f t="shared" si="1584"/>
        <v>0.2</v>
      </c>
      <c r="Q410" s="153">
        <f t="shared" ref="Q410:S410" si="1606">+IFERROR(Q478-P478,"n/a")</f>
        <v>0</v>
      </c>
      <c r="R410" s="153">
        <f t="shared" si="1606"/>
        <v>0</v>
      </c>
      <c r="S410" s="153">
        <f t="shared" si="1606"/>
        <v>0</v>
      </c>
      <c r="T410" s="17">
        <f t="shared" si="1586"/>
        <v>-0.3</v>
      </c>
      <c r="U410" s="153">
        <f t="shared" si="1587"/>
        <v>0</v>
      </c>
      <c r="V410" s="153">
        <f t="shared" si="1587"/>
        <v>-36.900000000000006</v>
      </c>
      <c r="W410" s="153">
        <f t="shared" si="1587"/>
        <v>0.60000000000000142</v>
      </c>
      <c r="X410" s="17">
        <f t="shared" si="1588"/>
        <v>7</v>
      </c>
      <c r="Y410" s="153">
        <f t="shared" si="1589"/>
        <v>5.6</v>
      </c>
      <c r="Z410" s="153">
        <f t="shared" si="1555"/>
        <v>8.9</v>
      </c>
      <c r="AA410" s="153">
        <f t="shared" si="1556"/>
        <v>1.6000000000000014</v>
      </c>
      <c r="AB410" s="17">
        <f t="shared" si="1590"/>
        <v>2.1</v>
      </c>
      <c r="AC410" s="153">
        <f t="shared" si="1558"/>
        <v>0.29999999999999982</v>
      </c>
      <c r="AD410" s="153">
        <f t="shared" si="1558"/>
        <v>1.5</v>
      </c>
      <c r="AK410" s="17">
        <f t="shared" ref="AK410:AL410" si="1607">+AK478</f>
        <v>-0.3</v>
      </c>
      <c r="AL410" s="17">
        <f t="shared" si="1607"/>
        <v>-0.3</v>
      </c>
      <c r="AM410" s="17">
        <f t="shared" si="1592"/>
        <v>15.5</v>
      </c>
      <c r="AN410" s="17">
        <f t="shared" si="1592"/>
        <v>-6.1</v>
      </c>
      <c r="AO410" s="17">
        <f t="shared" si="1592"/>
        <v>0.2</v>
      </c>
      <c r="AP410" s="17">
        <f t="shared" ref="AP410:AQ410" si="1608">+AP478</f>
        <v>-36.6</v>
      </c>
      <c r="AQ410" s="17">
        <f t="shared" si="1608"/>
        <v>23.1</v>
      </c>
    </row>
    <row r="411" spans="2:43" x14ac:dyDescent="0.2">
      <c r="B411" s="11" t="s">
        <v>92</v>
      </c>
      <c r="D411" s="14">
        <v>0</v>
      </c>
      <c r="E411" s="14">
        <v>0</v>
      </c>
      <c r="F411" s="14">
        <v>0</v>
      </c>
      <c r="G411" s="14">
        <v>0</v>
      </c>
      <c r="H411" s="17">
        <f t="shared" si="1580"/>
        <v>0</v>
      </c>
      <c r="I411" s="153">
        <f t="shared" ref="I411:K411" si="1609">+IFERROR(I479-H479,"n/a")</f>
        <v>0</v>
      </c>
      <c r="J411" s="153">
        <f t="shared" si="1609"/>
        <v>1.3</v>
      </c>
      <c r="K411" s="153">
        <f t="shared" si="1609"/>
        <v>0.59999999999999987</v>
      </c>
      <c r="L411" s="17">
        <f t="shared" si="1582"/>
        <v>0</v>
      </c>
      <c r="M411" s="153">
        <f t="shared" ref="M411:O411" si="1610">+IFERROR(M479-L479,"n/a")</f>
        <v>0.4</v>
      </c>
      <c r="N411" s="153">
        <f t="shared" si="1610"/>
        <v>0</v>
      </c>
      <c r="O411" s="153">
        <f t="shared" si="1610"/>
        <v>0</v>
      </c>
      <c r="P411" s="17">
        <f t="shared" si="1584"/>
        <v>0</v>
      </c>
      <c r="Q411" s="153">
        <f t="shared" ref="Q411:S411" si="1611">+IFERROR(Q479-P479,"n/a")</f>
        <v>0.1</v>
      </c>
      <c r="R411" s="153">
        <f t="shared" si="1611"/>
        <v>-0.1</v>
      </c>
      <c r="S411" s="153">
        <f t="shared" si="1611"/>
        <v>0</v>
      </c>
      <c r="T411" s="17">
        <f t="shared" si="1586"/>
        <v>0</v>
      </c>
      <c r="U411" s="153">
        <f t="shared" si="1587"/>
        <v>0</v>
      </c>
      <c r="V411" s="153">
        <f t="shared" si="1587"/>
        <v>0</v>
      </c>
      <c r="W411" s="153">
        <f t="shared" si="1587"/>
        <v>0</v>
      </c>
      <c r="X411" s="17">
        <f t="shared" si="1588"/>
        <v>0</v>
      </c>
      <c r="Y411" s="153">
        <f t="shared" si="1589"/>
        <v>0</v>
      </c>
      <c r="Z411" s="153">
        <f t="shared" si="1555"/>
        <v>0</v>
      </c>
      <c r="AA411" s="153">
        <f t="shared" si="1556"/>
        <v>0</v>
      </c>
      <c r="AB411" s="17">
        <f t="shared" si="1590"/>
        <v>0</v>
      </c>
      <c r="AC411" s="153">
        <f t="shared" si="1558"/>
        <v>0</v>
      </c>
      <c r="AD411" s="153">
        <f t="shared" si="1558"/>
        <v>0</v>
      </c>
      <c r="AK411" s="17">
        <f t="shared" ref="AK411:AL412" si="1612">+AK479</f>
        <v>0</v>
      </c>
      <c r="AL411" s="17">
        <f t="shared" si="1612"/>
        <v>0</v>
      </c>
      <c r="AM411" s="17">
        <f t="shared" si="1592"/>
        <v>1.9</v>
      </c>
      <c r="AN411" s="17">
        <f t="shared" si="1592"/>
        <v>0.4</v>
      </c>
      <c r="AO411" s="17">
        <f t="shared" si="1592"/>
        <v>0</v>
      </c>
      <c r="AP411" s="17">
        <f t="shared" ref="AP411:AQ411" si="1613">+AP479</f>
        <v>0</v>
      </c>
      <c r="AQ411" s="17">
        <f t="shared" si="1613"/>
        <v>0</v>
      </c>
    </row>
    <row r="412" spans="2:43" x14ac:dyDescent="0.2">
      <c r="B412" s="11" t="s">
        <v>235</v>
      </c>
      <c r="D412" s="14"/>
      <c r="E412" s="14"/>
      <c r="F412" s="14"/>
      <c r="G412" s="14"/>
      <c r="H412" s="17">
        <f t="shared" si="1580"/>
        <v>0</v>
      </c>
      <c r="I412" s="153">
        <f t="shared" ref="I412:K412" si="1614">+IFERROR(I480-H480,"n/a")</f>
        <v>0</v>
      </c>
      <c r="J412" s="153">
        <f t="shared" si="1614"/>
        <v>0</v>
      </c>
      <c r="K412" s="153">
        <f t="shared" si="1614"/>
        <v>0</v>
      </c>
      <c r="L412" s="17">
        <f t="shared" si="1582"/>
        <v>0</v>
      </c>
      <c r="M412" s="153">
        <f t="shared" ref="M412:O412" si="1615">+IFERROR(M480-L480,"n/a")</f>
        <v>0</v>
      </c>
      <c r="N412" s="153">
        <f t="shared" si="1615"/>
        <v>0</v>
      </c>
      <c r="O412" s="153">
        <f t="shared" si="1615"/>
        <v>0</v>
      </c>
      <c r="P412" s="17">
        <f t="shared" si="1584"/>
        <v>0</v>
      </c>
      <c r="Q412" s="153">
        <f t="shared" ref="Q412:S412" si="1616">+IFERROR(Q480-P480,"n/a")</f>
        <v>0</v>
      </c>
      <c r="R412" s="153">
        <f t="shared" si="1616"/>
        <v>0</v>
      </c>
      <c r="S412" s="153">
        <f t="shared" si="1616"/>
        <v>0</v>
      </c>
      <c r="T412" s="17">
        <f t="shared" si="1586"/>
        <v>0</v>
      </c>
      <c r="U412" s="153">
        <f t="shared" si="1587"/>
        <v>0</v>
      </c>
      <c r="V412" s="153">
        <f t="shared" si="1587"/>
        <v>0</v>
      </c>
      <c r="W412" s="153">
        <f t="shared" si="1587"/>
        <v>-15.1</v>
      </c>
      <c r="X412" s="17">
        <f t="shared" si="1588"/>
        <v>-8.9</v>
      </c>
      <c r="Y412" s="153">
        <f t="shared" si="1589"/>
        <v>0</v>
      </c>
      <c r="Z412" s="153">
        <f t="shared" si="1555"/>
        <v>-2.5999999999999996</v>
      </c>
      <c r="AA412" s="153">
        <f t="shared" si="1556"/>
        <v>-0.69999999999999929</v>
      </c>
      <c r="AB412" s="17">
        <f t="shared" si="1590"/>
        <v>-11</v>
      </c>
      <c r="AC412" s="153">
        <f t="shared" si="1558"/>
        <v>0.19999999999999929</v>
      </c>
      <c r="AD412" s="153">
        <f t="shared" si="1558"/>
        <v>-10.8</v>
      </c>
      <c r="AK412" s="17">
        <f t="shared" si="1612"/>
        <v>0</v>
      </c>
      <c r="AL412" s="17">
        <f t="shared" si="1612"/>
        <v>0</v>
      </c>
      <c r="AM412" s="17">
        <f t="shared" si="1592"/>
        <v>0</v>
      </c>
      <c r="AN412" s="17">
        <f t="shared" si="1592"/>
        <v>0</v>
      </c>
      <c r="AO412" s="17">
        <f t="shared" si="1592"/>
        <v>0</v>
      </c>
      <c r="AP412" s="17">
        <f t="shared" ref="AP412:AQ412" si="1617">+AP480</f>
        <v>-15.1</v>
      </c>
      <c r="AQ412" s="17">
        <f t="shared" si="1617"/>
        <v>-12.2</v>
      </c>
    </row>
    <row r="413" spans="2:43" x14ac:dyDescent="0.2">
      <c r="B413" s="11" t="s">
        <v>74</v>
      </c>
      <c r="D413" s="14">
        <v>0</v>
      </c>
      <c r="E413" s="14">
        <v>0</v>
      </c>
      <c r="F413" s="14">
        <v>0</v>
      </c>
      <c r="G413" s="14">
        <v>0</v>
      </c>
      <c r="H413" s="17">
        <f t="shared" si="1580"/>
        <v>0</v>
      </c>
      <c r="I413" s="153">
        <f t="shared" ref="I413:K413" si="1618">+IFERROR(I481-H481,"n/a")</f>
        <v>0</v>
      </c>
      <c r="J413" s="153">
        <f t="shared" si="1618"/>
        <v>0</v>
      </c>
      <c r="K413" s="153">
        <f t="shared" si="1618"/>
        <v>0</v>
      </c>
      <c r="L413" s="17">
        <f t="shared" si="1582"/>
        <v>0</v>
      </c>
      <c r="M413" s="153">
        <f t="shared" ref="M413:O413" si="1619">+IFERROR(M481-L481,"n/a")</f>
        <v>50</v>
      </c>
      <c r="N413" s="153">
        <f t="shared" si="1619"/>
        <v>6.2000000000000028</v>
      </c>
      <c r="O413" s="153">
        <f t="shared" si="1619"/>
        <v>10</v>
      </c>
      <c r="P413" s="17">
        <f t="shared" si="1584"/>
        <v>14</v>
      </c>
      <c r="Q413" s="153">
        <f t="shared" ref="Q413:S413" si="1620">+IFERROR(Q481-P481,"n/a")</f>
        <v>6.6000000000000014</v>
      </c>
      <c r="R413" s="153">
        <f t="shared" si="1620"/>
        <v>6.2999999999999972</v>
      </c>
      <c r="S413" s="153">
        <f t="shared" si="1620"/>
        <v>13.899999999999999</v>
      </c>
      <c r="T413" s="17">
        <f t="shared" si="1586"/>
        <v>16.899999999999999</v>
      </c>
      <c r="U413" s="153">
        <f t="shared" si="1587"/>
        <v>9.3000000000000007</v>
      </c>
      <c r="V413" s="153">
        <f t="shared" si="1587"/>
        <v>12.2</v>
      </c>
      <c r="W413" s="153">
        <f t="shared" si="1587"/>
        <v>11.200000000000003</v>
      </c>
      <c r="X413" s="17">
        <f t="shared" si="1588"/>
        <v>20.9</v>
      </c>
      <c r="Y413" s="153">
        <f t="shared" si="1589"/>
        <v>13.100000000000001</v>
      </c>
      <c r="Z413" s="153">
        <f t="shared" si="1555"/>
        <v>12.399999999999999</v>
      </c>
      <c r="AA413" s="153">
        <f t="shared" si="1556"/>
        <v>11</v>
      </c>
      <c r="AB413" s="17">
        <f t="shared" si="1590"/>
        <v>22.8</v>
      </c>
      <c r="AC413" s="153">
        <f t="shared" si="1558"/>
        <v>14.3</v>
      </c>
      <c r="AD413" s="153">
        <f t="shared" si="1558"/>
        <v>14.299999999999997</v>
      </c>
      <c r="AK413" s="17">
        <f t="shared" ref="AK413:AL413" si="1621">+AK481</f>
        <v>0</v>
      </c>
      <c r="AL413" s="17">
        <f t="shared" si="1621"/>
        <v>0</v>
      </c>
      <c r="AM413" s="17">
        <f t="shared" ref="AM413:AP417" si="1622">+AM481</f>
        <v>0</v>
      </c>
      <c r="AN413" s="17">
        <f t="shared" si="1622"/>
        <v>66.2</v>
      </c>
      <c r="AO413" s="17">
        <f t="shared" si="1622"/>
        <v>40.799999999999997</v>
      </c>
      <c r="AP413" s="17">
        <f t="shared" si="1622"/>
        <v>49.6</v>
      </c>
      <c r="AQ413" s="17">
        <f t="shared" ref="AQ413" si="1623">+AQ481</f>
        <v>57.4</v>
      </c>
    </row>
    <row r="414" spans="2:43" x14ac:dyDescent="0.2">
      <c r="B414" s="11" t="s">
        <v>93</v>
      </c>
      <c r="D414" s="14">
        <v>5.1364E-2</v>
      </c>
      <c r="E414" s="14">
        <v>-8.6189000000000002E-2</v>
      </c>
      <c r="F414" s="14">
        <v>-1.784E-3</v>
      </c>
      <c r="G414" s="14">
        <v>-0.44134699999999999</v>
      </c>
      <c r="H414" s="17">
        <f t="shared" si="1580"/>
        <v>-0.1</v>
      </c>
      <c r="I414" s="153">
        <f t="shared" ref="I414:K414" si="1624">+IFERROR(I482-H482,"n/a")</f>
        <v>-0.6</v>
      </c>
      <c r="J414" s="153">
        <f t="shared" si="1624"/>
        <v>0</v>
      </c>
      <c r="K414" s="153">
        <f t="shared" si="1624"/>
        <v>0.29999999999999993</v>
      </c>
      <c r="L414" s="17">
        <f t="shared" si="1582"/>
        <v>0</v>
      </c>
      <c r="M414" s="153">
        <f t="shared" ref="M414:O414" si="1625">+IFERROR(M482-L482,"n/a")</f>
        <v>-0.1</v>
      </c>
      <c r="N414" s="153">
        <f t="shared" si="1625"/>
        <v>-0.19999999999999998</v>
      </c>
      <c r="O414" s="153">
        <f t="shared" si="1625"/>
        <v>0.4</v>
      </c>
      <c r="P414" s="17">
        <f t="shared" si="1584"/>
        <v>0.3</v>
      </c>
      <c r="Q414" s="153">
        <f t="shared" ref="Q414:S414" si="1626">+IFERROR(Q482-P482,"n/a")</f>
        <v>0.2</v>
      </c>
      <c r="R414" s="153">
        <f t="shared" si="1626"/>
        <v>0.5</v>
      </c>
      <c r="S414" s="153">
        <f t="shared" si="1626"/>
        <v>-0.30000000000000004</v>
      </c>
      <c r="T414" s="17">
        <f t="shared" si="1586"/>
        <v>0.6</v>
      </c>
      <c r="U414" s="153">
        <f t="shared" si="1587"/>
        <v>9.9999999999999978E-2</v>
      </c>
      <c r="V414" s="153">
        <f t="shared" si="1587"/>
        <v>1.3</v>
      </c>
      <c r="W414" s="153">
        <f t="shared" si="1587"/>
        <v>0.60000000000000009</v>
      </c>
      <c r="X414" s="17">
        <f t="shared" si="1588"/>
        <v>0.8</v>
      </c>
      <c r="Y414" s="153">
        <f t="shared" si="1589"/>
        <v>0.8</v>
      </c>
      <c r="Z414" s="153">
        <f t="shared" si="1555"/>
        <v>2.6999999999999997</v>
      </c>
      <c r="AA414" s="153">
        <f t="shared" si="1556"/>
        <v>3.1000000000000005</v>
      </c>
      <c r="AB414" s="17">
        <f t="shared" si="1590"/>
        <v>-1.3</v>
      </c>
      <c r="AC414" s="153">
        <f t="shared" si="1558"/>
        <v>2.6999999999999997</v>
      </c>
      <c r="AD414" s="153">
        <f t="shared" si="1558"/>
        <v>291.2</v>
      </c>
      <c r="AK414" s="17">
        <f t="shared" ref="AK414:AL414" si="1627">+AK482</f>
        <v>-0.4</v>
      </c>
      <c r="AL414" s="17">
        <f t="shared" si="1627"/>
        <v>-0.4</v>
      </c>
      <c r="AM414" s="17">
        <f t="shared" si="1622"/>
        <v>-0.4</v>
      </c>
      <c r="AN414" s="17">
        <f t="shared" si="1622"/>
        <v>0.1</v>
      </c>
      <c r="AO414" s="17">
        <f t="shared" si="1622"/>
        <v>0.7</v>
      </c>
      <c r="AP414" s="17">
        <f t="shared" si="1622"/>
        <v>2.6</v>
      </c>
      <c r="AQ414" s="17">
        <f t="shared" ref="AQ414" si="1628">+AQ482</f>
        <v>7.4</v>
      </c>
    </row>
    <row r="415" spans="2:43" x14ac:dyDescent="0.2">
      <c r="B415" s="11" t="s">
        <v>94</v>
      </c>
      <c r="D415" s="14">
        <v>0</v>
      </c>
      <c r="E415" s="14">
        <v>4.3292999999999998E-2</v>
      </c>
      <c r="F415" s="14">
        <v>0</v>
      </c>
      <c r="G415" s="14">
        <v>2.9239999999999999E-2</v>
      </c>
      <c r="H415" s="17">
        <f t="shared" si="1580"/>
        <v>0</v>
      </c>
      <c r="I415" s="153">
        <f t="shared" ref="I415:K415" si="1629">+IFERROR(I483-H483,"n/a")</f>
        <v>0</v>
      </c>
      <c r="J415" s="153">
        <f t="shared" si="1629"/>
        <v>0</v>
      </c>
      <c r="K415" s="153">
        <f t="shared" si="1629"/>
        <v>0</v>
      </c>
      <c r="L415" s="17">
        <f t="shared" si="1582"/>
        <v>0</v>
      </c>
      <c r="M415" s="153">
        <f t="shared" ref="M415:O415" si="1630">+IFERROR(M483-L483,"n/a")</f>
        <v>-12.4</v>
      </c>
      <c r="N415" s="153">
        <f t="shared" si="1630"/>
        <v>0</v>
      </c>
      <c r="O415" s="153">
        <f t="shared" si="1630"/>
        <v>0</v>
      </c>
      <c r="P415" s="17">
        <f t="shared" si="1584"/>
        <v>0</v>
      </c>
      <c r="Q415" s="153">
        <f t="shared" ref="Q415:S415" si="1631">+IFERROR(Q483-P483,"n/a")</f>
        <v>0</v>
      </c>
      <c r="R415" s="153">
        <f t="shared" si="1631"/>
        <v>0</v>
      </c>
      <c r="S415" s="153">
        <f t="shared" si="1631"/>
        <v>0</v>
      </c>
      <c r="T415" s="17">
        <f t="shared" si="1586"/>
        <v>0</v>
      </c>
      <c r="U415" s="153">
        <f t="shared" si="1587"/>
        <v>0</v>
      </c>
      <c r="V415" s="153">
        <f t="shared" si="1587"/>
        <v>0</v>
      </c>
      <c r="W415" s="153">
        <f t="shared" si="1587"/>
        <v>0</v>
      </c>
      <c r="X415" s="17">
        <f t="shared" si="1588"/>
        <v>0</v>
      </c>
      <c r="Y415" s="153">
        <f t="shared" si="1589"/>
        <v>0</v>
      </c>
      <c r="Z415" s="153">
        <f t="shared" si="1555"/>
        <v>0</v>
      </c>
      <c r="AA415" s="153">
        <f t="shared" si="1556"/>
        <v>0</v>
      </c>
      <c r="AB415" s="17">
        <f t="shared" si="1590"/>
        <v>0</v>
      </c>
      <c r="AC415" s="153">
        <f t="shared" si="1558"/>
        <v>0</v>
      </c>
      <c r="AD415" s="153">
        <f t="shared" si="1558"/>
        <v>0</v>
      </c>
      <c r="AK415" s="17">
        <f t="shared" ref="AK415:AL417" si="1632">+AK483</f>
        <v>0</v>
      </c>
      <c r="AL415" s="17">
        <f t="shared" si="1632"/>
        <v>0</v>
      </c>
      <c r="AM415" s="17">
        <f t="shared" si="1622"/>
        <v>0</v>
      </c>
      <c r="AN415" s="17">
        <f t="shared" si="1622"/>
        <v>-12.4</v>
      </c>
      <c r="AO415" s="17">
        <f t="shared" si="1622"/>
        <v>0</v>
      </c>
      <c r="AP415" s="17">
        <f t="shared" si="1622"/>
        <v>0</v>
      </c>
      <c r="AQ415" s="17">
        <f t="shared" ref="AQ415" si="1633">+AQ483</f>
        <v>0</v>
      </c>
    </row>
    <row r="416" spans="2:43" x14ac:dyDescent="0.2">
      <c r="B416" t="s">
        <v>95</v>
      </c>
      <c r="D416" s="14"/>
      <c r="E416" s="14"/>
      <c r="F416" s="14"/>
      <c r="G416" s="14"/>
      <c r="H416" s="17"/>
      <c r="I416" s="153"/>
      <c r="J416" s="153"/>
      <c r="K416" s="153"/>
      <c r="L416" s="17"/>
      <c r="M416" s="153"/>
      <c r="N416" s="153"/>
      <c r="O416" s="153"/>
      <c r="P416" s="17"/>
      <c r="Q416" s="153"/>
      <c r="R416" s="153"/>
      <c r="S416" s="153"/>
      <c r="T416" s="17"/>
      <c r="U416" s="153"/>
      <c r="V416" s="153"/>
      <c r="W416" s="153"/>
      <c r="X416" s="17"/>
      <c r="Y416" s="153"/>
      <c r="Z416" s="153"/>
      <c r="AA416" s="153"/>
      <c r="AB416" s="17"/>
      <c r="AC416" s="153"/>
      <c r="AD416" s="153"/>
      <c r="AK416" s="17"/>
      <c r="AL416" s="17"/>
      <c r="AM416" s="17"/>
      <c r="AN416" s="17"/>
      <c r="AO416" s="17"/>
      <c r="AP416" s="17"/>
      <c r="AQ416" s="17"/>
    </row>
    <row r="417" spans="2:43" x14ac:dyDescent="0.2">
      <c r="B417" s="11" t="s">
        <v>265</v>
      </c>
      <c r="D417" s="14">
        <v>0</v>
      </c>
      <c r="E417" s="14">
        <v>0</v>
      </c>
      <c r="F417" s="14">
        <v>0</v>
      </c>
      <c r="G417" s="14">
        <v>0</v>
      </c>
      <c r="H417" s="17">
        <f>+H485</f>
        <v>0</v>
      </c>
      <c r="I417" s="153">
        <f t="shared" ref="I417" si="1634">+IFERROR(I485-H485,"n/a")</f>
        <v>0</v>
      </c>
      <c r="J417" s="153">
        <f t="shared" ref="J417" si="1635">+IFERROR(J485-I485,"n/a")</f>
        <v>0</v>
      </c>
      <c r="K417" s="153">
        <f t="shared" ref="K417" si="1636">+IFERROR(K485-J485,"n/a")</f>
        <v>0</v>
      </c>
      <c r="L417" s="17">
        <f>+L485</f>
        <v>0</v>
      </c>
      <c r="M417" s="153">
        <f t="shared" ref="M417" si="1637">+IFERROR(M485-L485,"n/a")</f>
        <v>0</v>
      </c>
      <c r="N417" s="153">
        <f t="shared" ref="N417" si="1638">+IFERROR(N485-M485,"n/a")</f>
        <v>0</v>
      </c>
      <c r="O417" s="153">
        <f t="shared" ref="O417" si="1639">+IFERROR(O485-N485,"n/a")</f>
        <v>0</v>
      </c>
      <c r="P417" s="17">
        <f>+P485</f>
        <v>0</v>
      </c>
      <c r="Q417" s="153">
        <f t="shared" ref="Q417" si="1640">+IFERROR(Q485-P485,"n/a")</f>
        <v>0</v>
      </c>
      <c r="R417" s="153">
        <f t="shared" ref="R417" si="1641">+IFERROR(R485-Q485,"n/a")</f>
        <v>0</v>
      </c>
      <c r="S417" s="153">
        <f t="shared" ref="S417" si="1642">+IFERROR(S485-R485,"n/a")</f>
        <v>0</v>
      </c>
      <c r="T417" s="17">
        <f>+T485</f>
        <v>0</v>
      </c>
      <c r="U417" s="153">
        <f t="shared" ref="U417:W429" si="1643">+IFERROR(U485-T485,"n/a")</f>
        <v>0</v>
      </c>
      <c r="V417" s="153">
        <f t="shared" si="1643"/>
        <v>0</v>
      </c>
      <c r="W417" s="153">
        <f t="shared" si="1643"/>
        <v>0</v>
      </c>
      <c r="X417" s="17">
        <f>+X485</f>
        <v>0</v>
      </c>
      <c r="Y417" s="153">
        <f t="shared" ref="Y417:Y429" si="1644">+IFERROR(Y485-X485,"n/a")</f>
        <v>0</v>
      </c>
      <c r="Z417" s="153">
        <f t="shared" ref="Z417:AA417" si="1645">+IFERROR(Z485-Y485,"n/a")</f>
        <v>0</v>
      </c>
      <c r="AA417" s="153">
        <f t="shared" si="1645"/>
        <v>42.3</v>
      </c>
      <c r="AB417" s="17">
        <f>+AB485</f>
        <v>-58.3</v>
      </c>
      <c r="AC417" s="153">
        <f t="shared" ref="AC417:AD429" si="1646">+IFERROR(AC485-AB485,"n/a")</f>
        <v>4.2999999999999972</v>
      </c>
      <c r="AD417" s="153">
        <f t="shared" si="1646"/>
        <v>39.6</v>
      </c>
      <c r="AK417" s="17">
        <f t="shared" si="1632"/>
        <v>0</v>
      </c>
      <c r="AL417" s="17">
        <f t="shared" si="1632"/>
        <v>0</v>
      </c>
      <c r="AM417" s="17">
        <f t="shared" si="1622"/>
        <v>0</v>
      </c>
      <c r="AN417" s="17">
        <f t="shared" si="1622"/>
        <v>0</v>
      </c>
      <c r="AO417" s="17">
        <f t="shared" si="1622"/>
        <v>0</v>
      </c>
      <c r="AP417" s="17">
        <f t="shared" si="1622"/>
        <v>0</v>
      </c>
      <c r="AQ417" s="17">
        <f t="shared" ref="AQ417" si="1647">+AQ485</f>
        <v>0</v>
      </c>
    </row>
    <row r="418" spans="2:43" x14ac:dyDescent="0.2">
      <c r="B418" s="11" t="s">
        <v>96</v>
      </c>
      <c r="D418" s="14">
        <v>-3.3661129999999999</v>
      </c>
      <c r="E418" s="14">
        <v>-5.0161490000000004</v>
      </c>
      <c r="F418" s="14">
        <v>-2.0719630000000002</v>
      </c>
      <c r="G418" s="14">
        <v>-6.1650510000000001</v>
      </c>
      <c r="H418" s="17">
        <f t="shared" ref="H418:H425" si="1648">+H486</f>
        <v>-7.3</v>
      </c>
      <c r="I418" s="153">
        <f t="shared" ref="I418:K418" si="1649">+IFERROR(I486-H486,"n/a")</f>
        <v>-4.3999999999999995</v>
      </c>
      <c r="J418" s="153">
        <f t="shared" si="1649"/>
        <v>0.39999999999999858</v>
      </c>
      <c r="K418" s="153">
        <f t="shared" si="1649"/>
        <v>-7.3000000000000007</v>
      </c>
      <c r="L418" s="17">
        <f t="shared" ref="L418:L425" si="1650">+L486</f>
        <v>9.6</v>
      </c>
      <c r="M418" s="153">
        <f t="shared" ref="M418:O418" si="1651">+IFERROR(M486-L486,"n/a")</f>
        <v>-4.8</v>
      </c>
      <c r="N418" s="153">
        <f t="shared" si="1651"/>
        <v>-24.1</v>
      </c>
      <c r="O418" s="153">
        <f t="shared" si="1651"/>
        <v>0</v>
      </c>
      <c r="P418" s="17">
        <f t="shared" ref="P418:P425" si="1652">+P486</f>
        <v>-40.700000000000003</v>
      </c>
      <c r="Q418" s="153">
        <f t="shared" ref="Q418:S418" si="1653">+IFERROR(Q486-P486,"n/a")</f>
        <v>-51.3</v>
      </c>
      <c r="R418" s="153">
        <f t="shared" si="1653"/>
        <v>-6</v>
      </c>
      <c r="S418" s="153">
        <f t="shared" si="1653"/>
        <v>-22.700000000000003</v>
      </c>
      <c r="T418" s="17">
        <f t="shared" ref="T418:T425" si="1654">+T486</f>
        <v>-20</v>
      </c>
      <c r="U418" s="153">
        <f t="shared" si="1643"/>
        <v>-29.5</v>
      </c>
      <c r="V418" s="153">
        <f t="shared" si="1643"/>
        <v>-8.6000000000000014</v>
      </c>
      <c r="W418" s="153">
        <f t="shared" si="1643"/>
        <v>62.2</v>
      </c>
      <c r="X418" s="17">
        <f t="shared" ref="X418:X425" si="1655">+X486</f>
        <v>-17.100000000000001</v>
      </c>
      <c r="Y418" s="153">
        <f t="shared" si="1644"/>
        <v>-20.799999999999997</v>
      </c>
      <c r="Z418" s="153">
        <f t="shared" ref="Z418:AA418" si="1656">+IFERROR(Z486-Y486,"n/a")</f>
        <v>-5.8999999999999986</v>
      </c>
      <c r="AA418" s="153">
        <f t="shared" si="1656"/>
        <v>-8.9000000000000057</v>
      </c>
      <c r="AB418" s="17">
        <f t="shared" ref="AB418:AB425" si="1657">+AB486</f>
        <v>0.5</v>
      </c>
      <c r="AC418" s="153">
        <f t="shared" si="1646"/>
        <v>-37.299999999999997</v>
      </c>
      <c r="AD418" s="153">
        <f t="shared" si="1646"/>
        <v>-9.2000000000000028</v>
      </c>
      <c r="AK418" s="17">
        <f t="shared" ref="AK418:AL418" si="1658">+AK486</f>
        <v>-16.600000000000001</v>
      </c>
      <c r="AL418" s="17">
        <f t="shared" si="1658"/>
        <v>-16.600000000000001</v>
      </c>
      <c r="AM418" s="17">
        <f t="shared" ref="AM418:AP425" si="1659">+AM486</f>
        <v>-18.600000000000001</v>
      </c>
      <c r="AN418" s="17">
        <f t="shared" si="1659"/>
        <v>-19.3</v>
      </c>
      <c r="AO418" s="17">
        <f t="shared" si="1659"/>
        <v>-120.7</v>
      </c>
      <c r="AP418" s="17">
        <f t="shared" si="1659"/>
        <v>4.0999999999999996</v>
      </c>
      <c r="AQ418" s="17">
        <f t="shared" ref="AQ418" si="1660">+AQ486</f>
        <v>-52.7</v>
      </c>
    </row>
    <row r="419" spans="2:43" x14ac:dyDescent="0.2">
      <c r="B419" s="11" t="s">
        <v>97</v>
      </c>
      <c r="D419" s="14"/>
      <c r="E419" s="14"/>
      <c r="F419" s="14"/>
      <c r="G419" s="14"/>
      <c r="H419" s="17">
        <f t="shared" si="1648"/>
        <v>-0.9</v>
      </c>
      <c r="I419" s="153">
        <f t="shared" ref="I419:K419" si="1661">+IFERROR(I487-H487,"n/a")</f>
        <v>-0.9</v>
      </c>
      <c r="J419" s="153">
        <f t="shared" si="1661"/>
        <v>0</v>
      </c>
      <c r="K419" s="153">
        <f t="shared" si="1661"/>
        <v>-0.59999999999999987</v>
      </c>
      <c r="L419" s="17">
        <f t="shared" si="1650"/>
        <v>-0.3</v>
      </c>
      <c r="M419" s="153">
        <f t="shared" ref="M419:O419" si="1662">+IFERROR(M487-L487,"n/a")</f>
        <v>-0.3</v>
      </c>
      <c r="N419" s="153">
        <f t="shared" si="1662"/>
        <v>0</v>
      </c>
      <c r="O419" s="153">
        <f t="shared" si="1662"/>
        <v>0</v>
      </c>
      <c r="P419" s="17">
        <f t="shared" si="1652"/>
        <v>0</v>
      </c>
      <c r="Q419" s="153">
        <f t="shared" ref="Q419:S419" si="1663">+IFERROR(Q487-P487,"n/a")</f>
        <v>0</v>
      </c>
      <c r="R419" s="153">
        <f t="shared" si="1663"/>
        <v>0</v>
      </c>
      <c r="S419" s="153">
        <f t="shared" si="1663"/>
        <v>-0.3</v>
      </c>
      <c r="T419" s="17">
        <f t="shared" si="1654"/>
        <v>0</v>
      </c>
      <c r="U419" s="153">
        <f t="shared" si="1643"/>
        <v>0</v>
      </c>
      <c r="V419" s="153">
        <f t="shared" si="1643"/>
        <v>0</v>
      </c>
      <c r="W419" s="153">
        <f t="shared" si="1643"/>
        <v>0</v>
      </c>
      <c r="X419" s="17">
        <f t="shared" si="1655"/>
        <v>0</v>
      </c>
      <c r="Y419" s="153">
        <f t="shared" si="1644"/>
        <v>0</v>
      </c>
      <c r="Z419" s="153">
        <f t="shared" ref="Z419:AA419" si="1664">+IFERROR(Z487-Y487,"n/a")</f>
        <v>0</v>
      </c>
      <c r="AA419" s="153">
        <f t="shared" si="1664"/>
        <v>0</v>
      </c>
      <c r="AB419" s="17">
        <f t="shared" si="1657"/>
        <v>0</v>
      </c>
      <c r="AC419" s="153">
        <f t="shared" si="1646"/>
        <v>0</v>
      </c>
      <c r="AD419" s="153">
        <f t="shared" si="1646"/>
        <v>0</v>
      </c>
      <c r="AK419" s="17">
        <f t="shared" ref="AK419:AL419" si="1665">+AK487</f>
        <v>0</v>
      </c>
      <c r="AL419" s="17">
        <f t="shared" si="1665"/>
        <v>0</v>
      </c>
      <c r="AM419" s="17">
        <f t="shared" si="1659"/>
        <v>-2.4</v>
      </c>
      <c r="AN419" s="17">
        <f t="shared" si="1659"/>
        <v>-0.6</v>
      </c>
      <c r="AO419" s="17">
        <f t="shared" si="1659"/>
        <v>-0.3</v>
      </c>
      <c r="AP419" s="17">
        <f t="shared" si="1659"/>
        <v>0</v>
      </c>
      <c r="AQ419" s="17">
        <f t="shared" ref="AQ419" si="1666">+AQ487</f>
        <v>0</v>
      </c>
    </row>
    <row r="420" spans="2:43" x14ac:dyDescent="0.2">
      <c r="B420" s="11" t="s">
        <v>98</v>
      </c>
      <c r="D420" s="14">
        <v>-1.4640820000000001</v>
      </c>
      <c r="E420" s="14">
        <v>-0.41044000000000003</v>
      </c>
      <c r="F420" s="14">
        <v>1.013096</v>
      </c>
      <c r="G420" s="14">
        <v>1.443719</v>
      </c>
      <c r="H420" s="17">
        <f t="shared" si="1648"/>
        <v>-1.3</v>
      </c>
      <c r="I420" s="153">
        <f t="shared" ref="I420:K420" si="1667">+IFERROR(I488-H488,"n/a")</f>
        <v>0.4</v>
      </c>
      <c r="J420" s="153">
        <f t="shared" si="1667"/>
        <v>-1.4</v>
      </c>
      <c r="K420" s="153">
        <f t="shared" si="1667"/>
        <v>-0.40000000000000036</v>
      </c>
      <c r="L420" s="17">
        <f t="shared" si="1650"/>
        <v>-3.2</v>
      </c>
      <c r="M420" s="153">
        <f t="shared" ref="M420:O420" si="1668">+IFERROR(M488-L488,"n/a")</f>
        <v>2.5</v>
      </c>
      <c r="N420" s="153">
        <f t="shared" si="1668"/>
        <v>-2.2000000000000002</v>
      </c>
      <c r="O420" s="153">
        <f t="shared" si="1668"/>
        <v>1.7</v>
      </c>
      <c r="P420" s="17">
        <f t="shared" si="1652"/>
        <v>1.1000000000000001</v>
      </c>
      <c r="Q420" s="153">
        <f t="shared" ref="Q420:S420" si="1669">+IFERROR(Q488-P488,"n/a")</f>
        <v>-2.7</v>
      </c>
      <c r="R420" s="153">
        <f t="shared" si="1669"/>
        <v>0.20000000000000018</v>
      </c>
      <c r="S420" s="153">
        <f t="shared" si="1669"/>
        <v>0.99999999999999989</v>
      </c>
      <c r="T420" s="17">
        <f t="shared" si="1654"/>
        <v>0.6</v>
      </c>
      <c r="U420" s="153">
        <f t="shared" si="1643"/>
        <v>1.1000000000000001</v>
      </c>
      <c r="V420" s="153">
        <f t="shared" si="1643"/>
        <v>-6.3</v>
      </c>
      <c r="W420" s="153">
        <f t="shared" si="1643"/>
        <v>3.0999999999999996</v>
      </c>
      <c r="X420" s="17">
        <f t="shared" si="1655"/>
        <v>0.1</v>
      </c>
      <c r="Y420" s="153">
        <f t="shared" si="1644"/>
        <v>-1</v>
      </c>
      <c r="Z420" s="153">
        <f t="shared" ref="Z420:AA420" si="1670">+IFERROR(Z488-Y488,"n/a")</f>
        <v>-4.5</v>
      </c>
      <c r="AA420" s="153">
        <f t="shared" si="1670"/>
        <v>-1.3999999999999995</v>
      </c>
      <c r="AB420" s="17">
        <f t="shared" si="1657"/>
        <v>-8.5</v>
      </c>
      <c r="AC420" s="153">
        <f t="shared" si="1646"/>
        <v>-5.8000000000000007</v>
      </c>
      <c r="AD420" s="153">
        <f t="shared" si="1646"/>
        <v>-4.1999999999999993</v>
      </c>
      <c r="AK420" s="17">
        <f t="shared" ref="AK420:AL420" si="1671">+AK488</f>
        <v>0.6</v>
      </c>
      <c r="AL420" s="17">
        <f t="shared" si="1671"/>
        <v>0.6</v>
      </c>
      <c r="AM420" s="17">
        <f t="shared" si="1659"/>
        <v>-2.7</v>
      </c>
      <c r="AN420" s="17">
        <f t="shared" si="1659"/>
        <v>-1.2</v>
      </c>
      <c r="AO420" s="17">
        <f t="shared" si="1659"/>
        <v>-0.4</v>
      </c>
      <c r="AP420" s="17">
        <f t="shared" si="1659"/>
        <v>-1.5</v>
      </c>
      <c r="AQ420" s="17">
        <f t="shared" ref="AQ420" si="1672">+AQ488</f>
        <v>-6.8</v>
      </c>
    </row>
    <row r="421" spans="2:43" x14ac:dyDescent="0.2">
      <c r="B421" s="11" t="s">
        <v>99</v>
      </c>
      <c r="D421" s="14">
        <v>-1.1970080000000001</v>
      </c>
      <c r="E421" s="14">
        <v>0.135821</v>
      </c>
      <c r="F421" s="14">
        <v>-1.485417</v>
      </c>
      <c r="G421" s="14">
        <v>0.79652000000000001</v>
      </c>
      <c r="H421" s="17">
        <f t="shared" si="1648"/>
        <v>0.2</v>
      </c>
      <c r="I421" s="153">
        <f t="shared" ref="I421:K421" si="1673">+IFERROR(I489-H489,"n/a")</f>
        <v>-2.2000000000000002</v>
      </c>
      <c r="J421" s="153">
        <f t="shared" si="1673"/>
        <v>-0.29999999999999982</v>
      </c>
      <c r="K421" s="153">
        <f t="shared" si="1673"/>
        <v>0.59999999999999987</v>
      </c>
      <c r="L421" s="17">
        <f t="shared" si="1650"/>
        <v>-0.3</v>
      </c>
      <c r="M421" s="153">
        <f t="shared" ref="M421:O421" si="1674">+IFERROR(M489-L489,"n/a")</f>
        <v>0.4</v>
      </c>
      <c r="N421" s="153">
        <f t="shared" si="1674"/>
        <v>0</v>
      </c>
      <c r="O421" s="153">
        <f t="shared" si="1674"/>
        <v>1.0999999999999999</v>
      </c>
      <c r="P421" s="17">
        <f t="shared" si="1652"/>
        <v>0.1</v>
      </c>
      <c r="Q421" s="153">
        <f t="shared" ref="Q421:S421" si="1675">+IFERROR(Q489-P489,"n/a")</f>
        <v>2.9</v>
      </c>
      <c r="R421" s="153">
        <f t="shared" si="1675"/>
        <v>-0.10000000000000009</v>
      </c>
      <c r="S421" s="153">
        <f t="shared" si="1675"/>
        <v>-1.0999999999999999</v>
      </c>
      <c r="T421" s="17">
        <f t="shared" si="1654"/>
        <v>1.7</v>
      </c>
      <c r="U421" s="153">
        <f t="shared" si="1643"/>
        <v>1.2</v>
      </c>
      <c r="V421" s="153">
        <f t="shared" si="1643"/>
        <v>0.20000000000000018</v>
      </c>
      <c r="W421" s="153">
        <f t="shared" si="1643"/>
        <v>-0.30000000000000027</v>
      </c>
      <c r="X421" s="17">
        <f t="shared" si="1655"/>
        <v>0.7</v>
      </c>
      <c r="Y421" s="153">
        <f t="shared" si="1644"/>
        <v>1.8</v>
      </c>
      <c r="Z421" s="153">
        <f t="shared" ref="Z421:AA421" si="1676">+IFERROR(Z489-Y489,"n/a")</f>
        <v>3.2</v>
      </c>
      <c r="AA421" s="153">
        <f t="shared" si="1676"/>
        <v>1.5</v>
      </c>
      <c r="AB421" s="17">
        <f t="shared" si="1657"/>
        <v>0.7</v>
      </c>
      <c r="AC421" s="153">
        <f t="shared" si="1646"/>
        <v>2.2000000000000002</v>
      </c>
      <c r="AD421" s="153">
        <f t="shared" si="1646"/>
        <v>4.0999999999999996</v>
      </c>
      <c r="AK421" s="17">
        <f t="shared" ref="AK421:AL421" si="1677">+AK489</f>
        <v>-1.8</v>
      </c>
      <c r="AL421" s="17">
        <f t="shared" si="1677"/>
        <v>-1.8</v>
      </c>
      <c r="AM421" s="17">
        <f t="shared" si="1659"/>
        <v>-1.7</v>
      </c>
      <c r="AN421" s="17">
        <f t="shared" si="1659"/>
        <v>1.2</v>
      </c>
      <c r="AO421" s="17">
        <f t="shared" si="1659"/>
        <v>1.8</v>
      </c>
      <c r="AP421" s="17">
        <f t="shared" si="1659"/>
        <v>2.8</v>
      </c>
      <c r="AQ421" s="17">
        <f t="shared" ref="AQ421" si="1678">+AQ489</f>
        <v>7.2</v>
      </c>
    </row>
    <row r="422" spans="2:43" x14ac:dyDescent="0.2">
      <c r="B422" s="11" t="s">
        <v>100</v>
      </c>
      <c r="D422" s="14">
        <v>0.237321</v>
      </c>
      <c r="E422" s="14">
        <v>5.8619529999999997</v>
      </c>
      <c r="F422" s="14">
        <v>0.83921999999999997</v>
      </c>
      <c r="G422" s="14">
        <v>4.1948280000000002</v>
      </c>
      <c r="H422" s="17">
        <f t="shared" si="1648"/>
        <v>3.9</v>
      </c>
      <c r="I422" s="153">
        <f t="shared" ref="I422:K422" si="1679">+IFERROR(I490-H490,"n/a")</f>
        <v>7.9</v>
      </c>
      <c r="J422" s="153">
        <f t="shared" si="1679"/>
        <v>2</v>
      </c>
      <c r="K422" s="153">
        <f t="shared" si="1679"/>
        <v>-1.5</v>
      </c>
      <c r="L422" s="17">
        <f t="shared" si="1650"/>
        <v>-4.7</v>
      </c>
      <c r="M422" s="153">
        <f t="shared" ref="M422:O422" si="1680">+IFERROR(M490-L490,"n/a")</f>
        <v>11.3</v>
      </c>
      <c r="N422" s="153">
        <f t="shared" si="1680"/>
        <v>10.299999999999999</v>
      </c>
      <c r="O422" s="153">
        <f t="shared" si="1680"/>
        <v>-18.899999999999999</v>
      </c>
      <c r="P422" s="17">
        <f t="shared" si="1652"/>
        <v>28</v>
      </c>
      <c r="Q422" s="153">
        <f t="shared" ref="Q422:S422" si="1681">+IFERROR(Q490-P490,"n/a")</f>
        <v>22.799999999999997</v>
      </c>
      <c r="R422" s="153">
        <f t="shared" si="1681"/>
        <v>8.3000000000000043</v>
      </c>
      <c r="S422" s="153">
        <f t="shared" si="1681"/>
        <v>-2.6000000000000014</v>
      </c>
      <c r="T422" s="17">
        <f t="shared" si="1654"/>
        <v>15.4</v>
      </c>
      <c r="U422" s="153">
        <f t="shared" si="1643"/>
        <v>20.399999999999999</v>
      </c>
      <c r="V422" s="153">
        <f t="shared" si="1643"/>
        <v>8.4000000000000057</v>
      </c>
      <c r="W422" s="153">
        <f t="shared" si="1643"/>
        <v>-6.9000000000000057</v>
      </c>
      <c r="X422" s="17">
        <f t="shared" si="1655"/>
        <v>5.3</v>
      </c>
      <c r="Y422" s="153">
        <f t="shared" si="1644"/>
        <v>14.3</v>
      </c>
      <c r="Z422" s="153">
        <f t="shared" ref="Z422:AA422" si="1682">+IFERROR(Z490-Y490,"n/a")</f>
        <v>-3.8000000000000007</v>
      </c>
      <c r="AA422" s="153">
        <f t="shared" si="1682"/>
        <v>-1.1000000000000014</v>
      </c>
      <c r="AB422" s="17">
        <f t="shared" si="1657"/>
        <v>21.4</v>
      </c>
      <c r="AC422" s="153">
        <f t="shared" si="1646"/>
        <v>15.300000000000004</v>
      </c>
      <c r="AD422" s="153">
        <f t="shared" si="1646"/>
        <v>-11.800000000000004</v>
      </c>
      <c r="AK422" s="17">
        <f t="shared" ref="AK422:AL422" si="1683">+AK490</f>
        <v>11.1</v>
      </c>
      <c r="AL422" s="17">
        <f t="shared" si="1683"/>
        <v>11.1</v>
      </c>
      <c r="AM422" s="17">
        <f t="shared" si="1659"/>
        <v>12.3</v>
      </c>
      <c r="AN422" s="17">
        <f t="shared" si="1659"/>
        <v>-2</v>
      </c>
      <c r="AO422" s="17">
        <f t="shared" si="1659"/>
        <v>56.5</v>
      </c>
      <c r="AP422" s="17">
        <f t="shared" si="1659"/>
        <v>37.299999999999997</v>
      </c>
      <c r="AQ422" s="17">
        <f t="shared" ref="AQ422" si="1684">+AQ490</f>
        <v>14.7</v>
      </c>
    </row>
    <row r="423" spans="2:43" x14ac:dyDescent="0.2">
      <c r="B423" s="11" t="s">
        <v>101</v>
      </c>
      <c r="D423" s="14">
        <v>6.0799519900000005</v>
      </c>
      <c r="E423" s="14">
        <v>11.113398009999999</v>
      </c>
      <c r="F423" s="14">
        <v>10.235191</v>
      </c>
      <c r="G423" s="14">
        <v>-13.710144</v>
      </c>
      <c r="H423" s="17">
        <f t="shared" si="1648"/>
        <v>4.0999999999999996</v>
      </c>
      <c r="I423" s="153">
        <f t="shared" ref="I423:K423" si="1685">+IFERROR(I491-H491,"n/a")</f>
        <v>1.1000000000000005</v>
      </c>
      <c r="J423" s="153">
        <f t="shared" si="1685"/>
        <v>3.8999999999999995</v>
      </c>
      <c r="K423" s="153">
        <f t="shared" si="1685"/>
        <v>-3.0999999999999996</v>
      </c>
      <c r="L423" s="17">
        <f t="shared" si="1650"/>
        <v>-2.2000000000000002</v>
      </c>
      <c r="M423" s="153">
        <f t="shared" ref="M423:O423" si="1686">+IFERROR(M491-L491,"n/a")</f>
        <v>-4.5</v>
      </c>
      <c r="N423" s="153">
        <f t="shared" si="1686"/>
        <v>1.2000000000000002</v>
      </c>
      <c r="O423" s="153">
        <f t="shared" si="1686"/>
        <v>0.20000000000000018</v>
      </c>
      <c r="P423" s="17">
        <f t="shared" si="1652"/>
        <v>6.4</v>
      </c>
      <c r="Q423" s="153">
        <f t="shared" ref="Q423:S423" si="1687">+IFERROR(Q491-P491,"n/a")</f>
        <v>-1.2000000000000002</v>
      </c>
      <c r="R423" s="153">
        <f t="shared" si="1687"/>
        <v>9.9999999999999645E-2</v>
      </c>
      <c r="S423" s="153">
        <f t="shared" si="1687"/>
        <v>-0.20000000000000018</v>
      </c>
      <c r="T423" s="17">
        <f t="shared" si="1654"/>
        <v>3.1</v>
      </c>
      <c r="U423" s="153">
        <f t="shared" si="1643"/>
        <v>0</v>
      </c>
      <c r="V423" s="153">
        <f t="shared" si="1643"/>
        <v>5.2000000000000011</v>
      </c>
      <c r="W423" s="153">
        <f t="shared" si="1643"/>
        <v>-0.20000000000000107</v>
      </c>
      <c r="X423" s="17">
        <f t="shared" si="1655"/>
        <v>5.9</v>
      </c>
      <c r="Y423" s="153">
        <f t="shared" si="1644"/>
        <v>3.9000000000000004</v>
      </c>
      <c r="Z423" s="153">
        <f t="shared" ref="Z423:AA423" si="1688">+IFERROR(Z491-Y491,"n/a")</f>
        <v>9.1999999999999993</v>
      </c>
      <c r="AA423" s="153">
        <f t="shared" si="1688"/>
        <v>-17</v>
      </c>
      <c r="AB423" s="17">
        <f t="shared" si="1657"/>
        <v>6.1</v>
      </c>
      <c r="AC423" s="153">
        <f t="shared" si="1646"/>
        <v>17.700000000000003</v>
      </c>
      <c r="AD423" s="153">
        <f t="shared" si="1646"/>
        <v>11.7</v>
      </c>
      <c r="AK423" s="17">
        <f t="shared" ref="AK423:AL423" si="1689">+AK491</f>
        <v>13.7</v>
      </c>
      <c r="AL423" s="17">
        <f t="shared" si="1689"/>
        <v>14.8</v>
      </c>
      <c r="AM423" s="17">
        <f t="shared" si="1659"/>
        <v>6</v>
      </c>
      <c r="AN423" s="17">
        <f t="shared" si="1659"/>
        <v>-5.3</v>
      </c>
      <c r="AO423" s="17">
        <f t="shared" si="1659"/>
        <v>5.0999999999999996</v>
      </c>
      <c r="AP423" s="17">
        <f t="shared" si="1659"/>
        <v>8.1</v>
      </c>
      <c r="AQ423" s="17">
        <f t="shared" ref="AQ423" si="1690">+AQ491</f>
        <v>2</v>
      </c>
    </row>
    <row r="424" spans="2:43" x14ac:dyDescent="0.2">
      <c r="B424" s="11" t="s">
        <v>102</v>
      </c>
      <c r="D424" s="14">
        <v>0</v>
      </c>
      <c r="E424" s="14">
        <v>0</v>
      </c>
      <c r="F424" s="14">
        <v>0</v>
      </c>
      <c r="G424" s="14">
        <v>0</v>
      </c>
      <c r="H424" s="17">
        <f t="shared" si="1648"/>
        <v>0</v>
      </c>
      <c r="I424" s="153">
        <f t="shared" ref="I424:K424" si="1691">+IFERROR(I492-H492,"n/a")</f>
        <v>0</v>
      </c>
      <c r="J424" s="153">
        <f t="shared" si="1691"/>
        <v>0</v>
      </c>
      <c r="K424" s="153">
        <f t="shared" si="1691"/>
        <v>0</v>
      </c>
      <c r="L424" s="17">
        <f t="shared" si="1650"/>
        <v>0</v>
      </c>
      <c r="M424" s="153">
        <f t="shared" ref="M424:O424" si="1692">+IFERROR(M492-L492,"n/a")</f>
        <v>0</v>
      </c>
      <c r="N424" s="153">
        <f t="shared" si="1692"/>
        <v>0</v>
      </c>
      <c r="O424" s="153">
        <f t="shared" si="1692"/>
        <v>0</v>
      </c>
      <c r="P424" s="17">
        <f t="shared" si="1652"/>
        <v>0</v>
      </c>
      <c r="Q424" s="153">
        <f t="shared" ref="Q424:S424" si="1693">+IFERROR(Q492-P492,"n/a")</f>
        <v>0</v>
      </c>
      <c r="R424" s="153">
        <f t="shared" si="1693"/>
        <v>0</v>
      </c>
      <c r="S424" s="153">
        <f t="shared" si="1693"/>
        <v>-0.5</v>
      </c>
      <c r="T424" s="17">
        <f t="shared" si="1654"/>
        <v>-0.1</v>
      </c>
      <c r="U424" s="153">
        <f t="shared" si="1643"/>
        <v>-0.19999999999999998</v>
      </c>
      <c r="V424" s="153">
        <f t="shared" si="1643"/>
        <v>-0.10000000000000003</v>
      </c>
      <c r="W424" s="153">
        <f t="shared" si="1643"/>
        <v>0.10000000000000003</v>
      </c>
      <c r="X424" s="17">
        <f t="shared" si="1655"/>
        <v>0.1</v>
      </c>
      <c r="Y424" s="153">
        <f t="shared" si="1644"/>
        <v>0</v>
      </c>
      <c r="Z424" s="153">
        <f t="shared" ref="Z424:AA424" si="1694">+IFERROR(Z492-Y492,"n/a")</f>
        <v>0</v>
      </c>
      <c r="AA424" s="153">
        <f t="shared" si="1694"/>
        <v>-0.2</v>
      </c>
      <c r="AB424" s="17">
        <f t="shared" si="1657"/>
        <v>-0.2</v>
      </c>
      <c r="AC424" s="153">
        <f t="shared" si="1646"/>
        <v>-0.2</v>
      </c>
      <c r="AD424" s="153">
        <f t="shared" si="1646"/>
        <v>-0.19999999999999996</v>
      </c>
      <c r="AK424" s="17">
        <f t="shared" ref="AK424:AL425" si="1695">+AK492</f>
        <v>0</v>
      </c>
      <c r="AL424" s="17">
        <f t="shared" si="1695"/>
        <v>0</v>
      </c>
      <c r="AM424" s="17">
        <f t="shared" si="1659"/>
        <v>0</v>
      </c>
      <c r="AN424" s="17">
        <f t="shared" si="1659"/>
        <v>0</v>
      </c>
      <c r="AO424" s="17">
        <f t="shared" si="1659"/>
        <v>-0.5</v>
      </c>
      <c r="AP424" s="17">
        <f t="shared" si="1659"/>
        <v>-0.3</v>
      </c>
      <c r="AQ424" s="17">
        <f t="shared" ref="AQ424" si="1696">+AQ492</f>
        <v>-0.1</v>
      </c>
    </row>
    <row r="425" spans="2:43" x14ac:dyDescent="0.2">
      <c r="B425" s="11" t="s">
        <v>266</v>
      </c>
      <c r="D425" s="14">
        <v>0</v>
      </c>
      <c r="E425" s="14">
        <v>0</v>
      </c>
      <c r="F425" s="14">
        <v>0</v>
      </c>
      <c r="G425" s="14">
        <v>0</v>
      </c>
      <c r="H425" s="17">
        <f t="shared" si="1648"/>
        <v>0</v>
      </c>
      <c r="I425" s="153">
        <f t="shared" ref="I425" si="1697">+IFERROR(I493-H493,"n/a")</f>
        <v>0</v>
      </c>
      <c r="J425" s="153">
        <f t="shared" ref="J425" si="1698">+IFERROR(J493-I493,"n/a")</f>
        <v>0</v>
      </c>
      <c r="K425" s="153">
        <f t="shared" ref="K425" si="1699">+IFERROR(K493-J493,"n/a")</f>
        <v>0</v>
      </c>
      <c r="L425" s="17">
        <f t="shared" si="1650"/>
        <v>0</v>
      </c>
      <c r="M425" s="153">
        <f t="shared" ref="M425" si="1700">+IFERROR(M493-L493,"n/a")</f>
        <v>0</v>
      </c>
      <c r="N425" s="153">
        <f t="shared" ref="N425" si="1701">+IFERROR(N493-M493,"n/a")</f>
        <v>0</v>
      </c>
      <c r="O425" s="153">
        <f t="shared" ref="O425" si="1702">+IFERROR(O493-N493,"n/a")</f>
        <v>0</v>
      </c>
      <c r="P425" s="17">
        <f t="shared" si="1652"/>
        <v>0</v>
      </c>
      <c r="Q425" s="153">
        <f t="shared" ref="Q425" si="1703">+IFERROR(Q493-P493,"n/a")</f>
        <v>0</v>
      </c>
      <c r="R425" s="153">
        <f t="shared" ref="R425" si="1704">+IFERROR(R493-Q493,"n/a")</f>
        <v>0</v>
      </c>
      <c r="S425" s="153">
        <f t="shared" ref="S425" si="1705">+IFERROR(S493-R493,"n/a")</f>
        <v>0</v>
      </c>
      <c r="T425" s="17">
        <f t="shared" si="1654"/>
        <v>0</v>
      </c>
      <c r="U425" s="153">
        <f t="shared" si="1643"/>
        <v>0</v>
      </c>
      <c r="V425" s="153">
        <f t="shared" si="1643"/>
        <v>0</v>
      </c>
      <c r="W425" s="153">
        <f t="shared" si="1643"/>
        <v>0</v>
      </c>
      <c r="X425" s="17">
        <f t="shared" si="1655"/>
        <v>0</v>
      </c>
      <c r="Y425" s="153">
        <f t="shared" si="1644"/>
        <v>0</v>
      </c>
      <c r="Z425" s="153">
        <f t="shared" ref="Z425:AA425" si="1706">+IFERROR(Z493-Y493,"n/a")</f>
        <v>-2.8</v>
      </c>
      <c r="AA425" s="153">
        <f t="shared" si="1706"/>
        <v>-15</v>
      </c>
      <c r="AB425" s="17">
        <f t="shared" si="1657"/>
        <v>-0.3</v>
      </c>
      <c r="AC425" s="153">
        <f t="shared" si="1646"/>
        <v>0</v>
      </c>
      <c r="AD425" s="153">
        <f t="shared" si="1646"/>
        <v>0</v>
      </c>
      <c r="AK425" s="17">
        <f t="shared" si="1695"/>
        <v>0</v>
      </c>
      <c r="AL425" s="17">
        <f t="shared" si="1695"/>
        <v>0</v>
      </c>
      <c r="AM425" s="17">
        <f t="shared" si="1659"/>
        <v>0</v>
      </c>
      <c r="AN425" s="17">
        <f t="shared" si="1659"/>
        <v>0</v>
      </c>
      <c r="AO425" s="17">
        <f t="shared" si="1659"/>
        <v>0</v>
      </c>
      <c r="AP425" s="17">
        <f t="shared" si="1659"/>
        <v>0</v>
      </c>
      <c r="AQ425" s="17">
        <f t="shared" ref="AQ425" si="1707">+AQ493</f>
        <v>0</v>
      </c>
    </row>
    <row r="426" spans="2:43" ht="13.5" x14ac:dyDescent="0.35">
      <c r="B426" s="11" t="s">
        <v>103</v>
      </c>
      <c r="D426" s="15">
        <v>3.2573989999999999</v>
      </c>
      <c r="E426" s="15">
        <v>-1.6139060000000001</v>
      </c>
      <c r="F426" s="15">
        <v>0.53849100000000005</v>
      </c>
      <c r="G426" s="15">
        <v>-1.423557</v>
      </c>
      <c r="H426" s="18">
        <f>+H494</f>
        <v>4.0999999999999996</v>
      </c>
      <c r="I426" s="154">
        <f t="shared" ref="I426:K426" si="1708">+IFERROR(I494-H494,"n/a")</f>
        <v>-1.1999999999999997</v>
      </c>
      <c r="J426" s="154">
        <f t="shared" si="1708"/>
        <v>0.20000000000000018</v>
      </c>
      <c r="K426" s="154">
        <f t="shared" si="1708"/>
        <v>-2</v>
      </c>
      <c r="L426" s="18">
        <f>+L494</f>
        <v>4.7</v>
      </c>
      <c r="M426" s="154">
        <f t="shared" ref="M426:O426" si="1709">+IFERROR(M494-L494,"n/a")</f>
        <v>-2.2000000000000002</v>
      </c>
      <c r="N426" s="154">
        <f t="shared" si="1709"/>
        <v>-0.20000000000000018</v>
      </c>
      <c r="O426" s="154">
        <f t="shared" si="1709"/>
        <v>-1.0999999999999999</v>
      </c>
      <c r="P426" s="18">
        <f>+P494</f>
        <v>6.6</v>
      </c>
      <c r="Q426" s="154">
        <f t="shared" ref="Q426:S426" si="1710">+IFERROR(Q494-P494,"n/a")</f>
        <v>-1.2999999999999998</v>
      </c>
      <c r="R426" s="154">
        <f t="shared" si="1710"/>
        <v>-2.5</v>
      </c>
      <c r="S426" s="154">
        <f t="shared" si="1710"/>
        <v>-2.0999999999999996</v>
      </c>
      <c r="T426" s="18">
        <f>+T494</f>
        <v>4.7</v>
      </c>
      <c r="U426" s="154">
        <f t="shared" si="1643"/>
        <v>-3.5</v>
      </c>
      <c r="V426" s="154">
        <f t="shared" si="1643"/>
        <v>1.2</v>
      </c>
      <c r="W426" s="154">
        <f t="shared" si="1643"/>
        <v>-4.5999999999999996</v>
      </c>
      <c r="X426" s="18">
        <f>+X494</f>
        <v>4.2</v>
      </c>
      <c r="Y426" s="154">
        <f t="shared" si="1644"/>
        <v>-5.1000000000000005</v>
      </c>
      <c r="Z426" s="154">
        <f t="shared" ref="Z426:AA426" si="1711">+IFERROR(Z494-Y494,"n/a")</f>
        <v>-1.2000000000000002</v>
      </c>
      <c r="AA426" s="154">
        <f t="shared" si="1711"/>
        <v>-5.4</v>
      </c>
      <c r="AB426" s="18">
        <f>+AB494</f>
        <v>-6.3</v>
      </c>
      <c r="AC426" s="154">
        <f t="shared" si="1646"/>
        <v>-7.0000000000000009</v>
      </c>
      <c r="AD426" s="154">
        <f t="shared" si="1646"/>
        <v>3.1000000000000014</v>
      </c>
      <c r="AK426" s="18">
        <f t="shared" ref="AK426:AL426" si="1712">+AK494</f>
        <v>0.8</v>
      </c>
      <c r="AL426" s="18">
        <f t="shared" si="1712"/>
        <v>0.8</v>
      </c>
      <c r="AM426" s="18">
        <f t="shared" ref="AM426:AQ427" si="1713">+AM494</f>
        <v>1.1000000000000001</v>
      </c>
      <c r="AN426" s="18">
        <f t="shared" si="1713"/>
        <v>1.2</v>
      </c>
      <c r="AO426" s="18">
        <f t="shared" si="1713"/>
        <v>0.7</v>
      </c>
      <c r="AP426" s="18">
        <f t="shared" si="1713"/>
        <v>-2.2000000000000002</v>
      </c>
      <c r="AQ426" s="18">
        <f t="shared" si="1713"/>
        <v>-7.5</v>
      </c>
    </row>
    <row r="427" spans="2:43" x14ac:dyDescent="0.2">
      <c r="B427" s="12" t="s">
        <v>104</v>
      </c>
      <c r="D427" s="17">
        <f>SUM(D420:D426)</f>
        <v>6.9135819900000008</v>
      </c>
      <c r="E427" s="17">
        <f t="shared" ref="E427:G427" si="1714">SUM(E420:E426)</f>
        <v>15.086826009999999</v>
      </c>
      <c r="F427" s="17">
        <f t="shared" si="1714"/>
        <v>11.140581000000001</v>
      </c>
      <c r="G427" s="17">
        <f t="shared" si="1714"/>
        <v>-8.6986340000000002</v>
      </c>
      <c r="H427" s="17">
        <f>+H495</f>
        <v>10.399999999999999</v>
      </c>
      <c r="I427" s="153">
        <f t="shared" ref="I427:K427" si="1715">+IFERROR(I495-H495,"n/a")</f>
        <v>12.500000000000004</v>
      </c>
      <c r="J427" s="153">
        <f t="shared" si="1715"/>
        <v>10.199999999999999</v>
      </c>
      <c r="K427" s="153">
        <f t="shared" si="1715"/>
        <v>-6.3999999999999986</v>
      </c>
      <c r="L427" s="17">
        <f>+L495</f>
        <v>9.6999999999999993</v>
      </c>
      <c r="M427" s="153">
        <f t="shared" ref="M427:O427" si="1716">+IFERROR(M495-L495,"n/a")</f>
        <v>-3.0000000000000044</v>
      </c>
      <c r="N427" s="153">
        <f t="shared" si="1716"/>
        <v>10.300000000000011</v>
      </c>
      <c r="O427" s="153">
        <f t="shared" si="1716"/>
        <v>6.399999999999995</v>
      </c>
      <c r="P427" s="17">
        <f>+P495</f>
        <v>-1.7000000000000028</v>
      </c>
      <c r="Q427" s="153">
        <f t="shared" ref="Q427:S427" si="1717">+IFERROR(Q495-P495,"n/a")</f>
        <v>6.6999999999999957</v>
      </c>
      <c r="R427" s="153">
        <f t="shared" si="1717"/>
        <v>20.600000000000009</v>
      </c>
      <c r="S427" s="153">
        <f t="shared" si="1717"/>
        <v>3.6000000000000121</v>
      </c>
      <c r="T427" s="17">
        <f>+T495</f>
        <v>37.1</v>
      </c>
      <c r="U427" s="153">
        <f t="shared" si="1643"/>
        <v>47.9</v>
      </c>
      <c r="V427" s="153">
        <f t="shared" si="1643"/>
        <v>70.300000000000011</v>
      </c>
      <c r="W427" s="153">
        <f t="shared" si="1643"/>
        <v>145.30000000000007</v>
      </c>
      <c r="X427" s="17">
        <f>+X495</f>
        <v>86.699999999999974</v>
      </c>
      <c r="Y427" s="153">
        <f t="shared" si="1644"/>
        <v>100.89999999999999</v>
      </c>
      <c r="Z427" s="153">
        <f t="shared" ref="Z427:AA427" si="1718">+IFERROR(Z495-Y495,"n/a")</f>
        <v>121</v>
      </c>
      <c r="AA427" s="153">
        <f t="shared" si="1718"/>
        <v>113.89999999999998</v>
      </c>
      <c r="AB427" s="17">
        <f>+AB495</f>
        <v>66.199999999999974</v>
      </c>
      <c r="AC427" s="153">
        <f t="shared" si="1646"/>
        <v>125.70000000000003</v>
      </c>
      <c r="AD427" s="153">
        <f t="shared" si="1646"/>
        <v>192.99999999999991</v>
      </c>
      <c r="AK427" s="17">
        <f t="shared" ref="AK427:AL429" si="1719">+AK495</f>
        <v>25.500000000000004</v>
      </c>
      <c r="AL427" s="17">
        <f t="shared" si="1719"/>
        <v>25.499999999999996</v>
      </c>
      <c r="AM427" s="17">
        <f t="shared" si="1713"/>
        <v>26.700000000000003</v>
      </c>
      <c r="AN427" s="17">
        <f t="shared" si="1713"/>
        <v>23.400000000000002</v>
      </c>
      <c r="AO427" s="17">
        <f t="shared" si="1713"/>
        <v>29.200000000000014</v>
      </c>
      <c r="AP427" s="17">
        <f t="shared" si="1713"/>
        <v>300.60000000000008</v>
      </c>
      <c r="AQ427" s="17">
        <f t="shared" si="1713"/>
        <v>422.49999999999994</v>
      </c>
    </row>
    <row r="428" spans="2:43" ht="13.5" x14ac:dyDescent="0.35">
      <c r="B428" t="s">
        <v>109</v>
      </c>
      <c r="D428" s="15">
        <v>-5.5240030000000004</v>
      </c>
      <c r="E428" s="15">
        <v>-8.0675310000000007</v>
      </c>
      <c r="F428" s="15">
        <v>-9.6812470000000008</v>
      </c>
      <c r="G428" s="15">
        <v>-7.3225220000000002</v>
      </c>
      <c r="H428" s="18">
        <f>+H496</f>
        <v>-3.7</v>
      </c>
      <c r="I428" s="154">
        <f t="shared" ref="I428:K428" si="1720">+IFERROR(I496-H496,"n/a")</f>
        <v>-5.1000000000000005</v>
      </c>
      <c r="J428" s="154">
        <f t="shared" si="1720"/>
        <v>-4.7999999999999989</v>
      </c>
      <c r="K428" s="154">
        <f t="shared" si="1720"/>
        <v>-5.0999999999999996</v>
      </c>
      <c r="L428" s="18">
        <f>+L496</f>
        <v>-5.6</v>
      </c>
      <c r="M428" s="154">
        <f t="shared" ref="M428:O428" si="1721">+IFERROR(M496-L496,"n/a")</f>
        <v>-4.2000000000000011</v>
      </c>
      <c r="N428" s="154">
        <f t="shared" si="1721"/>
        <v>-4.5999999999999996</v>
      </c>
      <c r="O428" s="154">
        <f t="shared" si="1721"/>
        <v>-4.9999999999999982</v>
      </c>
      <c r="P428" s="18">
        <f>+P496</f>
        <v>-5.4</v>
      </c>
      <c r="Q428" s="154">
        <f t="shared" ref="Q428:S428" si="1722">+IFERROR(Q496-P496,"n/a")</f>
        <v>-7.2999999999999989</v>
      </c>
      <c r="R428" s="154">
        <f t="shared" si="1722"/>
        <v>-6.6000000000000014</v>
      </c>
      <c r="S428" s="154">
        <f t="shared" si="1722"/>
        <v>-6.8999999999999986</v>
      </c>
      <c r="T428" s="18">
        <f>+T496</f>
        <v>-6.3</v>
      </c>
      <c r="U428" s="154">
        <f t="shared" si="1643"/>
        <v>-7.8999999999999995</v>
      </c>
      <c r="V428" s="154">
        <f t="shared" si="1643"/>
        <v>-5.1999999999999993</v>
      </c>
      <c r="W428" s="154">
        <f t="shared" si="1643"/>
        <v>-5.8000000000000007</v>
      </c>
      <c r="X428" s="18">
        <f>+X496</f>
        <v>-7.3</v>
      </c>
      <c r="Y428" s="154">
        <f t="shared" si="1644"/>
        <v>-9</v>
      </c>
      <c r="Z428" s="154">
        <f t="shared" ref="Z428:AA428" si="1723">+IFERROR(Z496-Y496,"n/a")</f>
        <v>-9.3000000000000007</v>
      </c>
      <c r="AA428" s="154">
        <f t="shared" si="1723"/>
        <v>-8.6000000000000014</v>
      </c>
      <c r="AB428" s="18">
        <f>+AB496</f>
        <v>-9.5</v>
      </c>
      <c r="AC428" s="154">
        <f t="shared" si="1646"/>
        <v>-9.6000000000000014</v>
      </c>
      <c r="AD428" s="154">
        <f t="shared" si="1646"/>
        <v>-10.899999999999999</v>
      </c>
      <c r="AK428" s="17"/>
      <c r="AL428" s="18">
        <f t="shared" si="1719"/>
        <v>-30.6</v>
      </c>
      <c r="AM428" s="18">
        <f t="shared" ref="AM428:AO428" si="1724">+AM496</f>
        <v>-18.7</v>
      </c>
      <c r="AN428" s="18">
        <f t="shared" si="1724"/>
        <v>-19.399999999999999</v>
      </c>
      <c r="AO428" s="18">
        <f t="shared" si="1724"/>
        <v>-26.2</v>
      </c>
      <c r="AP428" s="18">
        <f t="shared" ref="AP428:AQ428" si="1725">+AP496</f>
        <v>-25.2</v>
      </c>
      <c r="AQ428" s="18">
        <f t="shared" si="1725"/>
        <v>-34.200000000000003</v>
      </c>
    </row>
    <row r="429" spans="2:43" s="1" customFormat="1" x14ac:dyDescent="0.2">
      <c r="B429" s="40" t="s">
        <v>231</v>
      </c>
      <c r="D429" s="34">
        <f>+SUM(D427:D428)</f>
        <v>1.3895789900000004</v>
      </c>
      <c r="E429" s="34">
        <f t="shared" ref="E429:G429" si="1726">+SUM(E427:E428)</f>
        <v>7.0192950099999987</v>
      </c>
      <c r="F429" s="34">
        <f t="shared" si="1726"/>
        <v>1.4593340000000001</v>
      </c>
      <c r="G429" s="34">
        <f t="shared" si="1726"/>
        <v>-16.021156000000001</v>
      </c>
      <c r="H429" s="34">
        <f>+H497</f>
        <v>6.6999999999999984</v>
      </c>
      <c r="I429" s="273">
        <f t="shared" ref="I429:K429" si="1727">+IFERROR(I497-H497,"n/a")</f>
        <v>7.400000000000003</v>
      </c>
      <c r="J429" s="273">
        <f t="shared" si="1727"/>
        <v>5.3999999999999986</v>
      </c>
      <c r="K429" s="273">
        <f t="shared" si="1727"/>
        <v>-11.499999999999996</v>
      </c>
      <c r="L429" s="34">
        <f>+L497</f>
        <v>4.0999999999999996</v>
      </c>
      <c r="M429" s="273">
        <f t="shared" ref="M429:O429" si="1728">+IFERROR(M497-L497,"n/a")</f>
        <v>-7.2000000000000055</v>
      </c>
      <c r="N429" s="273">
        <f t="shared" si="1728"/>
        <v>5.7000000000000126</v>
      </c>
      <c r="O429" s="273">
        <f t="shared" si="1728"/>
        <v>1.3999999999999968</v>
      </c>
      <c r="P429" s="34">
        <f>+P497</f>
        <v>-7.1000000000000032</v>
      </c>
      <c r="Q429" s="273">
        <f t="shared" ref="Q429:S429" si="1729">+IFERROR(Q497-P497,"n/a")</f>
        <v>-0.6000000000000032</v>
      </c>
      <c r="R429" s="273">
        <f t="shared" si="1729"/>
        <v>14.000000000000007</v>
      </c>
      <c r="S429" s="273">
        <f t="shared" si="1729"/>
        <v>-3.2999999999999865</v>
      </c>
      <c r="T429" s="34">
        <f>+T497</f>
        <v>30.8</v>
      </c>
      <c r="U429" s="273">
        <f t="shared" si="1643"/>
        <v>40</v>
      </c>
      <c r="V429" s="273">
        <f t="shared" si="1643"/>
        <v>65.100000000000009</v>
      </c>
      <c r="W429" s="273">
        <f t="shared" si="1643"/>
        <v>139.50000000000009</v>
      </c>
      <c r="X429" s="34">
        <f>+X497</f>
        <v>79.399999999999977</v>
      </c>
      <c r="Y429" s="273">
        <f t="shared" si="1644"/>
        <v>91.899999999999977</v>
      </c>
      <c r="Z429" s="273">
        <f t="shared" ref="Z429:AA429" si="1730">+IFERROR(Z497-Y497,"n/a")</f>
        <v>111.69999999999999</v>
      </c>
      <c r="AA429" s="273">
        <f t="shared" si="1730"/>
        <v>105.30000000000001</v>
      </c>
      <c r="AB429" s="34">
        <f>+AB497</f>
        <v>56.699999999999974</v>
      </c>
      <c r="AC429" s="273">
        <f t="shared" si="1646"/>
        <v>116.10000000000004</v>
      </c>
      <c r="AD429" s="273">
        <f t="shared" si="1646"/>
        <v>182.09999999999991</v>
      </c>
      <c r="AK429" s="34"/>
      <c r="AL429" s="34">
        <f t="shared" si="1719"/>
        <v>-5.100000000000005</v>
      </c>
      <c r="AM429" s="34">
        <f t="shared" ref="AM429:AO429" si="1731">+AM497</f>
        <v>8.0000000000000036</v>
      </c>
      <c r="AN429" s="34">
        <f t="shared" si="1731"/>
        <v>4.0000000000000036</v>
      </c>
      <c r="AO429" s="34">
        <f t="shared" si="1731"/>
        <v>3.0000000000000142</v>
      </c>
      <c r="AP429" s="34">
        <f t="shared" ref="AP429:AQ429" si="1732">+AP497</f>
        <v>275.40000000000009</v>
      </c>
      <c r="AQ429" s="34">
        <f t="shared" si="1732"/>
        <v>388.29999999999995</v>
      </c>
    </row>
    <row r="430" spans="2:43" x14ac:dyDescent="0.2">
      <c r="D430" s="14"/>
      <c r="E430" s="14"/>
      <c r="F430" s="14"/>
      <c r="G430" s="14"/>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K430" s="17"/>
      <c r="AL430" s="17"/>
      <c r="AM430" s="17"/>
      <c r="AN430" s="17"/>
      <c r="AO430" s="17"/>
      <c r="AP430" s="17"/>
      <c r="AQ430" s="17"/>
    </row>
    <row r="431" spans="2:43" x14ac:dyDescent="0.2">
      <c r="B431" s="1" t="s">
        <v>105</v>
      </c>
      <c r="D431" s="14"/>
      <c r="E431" s="14"/>
      <c r="F431" s="14"/>
      <c r="G431" s="14"/>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K431" s="17"/>
      <c r="AL431" s="17"/>
      <c r="AM431" s="17"/>
      <c r="AN431" s="17"/>
      <c r="AO431" s="17"/>
      <c r="AP431" s="17"/>
      <c r="AQ431" s="17"/>
    </row>
    <row r="432" spans="2:43" x14ac:dyDescent="0.2">
      <c r="B432" t="s">
        <v>106</v>
      </c>
      <c r="D432" s="14">
        <v>-1.478566</v>
      </c>
      <c r="E432" s="14">
        <v>8.2480000000000001E-3</v>
      </c>
      <c r="F432" s="14">
        <v>0</v>
      </c>
      <c r="G432" s="14">
        <v>0</v>
      </c>
      <c r="H432" s="17">
        <f t="shared" ref="H432:H435" si="1733">+H500</f>
        <v>0</v>
      </c>
      <c r="I432" s="17">
        <f t="shared" ref="I432:K432" si="1734">+IFERROR(I500-H500,"n/a")</f>
        <v>0</v>
      </c>
      <c r="J432" s="17">
        <f t="shared" si="1734"/>
        <v>-60.2</v>
      </c>
      <c r="K432" s="17">
        <f t="shared" si="1734"/>
        <v>0</v>
      </c>
      <c r="L432" s="17">
        <f t="shared" ref="L432:L435" si="1735">+L500</f>
        <v>0</v>
      </c>
      <c r="M432" s="17">
        <f t="shared" ref="M432:O432" si="1736">+IFERROR(M500-L500,"n/a")</f>
        <v>0</v>
      </c>
      <c r="N432" s="17">
        <f t="shared" si="1736"/>
        <v>0</v>
      </c>
      <c r="O432" s="17">
        <f t="shared" si="1736"/>
        <v>-49.8</v>
      </c>
      <c r="P432" s="17">
        <f t="shared" ref="P432:P435" si="1737">+P500</f>
        <v>-40.6</v>
      </c>
      <c r="Q432" s="17">
        <f t="shared" ref="Q432:S432" si="1738">+IFERROR(Q500-P500,"n/a")</f>
        <v>0.39999999999999858</v>
      </c>
      <c r="R432" s="17">
        <f t="shared" si="1738"/>
        <v>-14</v>
      </c>
      <c r="S432" s="17">
        <f t="shared" si="1738"/>
        <v>-0.29999999999999716</v>
      </c>
      <c r="T432" s="17">
        <f t="shared" ref="T432:T435" si="1739">+T500</f>
        <v>-12.6</v>
      </c>
      <c r="U432" s="17">
        <f t="shared" ref="U432:W434" si="1740">+IFERROR(U500-T500,"n/a")</f>
        <v>0</v>
      </c>
      <c r="V432" s="17">
        <f t="shared" si="1740"/>
        <v>-122.6</v>
      </c>
      <c r="W432" s="17">
        <f t="shared" si="1740"/>
        <v>-0.10000000000002274</v>
      </c>
      <c r="X432" s="17">
        <f t="shared" ref="X432:X435" si="1741">+X500</f>
        <v>-1.2</v>
      </c>
      <c r="Y432" s="17">
        <f t="shared" ref="Y432:Y434" si="1742">+IFERROR(Y500-X500,"n/a")</f>
        <v>-35.099999999999994</v>
      </c>
      <c r="Z432" s="17">
        <f t="shared" ref="Z432:Z440" si="1743">+IFERROR(Z500-Y500,"n/a")</f>
        <v>0</v>
      </c>
      <c r="AA432" s="17">
        <f t="shared" ref="AA432:AA440" si="1744">+IFERROR(AA500-Z500,"n/a")</f>
        <v>-133.39999999999998</v>
      </c>
      <c r="AB432" s="17">
        <f t="shared" ref="AB432:AB435" si="1745">+AB500</f>
        <v>0</v>
      </c>
      <c r="AC432" s="17">
        <f t="shared" ref="AC432:AD435" si="1746">+IFERROR(AC500-AB500,"n/a")</f>
        <v>-301.39999999999998</v>
      </c>
      <c r="AD432" s="17">
        <f t="shared" si="1746"/>
        <v>-4.5</v>
      </c>
      <c r="AK432" s="17">
        <f t="shared" ref="AK432:AL432" si="1747">+AK500</f>
        <v>-1.5</v>
      </c>
      <c r="AL432" s="17">
        <f t="shared" si="1747"/>
        <v>-1.5</v>
      </c>
      <c r="AM432" s="17">
        <f t="shared" ref="AM432:AO435" si="1748">+AM500</f>
        <v>-60.2</v>
      </c>
      <c r="AN432" s="17">
        <f t="shared" si="1748"/>
        <v>-49.8</v>
      </c>
      <c r="AO432" s="17">
        <f t="shared" si="1748"/>
        <v>-54.5</v>
      </c>
      <c r="AP432" s="17">
        <f t="shared" ref="AP432:AQ432" si="1749">+AP500</f>
        <v>-135.30000000000001</v>
      </c>
      <c r="AQ432" s="17">
        <f t="shared" si="1749"/>
        <v>-169.7</v>
      </c>
    </row>
    <row r="433" spans="2:43" x14ac:dyDescent="0.2">
      <c r="B433" t="s">
        <v>107</v>
      </c>
      <c r="D433" s="14">
        <v>0</v>
      </c>
      <c r="E433" s="14">
        <v>0</v>
      </c>
      <c r="F433" s="14">
        <v>0</v>
      </c>
      <c r="G433" s="14">
        <v>0</v>
      </c>
      <c r="H433" s="17">
        <f t="shared" si="1733"/>
        <v>0</v>
      </c>
      <c r="I433" s="17">
        <f t="shared" ref="I433:K433" si="1750">+IFERROR(I501-H501,"n/a")</f>
        <v>0</v>
      </c>
      <c r="J433" s="17">
        <f t="shared" si="1750"/>
        <v>0</v>
      </c>
      <c r="K433" s="17">
        <f t="shared" si="1750"/>
        <v>0</v>
      </c>
      <c r="L433" s="17">
        <f t="shared" si="1735"/>
        <v>0</v>
      </c>
      <c r="M433" s="17">
        <f t="shared" ref="M433:O433" si="1751">+IFERROR(M501-L501,"n/a")</f>
        <v>0</v>
      </c>
      <c r="N433" s="17">
        <f t="shared" si="1751"/>
        <v>-5.8</v>
      </c>
      <c r="O433" s="17">
        <f t="shared" si="1751"/>
        <v>-8.6999999999999993</v>
      </c>
      <c r="P433" s="17">
        <f t="shared" si="1737"/>
        <v>-10.4</v>
      </c>
      <c r="Q433" s="17">
        <f t="shared" ref="Q433:S433" si="1752">+IFERROR(Q501-P501,"n/a")</f>
        <v>-8.4999999999999982</v>
      </c>
      <c r="R433" s="17">
        <f t="shared" si="1752"/>
        <v>-16.399999999999999</v>
      </c>
      <c r="S433" s="17">
        <f t="shared" si="1752"/>
        <v>-10.600000000000001</v>
      </c>
      <c r="T433" s="17">
        <f t="shared" si="1739"/>
        <v>-9.9</v>
      </c>
      <c r="U433" s="17">
        <f t="shared" si="1740"/>
        <v>-14.999999999999998</v>
      </c>
      <c r="V433" s="17">
        <f t="shared" si="1740"/>
        <v>-14.700000000000003</v>
      </c>
      <c r="W433" s="17">
        <f t="shared" si="1740"/>
        <v>-14.199999999999996</v>
      </c>
      <c r="X433" s="17">
        <f t="shared" si="1741"/>
        <v>-14.7</v>
      </c>
      <c r="Y433" s="17">
        <f t="shared" si="1742"/>
        <v>-22.3</v>
      </c>
      <c r="Z433" s="17">
        <f t="shared" si="1743"/>
        <v>-25.700000000000003</v>
      </c>
      <c r="AA433" s="17">
        <f t="shared" si="1744"/>
        <v>-15.099999999999994</v>
      </c>
      <c r="AB433" s="17">
        <f t="shared" si="1745"/>
        <v>-24.4</v>
      </c>
      <c r="AC433" s="17">
        <f t="shared" si="1746"/>
        <v>-22</v>
      </c>
      <c r="AD433" s="17">
        <f t="shared" si="1746"/>
        <v>-29.500000000000007</v>
      </c>
      <c r="AK433" s="17">
        <f t="shared" ref="AK433:AL433" si="1753">+AK501</f>
        <v>0</v>
      </c>
      <c r="AL433" s="17">
        <f t="shared" si="1753"/>
        <v>0</v>
      </c>
      <c r="AM433" s="17">
        <f t="shared" si="1748"/>
        <v>0</v>
      </c>
      <c r="AN433" s="17">
        <f t="shared" si="1748"/>
        <v>-14.5</v>
      </c>
      <c r="AO433" s="17">
        <f t="shared" si="1748"/>
        <v>-45.9</v>
      </c>
      <c r="AP433" s="17">
        <f t="shared" ref="AP433:AQ433" si="1754">+AP501</f>
        <v>-53.8</v>
      </c>
      <c r="AQ433" s="17">
        <f t="shared" si="1754"/>
        <v>-77.8</v>
      </c>
    </row>
    <row r="434" spans="2:43" x14ac:dyDescent="0.2">
      <c r="B434" t="s">
        <v>108</v>
      </c>
      <c r="D434" s="14">
        <v>0</v>
      </c>
      <c r="E434" s="14">
        <v>0</v>
      </c>
      <c r="F434" s="14">
        <v>0</v>
      </c>
      <c r="G434" s="14">
        <v>0</v>
      </c>
      <c r="H434" s="17">
        <f t="shared" si="1733"/>
        <v>0</v>
      </c>
      <c r="I434" s="17">
        <f t="shared" ref="I434:K434" si="1755">+IFERROR(I502-H502,"n/a")</f>
        <v>0</v>
      </c>
      <c r="J434" s="17">
        <f t="shared" si="1755"/>
        <v>0</v>
      </c>
      <c r="K434" s="17">
        <f t="shared" si="1755"/>
        <v>0</v>
      </c>
      <c r="L434" s="17">
        <f t="shared" si="1735"/>
        <v>0</v>
      </c>
      <c r="M434" s="17">
        <f t="shared" ref="M434:O434" si="1756">+IFERROR(M502-L502,"n/a")</f>
        <v>0</v>
      </c>
      <c r="N434" s="17">
        <f t="shared" si="1756"/>
        <v>0</v>
      </c>
      <c r="O434" s="17">
        <f t="shared" si="1756"/>
        <v>0</v>
      </c>
      <c r="P434" s="17">
        <f t="shared" si="1737"/>
        <v>-16</v>
      </c>
      <c r="Q434" s="17">
        <f t="shared" ref="Q434:S434" si="1757">+IFERROR(Q502-P502,"n/a")</f>
        <v>-13.5</v>
      </c>
      <c r="R434" s="17">
        <f t="shared" si="1757"/>
        <v>0</v>
      </c>
      <c r="S434" s="17">
        <f t="shared" si="1757"/>
        <v>-1</v>
      </c>
      <c r="T434" s="17">
        <f t="shared" si="1739"/>
        <v>-1.5</v>
      </c>
      <c r="U434" s="17">
        <f t="shared" si="1740"/>
        <v>0</v>
      </c>
      <c r="V434" s="17">
        <f t="shared" si="1740"/>
        <v>0</v>
      </c>
      <c r="W434" s="17">
        <f t="shared" si="1740"/>
        <v>0</v>
      </c>
      <c r="X434" s="17">
        <f t="shared" si="1741"/>
        <v>0</v>
      </c>
      <c r="Y434" s="17">
        <f t="shared" si="1742"/>
        <v>0</v>
      </c>
      <c r="Z434" s="17">
        <f t="shared" si="1743"/>
        <v>0</v>
      </c>
      <c r="AA434" s="17">
        <f t="shared" si="1744"/>
        <v>0</v>
      </c>
      <c r="AB434" s="17">
        <f t="shared" si="1745"/>
        <v>0</v>
      </c>
      <c r="AC434" s="17">
        <f t="shared" si="1746"/>
        <v>0</v>
      </c>
      <c r="AD434" s="17">
        <f t="shared" si="1746"/>
        <v>0</v>
      </c>
      <c r="AK434" s="17">
        <f t="shared" ref="AK434:AL435" si="1758">+AK502</f>
        <v>0</v>
      </c>
      <c r="AL434" s="17">
        <f t="shared" si="1758"/>
        <v>0</v>
      </c>
      <c r="AM434" s="17">
        <f t="shared" si="1748"/>
        <v>0</v>
      </c>
      <c r="AN434" s="17">
        <f t="shared" si="1748"/>
        <v>0</v>
      </c>
      <c r="AO434" s="17">
        <f t="shared" si="1748"/>
        <v>-30.5</v>
      </c>
      <c r="AP434" s="17">
        <f t="shared" ref="AP434:AQ435" si="1759">+AP502</f>
        <v>-1.5</v>
      </c>
      <c r="AQ434" s="17">
        <f t="shared" si="1759"/>
        <v>0</v>
      </c>
    </row>
    <row r="435" spans="2:43" x14ac:dyDescent="0.2">
      <c r="B435" t="s">
        <v>267</v>
      </c>
      <c r="D435" s="14">
        <v>0</v>
      </c>
      <c r="E435" s="14">
        <v>0</v>
      </c>
      <c r="F435" s="14">
        <v>0</v>
      </c>
      <c r="G435" s="14">
        <v>0</v>
      </c>
      <c r="H435" s="17">
        <f t="shared" si="1733"/>
        <v>0</v>
      </c>
      <c r="I435" s="17">
        <f t="shared" ref="I435" si="1760">+IFERROR(I503-H503,"n/a")</f>
        <v>0</v>
      </c>
      <c r="J435" s="17">
        <f t="shared" ref="J435" si="1761">+IFERROR(J503-I503,"n/a")</f>
        <v>0</v>
      </c>
      <c r="K435" s="17">
        <f t="shared" ref="K435" si="1762">+IFERROR(K503-J503,"n/a")</f>
        <v>0</v>
      </c>
      <c r="L435" s="17">
        <f t="shared" si="1735"/>
        <v>0</v>
      </c>
      <c r="M435" s="17">
        <f t="shared" ref="M435" si="1763">+IFERROR(M503-L503,"n/a")</f>
        <v>0</v>
      </c>
      <c r="N435" s="17">
        <f t="shared" ref="N435" si="1764">+IFERROR(N503-M503,"n/a")</f>
        <v>0</v>
      </c>
      <c r="O435" s="17">
        <f t="shared" ref="O435" si="1765">+IFERROR(O503-N503,"n/a")</f>
        <v>0</v>
      </c>
      <c r="P435" s="17">
        <f t="shared" si="1737"/>
        <v>0</v>
      </c>
      <c r="Q435" s="17">
        <f t="shared" ref="Q435" si="1766">+IFERROR(Q503-P503,"n/a")</f>
        <v>0</v>
      </c>
      <c r="R435" s="17">
        <f t="shared" ref="R435" si="1767">+IFERROR(R503-Q503,"n/a")</f>
        <v>0</v>
      </c>
      <c r="S435" s="17">
        <f t="shared" ref="S435" si="1768">+IFERROR(S503-R503,"n/a")</f>
        <v>0</v>
      </c>
      <c r="T435" s="17">
        <f t="shared" si="1739"/>
        <v>0</v>
      </c>
      <c r="U435" s="17">
        <f t="shared" ref="U435" si="1769">+IFERROR(U503-T503,"n/a")</f>
        <v>0</v>
      </c>
      <c r="V435" s="17">
        <f t="shared" ref="V435" si="1770">+IFERROR(V503-U503,"n/a")</f>
        <v>0</v>
      </c>
      <c r="W435" s="17">
        <f t="shared" ref="W435" si="1771">+IFERROR(W503-V503,"n/a")</f>
        <v>0</v>
      </c>
      <c r="X435" s="17">
        <f t="shared" si="1741"/>
        <v>0</v>
      </c>
      <c r="Y435" s="17">
        <f t="shared" ref="Y435" si="1772">+IFERROR(Y503-X503,"n/a")</f>
        <v>0</v>
      </c>
      <c r="Z435" s="17">
        <f t="shared" si="1743"/>
        <v>0</v>
      </c>
      <c r="AA435" s="17">
        <f t="shared" si="1744"/>
        <v>14.9</v>
      </c>
      <c r="AB435" s="17">
        <f t="shared" si="1745"/>
        <v>1.6</v>
      </c>
      <c r="AC435" s="17">
        <f t="shared" si="1746"/>
        <v>1</v>
      </c>
      <c r="AD435" s="17">
        <f t="shared" si="1746"/>
        <v>1.4999999999999996</v>
      </c>
      <c r="AK435" s="17">
        <f t="shared" si="1758"/>
        <v>0</v>
      </c>
      <c r="AL435" s="17">
        <f t="shared" si="1758"/>
        <v>0</v>
      </c>
      <c r="AM435" s="17">
        <f t="shared" si="1748"/>
        <v>0</v>
      </c>
      <c r="AN435" s="17">
        <f t="shared" si="1748"/>
        <v>0</v>
      </c>
      <c r="AO435" s="17">
        <f t="shared" si="1748"/>
        <v>0</v>
      </c>
      <c r="AP435" s="17">
        <f t="shared" si="1759"/>
        <v>0</v>
      </c>
      <c r="AQ435" s="17">
        <f t="shared" si="1759"/>
        <v>14.9</v>
      </c>
    </row>
    <row r="436" spans="2:43" x14ac:dyDescent="0.2">
      <c r="B436" t="s">
        <v>110</v>
      </c>
      <c r="D436" s="14">
        <v>-0.91719899999999999</v>
      </c>
      <c r="E436" s="14">
        <v>-1.0087390000000001</v>
      </c>
      <c r="F436" s="14">
        <v>-0.953592</v>
      </c>
      <c r="G436" s="14">
        <v>-1.168283</v>
      </c>
      <c r="H436" s="17">
        <f>+H504</f>
        <v>-1</v>
      </c>
      <c r="I436" s="17">
        <f t="shared" ref="I436:K436" si="1773">+IFERROR(I504-H504,"n/a")</f>
        <v>-1.2000000000000002</v>
      </c>
      <c r="J436" s="17">
        <f t="shared" si="1773"/>
        <v>-1.5</v>
      </c>
      <c r="K436" s="17">
        <f t="shared" si="1773"/>
        <v>-4.7</v>
      </c>
      <c r="L436" s="17">
        <f>+L504</f>
        <v>-2.2000000000000002</v>
      </c>
      <c r="M436" s="17">
        <f t="shared" ref="M436:O436" si="1774">+IFERROR(M504-L504,"n/a")</f>
        <v>-2.8999999999999995</v>
      </c>
      <c r="N436" s="17">
        <f t="shared" si="1774"/>
        <v>-1.9000000000000004</v>
      </c>
      <c r="O436" s="17">
        <f t="shared" si="1774"/>
        <v>-2.6999999999999993</v>
      </c>
      <c r="P436" s="17">
        <f>+P504</f>
        <v>-3.6</v>
      </c>
      <c r="Q436" s="17">
        <f t="shared" ref="Q436:S436" si="1775">+IFERROR(Q504-P504,"n/a")</f>
        <v>-4.7000000000000011</v>
      </c>
      <c r="R436" s="17">
        <f t="shared" si="1775"/>
        <v>-4.6999999999999993</v>
      </c>
      <c r="S436" s="17">
        <f t="shared" si="1775"/>
        <v>-8</v>
      </c>
      <c r="T436" s="17">
        <f>+T504</f>
        <v>-8</v>
      </c>
      <c r="U436" s="17">
        <f t="shared" ref="U436:W440" si="1776">+IFERROR(U504-T504,"n/a")</f>
        <v>-12.3</v>
      </c>
      <c r="V436" s="17">
        <f t="shared" si="1776"/>
        <v>-11.399999999999999</v>
      </c>
      <c r="W436" s="17">
        <f t="shared" si="1776"/>
        <v>-11.000000000000004</v>
      </c>
      <c r="X436" s="17">
        <f>+X504</f>
        <v>-10.7</v>
      </c>
      <c r="Y436" s="17">
        <f>+IFERROR(Y504-X504,"n/a")</f>
        <v>-7.1999999999999993</v>
      </c>
      <c r="Z436" s="17">
        <f t="shared" si="1743"/>
        <v>-11.400000000000002</v>
      </c>
      <c r="AA436" s="17">
        <f t="shared" si="1744"/>
        <v>-14.8</v>
      </c>
      <c r="AB436" s="17">
        <f>+AB504</f>
        <v>-14.7</v>
      </c>
      <c r="AC436" s="17">
        <f t="shared" ref="AC436:AD440" si="1777">+IFERROR(AC504-AB504,"n/a")</f>
        <v>-16.8</v>
      </c>
      <c r="AD436" s="17">
        <f t="shared" si="1777"/>
        <v>-16.899999999999999</v>
      </c>
      <c r="AK436" s="17">
        <f t="shared" ref="AK436:AL436" si="1778">+AK504</f>
        <v>-4</v>
      </c>
      <c r="AL436" s="17">
        <f t="shared" si="1778"/>
        <v>-4</v>
      </c>
      <c r="AM436" s="17">
        <f t="shared" ref="AM436:AO438" si="1779">+AM504</f>
        <v>-8.4</v>
      </c>
      <c r="AN436" s="17">
        <f t="shared" si="1779"/>
        <v>-9.6999999999999993</v>
      </c>
      <c r="AO436" s="17">
        <f t="shared" si="1779"/>
        <v>-21</v>
      </c>
      <c r="AP436" s="17">
        <f t="shared" ref="AP436:AQ436" si="1780">+AP504</f>
        <v>-42.7</v>
      </c>
      <c r="AQ436" s="17">
        <f t="shared" si="1780"/>
        <v>-44.1</v>
      </c>
    </row>
    <row r="437" spans="2:43" x14ac:dyDescent="0.2">
      <c r="B437" t="s">
        <v>111</v>
      </c>
      <c r="D437" s="14">
        <v>-0.73934299999999997</v>
      </c>
      <c r="E437" s="14">
        <v>-2.6795529999999999</v>
      </c>
      <c r="F437" s="14">
        <v>-0.11752700000000001</v>
      </c>
      <c r="G437" s="14">
        <v>-0.18419099999999999</v>
      </c>
      <c r="H437" s="17">
        <f>+H505</f>
        <v>-0.4</v>
      </c>
      <c r="I437" s="17">
        <f t="shared" ref="I437:K437" si="1781">+IFERROR(I505-H505,"n/a")</f>
        <v>-0.29999999999999993</v>
      </c>
      <c r="J437" s="17">
        <f t="shared" si="1781"/>
        <v>-2.4000000000000004</v>
      </c>
      <c r="K437" s="17">
        <f t="shared" si="1781"/>
        <v>-0.19999999999999973</v>
      </c>
      <c r="L437" s="17">
        <f>+L505</f>
        <v>-0.4</v>
      </c>
      <c r="M437" s="17">
        <f t="shared" ref="M437:O437" si="1782">+IFERROR(M505-L505,"n/a")</f>
        <v>0</v>
      </c>
      <c r="N437" s="17">
        <f t="shared" si="1782"/>
        <v>-1.7000000000000002</v>
      </c>
      <c r="O437" s="17">
        <f t="shared" si="1782"/>
        <v>-1.7999999999999998</v>
      </c>
      <c r="P437" s="17">
        <f>+P505</f>
        <v>-0.8</v>
      </c>
      <c r="Q437" s="17">
        <f t="shared" ref="Q437:S437" si="1783">+IFERROR(Q505-P505,"n/a")</f>
        <v>-9.9999999999999978E-2</v>
      </c>
      <c r="R437" s="17">
        <f t="shared" si="1783"/>
        <v>-3.5000000000000004</v>
      </c>
      <c r="S437" s="17">
        <f t="shared" si="1783"/>
        <v>-6</v>
      </c>
      <c r="T437" s="17">
        <f>+T505</f>
        <v>-4.5999999999999996</v>
      </c>
      <c r="U437" s="17">
        <f t="shared" si="1776"/>
        <v>-7.2000000000000011</v>
      </c>
      <c r="V437" s="17">
        <f t="shared" si="1776"/>
        <v>-256.39999999999998</v>
      </c>
      <c r="W437" s="17">
        <f t="shared" si="1776"/>
        <v>-7.3000000000000114</v>
      </c>
      <c r="X437" s="17">
        <f>+X505</f>
        <v>-2.1</v>
      </c>
      <c r="Y437" s="17">
        <f>+IFERROR(Y505-X505,"n/a")</f>
        <v>-6.6</v>
      </c>
      <c r="Z437" s="17">
        <f t="shared" si="1743"/>
        <v>-0.80000000000000071</v>
      </c>
      <c r="AA437" s="17">
        <f t="shared" si="1744"/>
        <v>0</v>
      </c>
      <c r="AB437" s="17">
        <f>+AB505</f>
        <v>-0.9</v>
      </c>
      <c r="AC437" s="17">
        <f t="shared" si="1777"/>
        <v>-0.4</v>
      </c>
      <c r="AD437" s="17">
        <f t="shared" si="1777"/>
        <v>-2.2999999999999998</v>
      </c>
      <c r="AK437" s="17">
        <f t="shared" ref="AK437:AL438" si="1784">+AK505</f>
        <v>-3.7</v>
      </c>
      <c r="AL437" s="17">
        <f t="shared" si="1784"/>
        <v>-3.7</v>
      </c>
      <c r="AM437" s="17">
        <f t="shared" si="1779"/>
        <v>-3.3</v>
      </c>
      <c r="AN437" s="17">
        <f t="shared" si="1779"/>
        <v>-3.9</v>
      </c>
      <c r="AO437" s="17">
        <f t="shared" si="1779"/>
        <v>-10.4</v>
      </c>
      <c r="AP437" s="17">
        <f t="shared" ref="AP437:AQ438" si="1785">+AP505</f>
        <v>-275.5</v>
      </c>
      <c r="AQ437" s="17">
        <f t="shared" si="1785"/>
        <v>-9.5</v>
      </c>
    </row>
    <row r="438" spans="2:43" x14ac:dyDescent="0.2">
      <c r="B438" t="s">
        <v>249</v>
      </c>
      <c r="D438" s="14">
        <v>0</v>
      </c>
      <c r="E438" s="14">
        <v>0</v>
      </c>
      <c r="F438" s="14">
        <v>0</v>
      </c>
      <c r="G438" s="14">
        <v>0</v>
      </c>
      <c r="H438" s="17">
        <f>+H506</f>
        <v>0</v>
      </c>
      <c r="I438" s="17">
        <f t="shared" ref="I438:K438" si="1786">+IFERROR(I506-H506,"n/a")</f>
        <v>0</v>
      </c>
      <c r="J438" s="17">
        <f t="shared" si="1786"/>
        <v>0</v>
      </c>
      <c r="K438" s="17">
        <f t="shared" si="1786"/>
        <v>0</v>
      </c>
      <c r="L438" s="17">
        <f>+L506</f>
        <v>0</v>
      </c>
      <c r="M438" s="17">
        <f t="shared" ref="M438:O438" si="1787">+IFERROR(M506-L506,"n/a")</f>
        <v>0</v>
      </c>
      <c r="N438" s="17">
        <f t="shared" si="1787"/>
        <v>0</v>
      </c>
      <c r="O438" s="17">
        <f t="shared" si="1787"/>
        <v>0</v>
      </c>
      <c r="P438" s="17">
        <f>+P506</f>
        <v>0</v>
      </c>
      <c r="Q438" s="17">
        <f t="shared" ref="Q438:S438" si="1788">+IFERROR(Q506-P506,"n/a")</f>
        <v>0</v>
      </c>
      <c r="R438" s="17">
        <f t="shared" si="1788"/>
        <v>0</v>
      </c>
      <c r="S438" s="17">
        <f t="shared" si="1788"/>
        <v>0</v>
      </c>
      <c r="T438" s="17">
        <f>+T506</f>
        <v>0</v>
      </c>
      <c r="U438" s="17">
        <f t="shared" si="1776"/>
        <v>0</v>
      </c>
      <c r="V438" s="17">
        <f t="shared" si="1776"/>
        <v>0</v>
      </c>
      <c r="W438" s="17">
        <f t="shared" si="1776"/>
        <v>0</v>
      </c>
      <c r="X438" s="17">
        <f>+X506</f>
        <v>0</v>
      </c>
      <c r="Y438" s="17">
        <f>+IFERROR(Y506-X506,"n/a")</f>
        <v>-2</v>
      </c>
      <c r="Z438" s="17">
        <f t="shared" si="1743"/>
        <v>0</v>
      </c>
      <c r="AA438" s="17">
        <f t="shared" si="1744"/>
        <v>0</v>
      </c>
      <c r="AB438" s="17">
        <f>+AB506</f>
        <v>0</v>
      </c>
      <c r="AC438" s="17">
        <f t="shared" si="1777"/>
        <v>0</v>
      </c>
      <c r="AD438" s="17">
        <f t="shared" si="1777"/>
        <v>0</v>
      </c>
      <c r="AK438" s="17"/>
      <c r="AL438" s="17">
        <f t="shared" si="1784"/>
        <v>0</v>
      </c>
      <c r="AM438" s="17">
        <f t="shared" si="1779"/>
        <v>0</v>
      </c>
      <c r="AN438" s="17">
        <f t="shared" si="1779"/>
        <v>0</v>
      </c>
      <c r="AO438" s="17">
        <f t="shared" si="1779"/>
        <v>0</v>
      </c>
      <c r="AP438" s="17">
        <f t="shared" si="1785"/>
        <v>0</v>
      </c>
      <c r="AQ438" s="17">
        <f t="shared" si="1785"/>
        <v>-2</v>
      </c>
    </row>
    <row r="439" spans="2:43" ht="13.5" x14ac:dyDescent="0.35">
      <c r="B439" t="s">
        <v>112</v>
      </c>
      <c r="D439" s="15">
        <v>-0.22101999999999999</v>
      </c>
      <c r="E439" s="15">
        <v>-0.650003</v>
      </c>
      <c r="F439" s="15">
        <v>-0.29122900000000002</v>
      </c>
      <c r="G439" s="15">
        <v>-0.47245500000000001</v>
      </c>
      <c r="H439" s="18">
        <f>+H507</f>
        <v>-2</v>
      </c>
      <c r="I439" s="18">
        <f t="shared" ref="I439:K439" si="1789">+IFERROR(I507-H507,"n/a")</f>
        <v>-4.2</v>
      </c>
      <c r="J439" s="18">
        <f t="shared" si="1789"/>
        <v>-1.5</v>
      </c>
      <c r="K439" s="18">
        <f t="shared" si="1789"/>
        <v>-0.49999999999999911</v>
      </c>
      <c r="L439" s="18">
        <f>+L507</f>
        <v>-1.4</v>
      </c>
      <c r="M439" s="18">
        <f t="shared" ref="M439:O439" si="1790">+IFERROR(M507-L507,"n/a")</f>
        <v>0</v>
      </c>
      <c r="N439" s="18">
        <f t="shared" si="1790"/>
        <v>-1.2000000000000002</v>
      </c>
      <c r="O439" s="18">
        <f t="shared" si="1790"/>
        <v>-2.1999999999999997</v>
      </c>
      <c r="P439" s="18">
        <f>+P507</f>
        <v>-0.7</v>
      </c>
      <c r="Q439" s="18">
        <f t="shared" ref="Q439:S439" si="1791">+IFERROR(Q507-P507,"n/a")</f>
        <v>-4.3</v>
      </c>
      <c r="R439" s="18">
        <f t="shared" si="1791"/>
        <v>-1.2999999999999998</v>
      </c>
      <c r="S439" s="18">
        <f t="shared" si="1791"/>
        <v>-1.8999999999999995</v>
      </c>
      <c r="T439" s="18">
        <f>+T507</f>
        <v>-1</v>
      </c>
      <c r="U439" s="18">
        <f t="shared" si="1776"/>
        <v>-0.8</v>
      </c>
      <c r="V439" s="18">
        <f t="shared" si="1776"/>
        <v>-5</v>
      </c>
      <c r="W439" s="18">
        <f t="shared" si="1776"/>
        <v>-1.2000000000000002</v>
      </c>
      <c r="X439" s="18">
        <f>+X507</f>
        <v>-2.7</v>
      </c>
      <c r="Y439" s="18">
        <f>+IFERROR(Y507-X507,"n/a")</f>
        <v>-3.3999999999999995</v>
      </c>
      <c r="Z439" s="18">
        <f t="shared" si="1743"/>
        <v>-5.2000000000000011</v>
      </c>
      <c r="AA439" s="18">
        <f t="shared" si="1744"/>
        <v>-2.3999999999999986</v>
      </c>
      <c r="AB439" s="18">
        <f>+AB507</f>
        <v>-1.3</v>
      </c>
      <c r="AC439" s="18">
        <f t="shared" si="1777"/>
        <v>-2.2000000000000002</v>
      </c>
      <c r="AD439" s="18">
        <f t="shared" si="1777"/>
        <v>-2</v>
      </c>
      <c r="AK439" s="18">
        <f t="shared" ref="AK439:AL439" si="1792">+AK507</f>
        <v>-1.6</v>
      </c>
      <c r="AL439" s="18">
        <f t="shared" si="1792"/>
        <v>-1.6</v>
      </c>
      <c r="AM439" s="18">
        <f t="shared" ref="AM439:AO440" si="1793">+AM507</f>
        <v>-8.1999999999999993</v>
      </c>
      <c r="AN439" s="18">
        <f t="shared" si="1793"/>
        <v>-4.8</v>
      </c>
      <c r="AO439" s="18">
        <f t="shared" si="1793"/>
        <v>-8.1999999999999993</v>
      </c>
      <c r="AP439" s="18">
        <f t="shared" ref="AP439:AQ439" si="1794">+AP507</f>
        <v>-8</v>
      </c>
      <c r="AQ439" s="18">
        <f t="shared" si="1794"/>
        <v>-13.7</v>
      </c>
    </row>
    <row r="440" spans="2:43" s="1" customFormat="1" x14ac:dyDescent="0.2">
      <c r="B440" s="31" t="s">
        <v>113</v>
      </c>
      <c r="D440" s="34">
        <f>SUM(D432:D439)</f>
        <v>-3.356128</v>
      </c>
      <c r="E440" s="34">
        <f>SUM(E432:E439)</f>
        <v>-4.3300469999999995</v>
      </c>
      <c r="F440" s="34">
        <f>SUM(F432:F439)</f>
        <v>-1.3623479999999999</v>
      </c>
      <c r="G440" s="34">
        <f>SUM(G432:G439)</f>
        <v>-1.824929</v>
      </c>
      <c r="H440" s="34">
        <f>+H508</f>
        <v>-3.4</v>
      </c>
      <c r="I440" s="34">
        <f t="shared" ref="I440:K440" si="1795">+IFERROR(I508-H508,"n/a")</f>
        <v>-5.7000000000000011</v>
      </c>
      <c r="J440" s="34">
        <f t="shared" si="1795"/>
        <v>-65.599999999999994</v>
      </c>
      <c r="K440" s="34">
        <f t="shared" si="1795"/>
        <v>-5.4000000000000057</v>
      </c>
      <c r="L440" s="34">
        <f>+L508</f>
        <v>-4</v>
      </c>
      <c r="M440" s="34">
        <f t="shared" ref="M440:O440" si="1796">+IFERROR(M508-L508,"n/a")</f>
        <v>-2.9000000000000004</v>
      </c>
      <c r="N440" s="34">
        <f t="shared" si="1796"/>
        <v>-10.6</v>
      </c>
      <c r="O440" s="34">
        <f t="shared" si="1796"/>
        <v>-65.2</v>
      </c>
      <c r="P440" s="34">
        <f>+P508</f>
        <v>-72.099999999999994</v>
      </c>
      <c r="Q440" s="34">
        <f t="shared" ref="Q440:S440" si="1797">+IFERROR(Q508-P508,"n/a")</f>
        <v>-30.700000000000003</v>
      </c>
      <c r="R440" s="34">
        <f t="shared" si="1797"/>
        <v>-39.90000000000002</v>
      </c>
      <c r="S440" s="34">
        <f t="shared" si="1797"/>
        <v>-27.799999999999983</v>
      </c>
      <c r="T440" s="34">
        <f>+T508</f>
        <v>-37.6</v>
      </c>
      <c r="U440" s="34">
        <f t="shared" si="1776"/>
        <v>-35.29999999999999</v>
      </c>
      <c r="V440" s="34">
        <f t="shared" si="1776"/>
        <v>-410.09999999999997</v>
      </c>
      <c r="W440" s="34">
        <f t="shared" si="1776"/>
        <v>-33.800000000000011</v>
      </c>
      <c r="X440" s="34">
        <f>+X508</f>
        <v>-31.4</v>
      </c>
      <c r="Y440" s="34">
        <f>+IFERROR(Y508-X508,"n/a")</f>
        <v>-76.599999999999994</v>
      </c>
      <c r="Z440" s="34">
        <f t="shared" si="1743"/>
        <v>-43.100000000000037</v>
      </c>
      <c r="AA440" s="34">
        <f t="shared" si="1744"/>
        <v>-150.79999999999995</v>
      </c>
      <c r="AB440" s="34">
        <f>+AB508</f>
        <v>-39.699999999999996</v>
      </c>
      <c r="AC440" s="34">
        <f t="shared" si="1777"/>
        <v>-341.79999999999995</v>
      </c>
      <c r="AD440" s="34">
        <f t="shared" si="1777"/>
        <v>-53.699999999999989</v>
      </c>
      <c r="AK440" s="34">
        <f t="shared" ref="AK440:AL440" si="1798">+AK508</f>
        <v>-10.799999999999999</v>
      </c>
      <c r="AL440" s="34">
        <f t="shared" si="1798"/>
        <v>-10.799999999999999</v>
      </c>
      <c r="AM440" s="34">
        <f t="shared" si="1793"/>
        <v>-80.100000000000009</v>
      </c>
      <c r="AN440" s="34">
        <f t="shared" si="1793"/>
        <v>-82.7</v>
      </c>
      <c r="AO440" s="34">
        <f t="shared" si="1793"/>
        <v>-170.5</v>
      </c>
      <c r="AP440" s="34">
        <f t="shared" ref="AP440:AQ440" si="1799">+AP508</f>
        <v>-516.79999999999995</v>
      </c>
      <c r="AQ440" s="34">
        <f t="shared" si="1799"/>
        <v>-301.89999999999998</v>
      </c>
    </row>
    <row r="441" spans="2:43" x14ac:dyDescent="0.2">
      <c r="D441" s="14"/>
      <c r="E441" s="14"/>
      <c r="F441" s="14"/>
      <c r="G441" s="14"/>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K441" s="17"/>
      <c r="AL441" s="17"/>
      <c r="AM441" s="17"/>
      <c r="AN441" s="17"/>
      <c r="AO441" s="17"/>
      <c r="AP441" s="17"/>
      <c r="AQ441" s="17"/>
    </row>
    <row r="442" spans="2:43" x14ac:dyDescent="0.2">
      <c r="B442" s="1" t="s">
        <v>114</v>
      </c>
      <c r="D442" s="14"/>
      <c r="E442" s="14"/>
      <c r="F442" s="14"/>
      <c r="G442" s="14"/>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K442" s="17"/>
      <c r="AL442" s="17"/>
      <c r="AM442" s="17"/>
      <c r="AN442" s="17"/>
      <c r="AO442" s="17"/>
      <c r="AP442" s="17"/>
      <c r="AQ442" s="17"/>
    </row>
    <row r="443" spans="2:43" x14ac:dyDescent="0.2">
      <c r="B443" t="s">
        <v>115</v>
      </c>
      <c r="D443" s="14">
        <v>0</v>
      </c>
      <c r="E443" s="14">
        <v>0</v>
      </c>
      <c r="F443" s="14">
        <v>0</v>
      </c>
      <c r="G443" s="14">
        <v>0</v>
      </c>
      <c r="H443" s="17">
        <f t="shared" ref="H443:H457" si="1800">+H511</f>
        <v>0</v>
      </c>
      <c r="I443" s="17">
        <f t="shared" ref="I443:I456" si="1801">+IFERROR(I511-H511,"n/a")</f>
        <v>20</v>
      </c>
      <c r="J443" s="17">
        <f t="shared" ref="J443:K443" si="1802">+IFERROR(J511-I511,"n/a")</f>
        <v>0</v>
      </c>
      <c r="K443" s="17">
        <f t="shared" si="1802"/>
        <v>70</v>
      </c>
      <c r="L443" s="17">
        <f t="shared" ref="L443:L457" si="1803">+L511</f>
        <v>0</v>
      </c>
      <c r="M443" s="17">
        <f t="shared" ref="M443:M456" si="1804">+IFERROR(M511-L511,"n/a")</f>
        <v>0</v>
      </c>
      <c r="N443" s="17">
        <f t="shared" ref="N443:O443" si="1805">+IFERROR(N511-M511,"n/a")</f>
        <v>0</v>
      </c>
      <c r="O443" s="17">
        <f t="shared" si="1805"/>
        <v>1140</v>
      </c>
      <c r="P443" s="17">
        <f t="shared" ref="P443:P457" si="1806">+P511</f>
        <v>0</v>
      </c>
      <c r="Q443" s="17">
        <f t="shared" ref="Q443:Q456" si="1807">+IFERROR(Q511-P511,"n/a")</f>
        <v>0</v>
      </c>
      <c r="R443" s="17">
        <f t="shared" ref="R443:S443" si="1808">+IFERROR(R511-Q511,"n/a")</f>
        <v>632.5</v>
      </c>
      <c r="S443" s="17">
        <f t="shared" si="1808"/>
        <v>0</v>
      </c>
      <c r="T443" s="17">
        <f t="shared" ref="T443:T457" si="1809">+T511</f>
        <v>0</v>
      </c>
      <c r="U443" s="17">
        <f t="shared" ref="U443:U456" si="1810">+IFERROR(U511-T511,"n/a")</f>
        <v>0</v>
      </c>
      <c r="V443" s="17">
        <f t="shared" ref="V443:W443" si="1811">+IFERROR(V511-U511,"n/a")</f>
        <v>0</v>
      </c>
      <c r="W443" s="17">
        <f t="shared" si="1811"/>
        <v>0</v>
      </c>
      <c r="X443" s="17">
        <f t="shared" ref="X443:X457" si="1812">+X511</f>
        <v>0</v>
      </c>
      <c r="Y443" s="17">
        <f t="shared" ref="Y443:Y456" si="1813">+IFERROR(Y511-X511,"n/a")</f>
        <v>0</v>
      </c>
      <c r="Z443" s="17">
        <f t="shared" ref="Z443:Z458" si="1814">+IFERROR(Z511-Y511,"n/a")</f>
        <v>0</v>
      </c>
      <c r="AA443" s="17">
        <f t="shared" ref="AA443:AA458" si="1815">+IFERROR(AA511-Z511,"n/a")</f>
        <v>0</v>
      </c>
      <c r="AB443" s="17">
        <f t="shared" ref="AB443:AB457" si="1816">+AB511</f>
        <v>0</v>
      </c>
      <c r="AC443" s="17">
        <f t="shared" ref="AC443:AD457" si="1817">+IFERROR(AC511-AB511,"n/a")</f>
        <v>0</v>
      </c>
      <c r="AD443" s="17">
        <f t="shared" si="1817"/>
        <v>1100</v>
      </c>
      <c r="AK443" s="17">
        <f t="shared" ref="AK443:AL443" si="1818">+AK511</f>
        <v>0</v>
      </c>
      <c r="AL443" s="17">
        <f t="shared" si="1818"/>
        <v>0</v>
      </c>
      <c r="AM443" s="17">
        <f t="shared" ref="AM443:AO459" si="1819">+AM511</f>
        <v>90</v>
      </c>
      <c r="AN443" s="17">
        <f t="shared" si="1819"/>
        <v>1140</v>
      </c>
      <c r="AO443" s="17">
        <f t="shared" si="1819"/>
        <v>632.5</v>
      </c>
      <c r="AP443" s="17">
        <f t="shared" ref="AP443:AQ443" si="1820">+AP511</f>
        <v>0</v>
      </c>
      <c r="AQ443" s="17">
        <f t="shared" si="1820"/>
        <v>0</v>
      </c>
    </row>
    <row r="444" spans="2:43" x14ac:dyDescent="0.2">
      <c r="B444" t="s">
        <v>116</v>
      </c>
      <c r="D444" s="14">
        <v>0</v>
      </c>
      <c r="E444" s="14">
        <v>0</v>
      </c>
      <c r="F444" s="14">
        <v>0</v>
      </c>
      <c r="G444" s="14">
        <v>0</v>
      </c>
      <c r="H444" s="17">
        <f t="shared" si="1800"/>
        <v>0</v>
      </c>
      <c r="I444" s="17">
        <f t="shared" si="1801"/>
        <v>0</v>
      </c>
      <c r="J444" s="17">
        <f t="shared" ref="J444:K444" si="1821">+IFERROR(J512-I512,"n/a")</f>
        <v>0</v>
      </c>
      <c r="K444" s="17">
        <f t="shared" si="1821"/>
        <v>0</v>
      </c>
      <c r="L444" s="17">
        <f t="shared" si="1803"/>
        <v>0</v>
      </c>
      <c r="M444" s="17">
        <f t="shared" si="1804"/>
        <v>0</v>
      </c>
      <c r="N444" s="17">
        <f t="shared" ref="N444:O444" si="1822">+IFERROR(N512-M512,"n/a")</f>
        <v>0</v>
      </c>
      <c r="O444" s="17">
        <f t="shared" si="1822"/>
        <v>-3.9</v>
      </c>
      <c r="P444" s="17">
        <f t="shared" si="1806"/>
        <v>-2.4</v>
      </c>
      <c r="Q444" s="17">
        <f t="shared" si="1807"/>
        <v>-113.89999999999999</v>
      </c>
      <c r="R444" s="17">
        <f t="shared" ref="R444:S444" si="1823">+IFERROR(R512-Q512,"n/a")</f>
        <v>-3.4000000000000057</v>
      </c>
      <c r="S444" s="17">
        <f t="shared" si="1823"/>
        <v>-5.8999999999999915</v>
      </c>
      <c r="T444" s="17">
        <f t="shared" si="1809"/>
        <v>-12.2</v>
      </c>
      <c r="U444" s="17">
        <f t="shared" si="1810"/>
        <v>-8</v>
      </c>
      <c r="V444" s="17">
        <f t="shared" ref="V444:W444" si="1824">+IFERROR(V512-U512,"n/a")</f>
        <v>-0.40000000000000213</v>
      </c>
      <c r="W444" s="17">
        <f t="shared" si="1824"/>
        <v>-2.5</v>
      </c>
      <c r="X444" s="17">
        <f t="shared" si="1812"/>
        <v>-5.3</v>
      </c>
      <c r="Y444" s="17">
        <f t="shared" si="1813"/>
        <v>-10.399999999999999</v>
      </c>
      <c r="Z444" s="17">
        <f t="shared" si="1814"/>
        <v>-4.8000000000000007</v>
      </c>
      <c r="AA444" s="17">
        <f t="shared" si="1815"/>
        <v>-7.3999999999999986</v>
      </c>
      <c r="AB444" s="17">
        <f t="shared" si="1816"/>
        <v>-9.1</v>
      </c>
      <c r="AC444" s="17">
        <f t="shared" si="1817"/>
        <v>-2.0999999999999996</v>
      </c>
      <c r="AD444" s="17">
        <f t="shared" si="1817"/>
        <v>-6.4000000000000021</v>
      </c>
      <c r="AK444" s="17">
        <f t="shared" ref="AK444:AL444" si="1825">+AK512</f>
        <v>0</v>
      </c>
      <c r="AL444" s="17">
        <f t="shared" si="1825"/>
        <v>0</v>
      </c>
      <c r="AM444" s="17">
        <f t="shared" si="1819"/>
        <v>0</v>
      </c>
      <c r="AN444" s="17">
        <f t="shared" si="1819"/>
        <v>-3.9</v>
      </c>
      <c r="AO444" s="17">
        <f t="shared" si="1819"/>
        <v>-125.6</v>
      </c>
      <c r="AP444" s="17">
        <f t="shared" ref="AP444:AQ444" si="1826">+AP512</f>
        <v>-23.1</v>
      </c>
      <c r="AQ444" s="17">
        <f t="shared" si="1826"/>
        <v>-27.9</v>
      </c>
    </row>
    <row r="445" spans="2:43" x14ac:dyDescent="0.2">
      <c r="B445" t="s">
        <v>117</v>
      </c>
      <c r="D445" s="14">
        <v>0</v>
      </c>
      <c r="E445" s="14">
        <v>0</v>
      </c>
      <c r="F445" s="14">
        <v>0</v>
      </c>
      <c r="G445" s="14">
        <v>0</v>
      </c>
      <c r="H445" s="17">
        <f t="shared" si="1800"/>
        <v>0</v>
      </c>
      <c r="I445" s="17">
        <f t="shared" si="1801"/>
        <v>0</v>
      </c>
      <c r="J445" s="17">
        <f t="shared" ref="J445:K445" si="1827">+IFERROR(J513-I513,"n/a")</f>
        <v>0</v>
      </c>
      <c r="K445" s="17">
        <f t="shared" si="1827"/>
        <v>0</v>
      </c>
      <c r="L445" s="17">
        <f t="shared" si="1803"/>
        <v>0</v>
      </c>
      <c r="M445" s="17">
        <f t="shared" si="1804"/>
        <v>0</v>
      </c>
      <c r="N445" s="17">
        <f t="shared" ref="N445:O445" si="1828">+IFERROR(N513-M513,"n/a")</f>
        <v>0</v>
      </c>
      <c r="O445" s="17">
        <f t="shared" si="1828"/>
        <v>0</v>
      </c>
      <c r="P445" s="17">
        <f t="shared" si="1806"/>
        <v>0</v>
      </c>
      <c r="Q445" s="17">
        <f t="shared" si="1807"/>
        <v>0</v>
      </c>
      <c r="R445" s="17">
        <f t="shared" ref="R445:S445" si="1829">+IFERROR(R513-Q513,"n/a")</f>
        <v>0</v>
      </c>
      <c r="S445" s="17">
        <f t="shared" si="1829"/>
        <v>-19.5</v>
      </c>
      <c r="T445" s="17">
        <f t="shared" si="1809"/>
        <v>-18.7</v>
      </c>
      <c r="U445" s="17">
        <f t="shared" si="1810"/>
        <v>-167.20000000000002</v>
      </c>
      <c r="V445" s="17">
        <f t="shared" ref="V445:W445" si="1830">+IFERROR(V513-U513,"n/a")</f>
        <v>0</v>
      </c>
      <c r="W445" s="17">
        <f t="shared" si="1830"/>
        <v>0</v>
      </c>
      <c r="X445" s="17">
        <f t="shared" si="1812"/>
        <v>0</v>
      </c>
      <c r="Y445" s="17">
        <f t="shared" si="1813"/>
        <v>-96.8</v>
      </c>
      <c r="Z445" s="17">
        <f t="shared" si="1814"/>
        <v>0</v>
      </c>
      <c r="AA445" s="17">
        <f t="shared" si="1815"/>
        <v>-8.6000000000000085</v>
      </c>
      <c r="AB445" s="17">
        <f t="shared" si="1816"/>
        <v>0</v>
      </c>
      <c r="AC445" s="17">
        <f t="shared" si="1817"/>
        <v>-15.9</v>
      </c>
      <c r="AD445" s="17">
        <f t="shared" si="1817"/>
        <v>-20</v>
      </c>
      <c r="AK445" s="17">
        <f t="shared" ref="AK445:AL445" si="1831">+AK513</f>
        <v>0</v>
      </c>
      <c r="AL445" s="17">
        <f t="shared" si="1831"/>
        <v>0</v>
      </c>
      <c r="AM445" s="17">
        <f t="shared" si="1819"/>
        <v>0</v>
      </c>
      <c r="AN445" s="17">
        <f t="shared" si="1819"/>
        <v>0</v>
      </c>
      <c r="AO445" s="17">
        <f t="shared" si="1819"/>
        <v>-19.5</v>
      </c>
      <c r="AP445" s="17">
        <f t="shared" ref="AP445:AQ445" si="1832">+AP513</f>
        <v>-185.9</v>
      </c>
      <c r="AQ445" s="17">
        <f t="shared" si="1832"/>
        <v>-105.4</v>
      </c>
    </row>
    <row r="446" spans="2:43" x14ac:dyDescent="0.2">
      <c r="B446" t="s">
        <v>118</v>
      </c>
      <c r="D446" s="14">
        <v>0</v>
      </c>
      <c r="E446" s="14">
        <v>0</v>
      </c>
      <c r="F446" s="14">
        <v>0</v>
      </c>
      <c r="G446" s="14">
        <v>0</v>
      </c>
      <c r="H446" s="17">
        <f t="shared" si="1800"/>
        <v>0</v>
      </c>
      <c r="I446" s="17">
        <f t="shared" si="1801"/>
        <v>-0.3</v>
      </c>
      <c r="J446" s="17">
        <f t="shared" ref="J446:K446" si="1833">+IFERROR(J514-I514,"n/a")</f>
        <v>-1.4</v>
      </c>
      <c r="K446" s="17">
        <f t="shared" si="1833"/>
        <v>-1.3</v>
      </c>
      <c r="L446" s="17">
        <f t="shared" si="1803"/>
        <v>0</v>
      </c>
      <c r="M446" s="17">
        <f t="shared" si="1804"/>
        <v>0</v>
      </c>
      <c r="N446" s="17">
        <f t="shared" ref="N446:O446" si="1834">+IFERROR(N514-M514,"n/a")</f>
        <v>-0.5</v>
      </c>
      <c r="O446" s="17">
        <f t="shared" si="1834"/>
        <v>-22.7</v>
      </c>
      <c r="P446" s="17">
        <f t="shared" si="1806"/>
        <v>-0.4</v>
      </c>
      <c r="Q446" s="17">
        <f t="shared" si="1807"/>
        <v>0</v>
      </c>
      <c r="R446" s="17">
        <f t="shared" ref="R446:S446" si="1835">+IFERROR(R514-Q514,"n/a")</f>
        <v>-14.799999999999999</v>
      </c>
      <c r="S446" s="17">
        <f t="shared" si="1835"/>
        <v>-0.10000000000000142</v>
      </c>
      <c r="T446" s="17">
        <f t="shared" si="1809"/>
        <v>-4.8</v>
      </c>
      <c r="U446" s="17">
        <f t="shared" si="1810"/>
        <v>-0.10000000000000053</v>
      </c>
      <c r="V446" s="17">
        <f t="shared" ref="V446:W446" si="1836">+IFERROR(V514-U514,"n/a")</f>
        <v>0</v>
      </c>
      <c r="W446" s="17">
        <f t="shared" si="1836"/>
        <v>0</v>
      </c>
      <c r="X446" s="17">
        <f t="shared" si="1812"/>
        <v>0</v>
      </c>
      <c r="Y446" s="17">
        <f t="shared" si="1813"/>
        <v>0</v>
      </c>
      <c r="Z446" s="17">
        <f t="shared" si="1814"/>
        <v>0</v>
      </c>
      <c r="AA446" s="17">
        <f t="shared" si="1815"/>
        <v>0</v>
      </c>
      <c r="AB446" s="17">
        <f t="shared" si="1816"/>
        <v>0</v>
      </c>
      <c r="AC446" s="17">
        <f t="shared" si="1817"/>
        <v>0</v>
      </c>
      <c r="AD446" s="17">
        <f t="shared" si="1817"/>
        <v>-16.3</v>
      </c>
      <c r="AK446" s="17">
        <f t="shared" ref="AK446:AL446" si="1837">+AK514</f>
        <v>0</v>
      </c>
      <c r="AL446" s="17">
        <f t="shared" si="1837"/>
        <v>0</v>
      </c>
      <c r="AM446" s="17">
        <f t="shared" si="1819"/>
        <v>-3</v>
      </c>
      <c r="AN446" s="17">
        <f t="shared" si="1819"/>
        <v>-23.2</v>
      </c>
      <c r="AO446" s="17">
        <f t="shared" si="1819"/>
        <v>-15.3</v>
      </c>
      <c r="AP446" s="17">
        <f t="shared" ref="AP446:AQ446" si="1838">+AP514</f>
        <v>-4.9000000000000004</v>
      </c>
      <c r="AQ446" s="17">
        <f t="shared" si="1838"/>
        <v>0</v>
      </c>
    </row>
    <row r="447" spans="2:43" x14ac:dyDescent="0.2">
      <c r="B447" t="s">
        <v>119</v>
      </c>
      <c r="D447" s="14">
        <v>-1.288154</v>
      </c>
      <c r="E447" s="14">
        <f>-2.579056+1.288154</f>
        <v>-1.290902</v>
      </c>
      <c r="F447" s="14">
        <v>-1.29369</v>
      </c>
      <c r="G447" s="14">
        <v>-1.2965120000000001</v>
      </c>
      <c r="H447" s="17">
        <f t="shared" si="1800"/>
        <v>-1.3</v>
      </c>
      <c r="I447" s="17">
        <f t="shared" si="1801"/>
        <v>-1.3</v>
      </c>
      <c r="J447" s="17">
        <f t="shared" ref="J447:K447" si="1839">+IFERROR(J515-I515,"n/a")</f>
        <v>-1.1999999999999997</v>
      </c>
      <c r="K447" s="17">
        <f t="shared" si="1839"/>
        <v>-1.4000000000000004</v>
      </c>
      <c r="L447" s="17">
        <f t="shared" si="1803"/>
        <v>0</v>
      </c>
      <c r="M447" s="17">
        <f t="shared" si="1804"/>
        <v>-191.9</v>
      </c>
      <c r="N447" s="17">
        <f t="shared" ref="N447:O447" si="1840">+IFERROR(N515-M515,"n/a")</f>
        <v>-0.90000000000000568</v>
      </c>
      <c r="O447" s="17">
        <f t="shared" si="1840"/>
        <v>-450.8</v>
      </c>
      <c r="P447" s="17">
        <f t="shared" si="1806"/>
        <v>-0.9</v>
      </c>
      <c r="Q447" s="17">
        <f t="shared" si="1807"/>
        <v>0</v>
      </c>
      <c r="R447" s="17">
        <f t="shared" ref="R447:S447" si="1841">+IFERROR(R515-Q515,"n/a")</f>
        <v>0</v>
      </c>
      <c r="S447" s="17">
        <f t="shared" si="1841"/>
        <v>0</v>
      </c>
      <c r="T447" s="17">
        <f t="shared" si="1809"/>
        <v>0</v>
      </c>
      <c r="U447" s="17">
        <f t="shared" si="1810"/>
        <v>0</v>
      </c>
      <c r="V447" s="17">
        <f t="shared" ref="V447:W447" si="1842">+IFERROR(V515-U515,"n/a")</f>
        <v>0</v>
      </c>
      <c r="W447" s="17">
        <f t="shared" si="1842"/>
        <v>0</v>
      </c>
      <c r="X447" s="17">
        <f t="shared" si="1812"/>
        <v>0</v>
      </c>
      <c r="Y447" s="17">
        <f t="shared" si="1813"/>
        <v>0</v>
      </c>
      <c r="Z447" s="17">
        <f t="shared" si="1814"/>
        <v>0</v>
      </c>
      <c r="AA447" s="17">
        <f t="shared" si="1815"/>
        <v>0</v>
      </c>
      <c r="AB447" s="17">
        <f t="shared" si="1816"/>
        <v>0</v>
      </c>
      <c r="AC447" s="17">
        <f t="shared" si="1817"/>
        <v>0</v>
      </c>
      <c r="AD447" s="17">
        <f t="shared" si="1817"/>
        <v>0</v>
      </c>
      <c r="AK447" s="17">
        <f t="shared" ref="AK447:AL447" si="1843">+AK515</f>
        <v>-5.2</v>
      </c>
      <c r="AL447" s="17">
        <f t="shared" si="1843"/>
        <v>-5.2</v>
      </c>
      <c r="AM447" s="17">
        <f t="shared" si="1819"/>
        <v>-5.2</v>
      </c>
      <c r="AN447" s="17">
        <f t="shared" si="1819"/>
        <v>-643.6</v>
      </c>
      <c r="AO447" s="17">
        <f t="shared" si="1819"/>
        <v>-0.9</v>
      </c>
      <c r="AP447" s="17">
        <f t="shared" ref="AP447:AQ447" si="1844">+AP515</f>
        <v>0</v>
      </c>
      <c r="AQ447" s="17">
        <f t="shared" si="1844"/>
        <v>0</v>
      </c>
    </row>
    <row r="448" spans="2:43" x14ac:dyDescent="0.2">
      <c r="B448" t="s">
        <v>120</v>
      </c>
      <c r="D448" s="14">
        <v>0</v>
      </c>
      <c r="E448" s="14">
        <v>0</v>
      </c>
      <c r="F448" s="14">
        <v>0</v>
      </c>
      <c r="G448" s="14">
        <v>0</v>
      </c>
      <c r="H448" s="17">
        <f t="shared" si="1800"/>
        <v>0</v>
      </c>
      <c r="I448" s="17">
        <f t="shared" si="1801"/>
        <v>0</v>
      </c>
      <c r="J448" s="17">
        <f t="shared" ref="J448:K448" si="1845">+IFERROR(J516-I516,"n/a")</f>
        <v>0</v>
      </c>
      <c r="K448" s="17">
        <f t="shared" si="1845"/>
        <v>0</v>
      </c>
      <c r="L448" s="17">
        <f t="shared" si="1803"/>
        <v>0</v>
      </c>
      <c r="M448" s="17">
        <f t="shared" si="1804"/>
        <v>372.9</v>
      </c>
      <c r="N448" s="17">
        <f t="shared" ref="N448:O448" si="1846">+IFERROR(N516-M516,"n/a")</f>
        <v>0</v>
      </c>
      <c r="O448" s="17">
        <f t="shared" si="1846"/>
        <v>0</v>
      </c>
      <c r="P448" s="17">
        <f t="shared" si="1806"/>
        <v>0</v>
      </c>
      <c r="Q448" s="17">
        <f t="shared" si="1807"/>
        <v>0</v>
      </c>
      <c r="R448" s="17">
        <f t="shared" ref="R448:S448" si="1847">+IFERROR(R516-Q516,"n/a")</f>
        <v>0</v>
      </c>
      <c r="S448" s="17">
        <f t="shared" si="1847"/>
        <v>0</v>
      </c>
      <c r="T448" s="17">
        <f t="shared" si="1809"/>
        <v>0</v>
      </c>
      <c r="U448" s="17">
        <f t="shared" si="1810"/>
        <v>0</v>
      </c>
      <c r="V448" s="17">
        <f t="shared" ref="V448:W448" si="1848">+IFERROR(V516-U516,"n/a")</f>
        <v>0</v>
      </c>
      <c r="W448" s="17">
        <f t="shared" si="1848"/>
        <v>0</v>
      </c>
      <c r="X448" s="17">
        <f t="shared" si="1812"/>
        <v>0</v>
      </c>
      <c r="Y448" s="17">
        <f t="shared" si="1813"/>
        <v>0</v>
      </c>
      <c r="Z448" s="17">
        <f t="shared" si="1814"/>
        <v>0</v>
      </c>
      <c r="AA448" s="17">
        <f t="shared" si="1815"/>
        <v>0</v>
      </c>
      <c r="AB448" s="17">
        <f t="shared" si="1816"/>
        <v>0</v>
      </c>
      <c r="AC448" s="17">
        <f t="shared" si="1817"/>
        <v>0</v>
      </c>
      <c r="AD448" s="17">
        <f t="shared" si="1817"/>
        <v>0</v>
      </c>
      <c r="AK448" s="17">
        <f t="shared" ref="AK448:AL448" si="1849">+AK516</f>
        <v>0</v>
      </c>
      <c r="AL448" s="17">
        <f t="shared" si="1849"/>
        <v>0</v>
      </c>
      <c r="AM448" s="17">
        <f t="shared" si="1819"/>
        <v>0</v>
      </c>
      <c r="AN448" s="17">
        <f t="shared" si="1819"/>
        <v>372.9</v>
      </c>
      <c r="AO448" s="17">
        <f t="shared" si="1819"/>
        <v>0</v>
      </c>
      <c r="AP448" s="17">
        <f t="shared" ref="AP448:AQ448" si="1850">+AP516</f>
        <v>0</v>
      </c>
      <c r="AQ448" s="17">
        <f t="shared" si="1850"/>
        <v>0</v>
      </c>
    </row>
    <row r="449" spans="2:43" x14ac:dyDescent="0.2">
      <c r="B449" t="s">
        <v>121</v>
      </c>
      <c r="D449" s="14">
        <v>0</v>
      </c>
      <c r="E449" s="14">
        <v>0</v>
      </c>
      <c r="F449" s="14">
        <v>0</v>
      </c>
      <c r="G449" s="14">
        <v>0</v>
      </c>
      <c r="H449" s="17">
        <f t="shared" si="1800"/>
        <v>0</v>
      </c>
      <c r="I449" s="17">
        <f t="shared" si="1801"/>
        <v>0</v>
      </c>
      <c r="J449" s="17">
        <f t="shared" ref="J449:K449" si="1851">+IFERROR(J517-I517,"n/a")</f>
        <v>0</v>
      </c>
      <c r="K449" s="17">
        <f t="shared" si="1851"/>
        <v>0</v>
      </c>
      <c r="L449" s="17">
        <f t="shared" si="1803"/>
        <v>0</v>
      </c>
      <c r="M449" s="17">
        <f t="shared" si="1804"/>
        <v>100</v>
      </c>
      <c r="N449" s="17">
        <f t="shared" ref="N449:O449" si="1852">+IFERROR(N517-M517,"n/a")</f>
        <v>0</v>
      </c>
      <c r="O449" s="17">
        <f t="shared" si="1852"/>
        <v>0</v>
      </c>
      <c r="P449" s="17">
        <f t="shared" si="1806"/>
        <v>0</v>
      </c>
      <c r="Q449" s="17">
        <f t="shared" si="1807"/>
        <v>0</v>
      </c>
      <c r="R449" s="17">
        <f t="shared" ref="R449:S449" si="1853">+IFERROR(R517-Q517,"n/a")</f>
        <v>0</v>
      </c>
      <c r="S449" s="17">
        <f t="shared" si="1853"/>
        <v>0</v>
      </c>
      <c r="T449" s="17">
        <f t="shared" si="1809"/>
        <v>0</v>
      </c>
      <c r="U449" s="17">
        <f t="shared" si="1810"/>
        <v>0</v>
      </c>
      <c r="V449" s="17">
        <f t="shared" ref="V449:W449" si="1854">+IFERROR(V517-U517,"n/a")</f>
        <v>0</v>
      </c>
      <c r="W449" s="17">
        <f t="shared" si="1854"/>
        <v>0</v>
      </c>
      <c r="X449" s="17">
        <f t="shared" si="1812"/>
        <v>0</v>
      </c>
      <c r="Y449" s="17">
        <f t="shared" si="1813"/>
        <v>0</v>
      </c>
      <c r="Z449" s="17">
        <f t="shared" si="1814"/>
        <v>0</v>
      </c>
      <c r="AA449" s="17">
        <f t="shared" si="1815"/>
        <v>0</v>
      </c>
      <c r="AB449" s="17">
        <f t="shared" si="1816"/>
        <v>0</v>
      </c>
      <c r="AC449" s="17">
        <f t="shared" si="1817"/>
        <v>0</v>
      </c>
      <c r="AD449" s="17">
        <f t="shared" si="1817"/>
        <v>0</v>
      </c>
      <c r="AK449" s="17">
        <f t="shared" ref="AK449:AL449" si="1855">+AK517</f>
        <v>0</v>
      </c>
      <c r="AL449" s="17">
        <f t="shared" si="1855"/>
        <v>0</v>
      </c>
      <c r="AM449" s="17">
        <f t="shared" si="1819"/>
        <v>0</v>
      </c>
      <c r="AN449" s="17">
        <f t="shared" si="1819"/>
        <v>100</v>
      </c>
      <c r="AO449" s="17">
        <f t="shared" si="1819"/>
        <v>0</v>
      </c>
      <c r="AP449" s="17">
        <f t="shared" ref="AP449:AQ449" si="1856">+AP517</f>
        <v>0</v>
      </c>
      <c r="AQ449" s="17">
        <f t="shared" si="1856"/>
        <v>0</v>
      </c>
    </row>
    <row r="450" spans="2:43" x14ac:dyDescent="0.2">
      <c r="B450" t="s">
        <v>122</v>
      </c>
      <c r="D450" s="14">
        <v>0</v>
      </c>
      <c r="E450" s="14">
        <v>0</v>
      </c>
      <c r="F450" s="14">
        <v>0</v>
      </c>
      <c r="G450" s="14">
        <v>0</v>
      </c>
      <c r="H450" s="17">
        <f t="shared" si="1800"/>
        <v>0</v>
      </c>
      <c r="I450" s="17">
        <f t="shared" si="1801"/>
        <v>0</v>
      </c>
      <c r="J450" s="17">
        <f t="shared" ref="J450:K450" si="1857">+IFERROR(J518-I518,"n/a")</f>
        <v>0</v>
      </c>
      <c r="K450" s="17">
        <f t="shared" si="1857"/>
        <v>0</v>
      </c>
      <c r="L450" s="17">
        <f t="shared" si="1803"/>
        <v>0</v>
      </c>
      <c r="M450" s="17">
        <f t="shared" si="1804"/>
        <v>0</v>
      </c>
      <c r="N450" s="17">
        <f t="shared" ref="N450:O450" si="1858">+IFERROR(N518-M518,"n/a")</f>
        <v>93.4</v>
      </c>
      <c r="O450" s="17">
        <f t="shared" si="1858"/>
        <v>0</v>
      </c>
      <c r="P450" s="17">
        <f t="shared" si="1806"/>
        <v>0</v>
      </c>
      <c r="Q450" s="17">
        <f t="shared" si="1807"/>
        <v>0</v>
      </c>
      <c r="R450" s="17">
        <f t="shared" ref="R450:S450" si="1859">+IFERROR(R518-Q518,"n/a")</f>
        <v>0</v>
      </c>
      <c r="S450" s="17">
        <f t="shared" si="1859"/>
        <v>0</v>
      </c>
      <c r="T450" s="17">
        <f t="shared" si="1809"/>
        <v>0</v>
      </c>
      <c r="U450" s="17">
        <f t="shared" si="1810"/>
        <v>0</v>
      </c>
      <c r="V450" s="17">
        <f t="shared" ref="V450:W450" si="1860">+IFERROR(V518-U518,"n/a")</f>
        <v>0</v>
      </c>
      <c r="W450" s="17">
        <f t="shared" si="1860"/>
        <v>0</v>
      </c>
      <c r="X450" s="17">
        <f t="shared" si="1812"/>
        <v>0</v>
      </c>
      <c r="Y450" s="17">
        <f t="shared" si="1813"/>
        <v>0</v>
      </c>
      <c r="Z450" s="17">
        <f t="shared" si="1814"/>
        <v>0</v>
      </c>
      <c r="AA450" s="17">
        <f t="shared" si="1815"/>
        <v>0</v>
      </c>
      <c r="AB450" s="17">
        <f t="shared" si="1816"/>
        <v>0</v>
      </c>
      <c r="AC450" s="17">
        <f t="shared" si="1817"/>
        <v>0</v>
      </c>
      <c r="AD450" s="17">
        <f t="shared" si="1817"/>
        <v>0</v>
      </c>
      <c r="AK450" s="17">
        <f t="shared" ref="AK450:AL450" si="1861">+AK518</f>
        <v>0</v>
      </c>
      <c r="AL450" s="17">
        <f t="shared" si="1861"/>
        <v>0</v>
      </c>
      <c r="AM450" s="17">
        <f t="shared" si="1819"/>
        <v>0</v>
      </c>
      <c r="AN450" s="17">
        <f t="shared" si="1819"/>
        <v>93.4</v>
      </c>
      <c r="AO450" s="17">
        <f t="shared" si="1819"/>
        <v>0</v>
      </c>
      <c r="AP450" s="17">
        <f t="shared" ref="AP450:AQ450" si="1862">+AP518</f>
        <v>0</v>
      </c>
      <c r="AQ450" s="17">
        <f t="shared" si="1862"/>
        <v>0</v>
      </c>
    </row>
    <row r="451" spans="2:43" x14ac:dyDescent="0.2">
      <c r="B451" t="s">
        <v>123</v>
      </c>
      <c r="D451" s="14">
        <v>0</v>
      </c>
      <c r="E451" s="14">
        <v>5</v>
      </c>
      <c r="F451" s="14">
        <v>7</v>
      </c>
      <c r="G451" s="14">
        <v>8</v>
      </c>
      <c r="H451" s="17">
        <f t="shared" si="1800"/>
        <v>0</v>
      </c>
      <c r="I451" s="17">
        <f t="shared" si="1801"/>
        <v>0</v>
      </c>
      <c r="J451" s="17">
        <f t="shared" ref="J451:K451" si="1863">+IFERROR(J519-I519,"n/a")</f>
        <v>70</v>
      </c>
      <c r="K451" s="17">
        <f t="shared" si="1863"/>
        <v>21</v>
      </c>
      <c r="L451" s="17">
        <f t="shared" si="1803"/>
        <v>68.5</v>
      </c>
      <c r="M451" s="17">
        <f t="shared" si="1804"/>
        <v>0</v>
      </c>
      <c r="N451" s="17">
        <f t="shared" ref="N451:O451" si="1864">+IFERROR(N519-M519,"n/a")</f>
        <v>0</v>
      </c>
      <c r="O451" s="17">
        <f t="shared" si="1864"/>
        <v>0</v>
      </c>
      <c r="P451" s="17">
        <f t="shared" si="1806"/>
        <v>0</v>
      </c>
      <c r="Q451" s="17">
        <f t="shared" si="1807"/>
        <v>0</v>
      </c>
      <c r="R451" s="17">
        <f t="shared" ref="R451:S451" si="1865">+IFERROR(R519-Q519,"n/a")</f>
        <v>0</v>
      </c>
      <c r="S451" s="17">
        <f t="shared" si="1865"/>
        <v>0</v>
      </c>
      <c r="T451" s="17">
        <f t="shared" si="1809"/>
        <v>0</v>
      </c>
      <c r="U451" s="17">
        <f t="shared" si="1810"/>
        <v>0</v>
      </c>
      <c r="V451" s="17">
        <f t="shared" ref="V451:W451" si="1866">+IFERROR(V519-U519,"n/a")</f>
        <v>0</v>
      </c>
      <c r="W451" s="17">
        <f t="shared" si="1866"/>
        <v>0</v>
      </c>
      <c r="X451" s="17">
        <f t="shared" si="1812"/>
        <v>0</v>
      </c>
      <c r="Y451" s="17">
        <f t="shared" si="1813"/>
        <v>0</v>
      </c>
      <c r="Z451" s="17">
        <f t="shared" si="1814"/>
        <v>0</v>
      </c>
      <c r="AA451" s="17">
        <f t="shared" si="1815"/>
        <v>0</v>
      </c>
      <c r="AB451" s="17">
        <f t="shared" si="1816"/>
        <v>0</v>
      </c>
      <c r="AC451" s="17">
        <f t="shared" si="1817"/>
        <v>0</v>
      </c>
      <c r="AD451" s="17">
        <f t="shared" si="1817"/>
        <v>0</v>
      </c>
      <c r="AK451" s="17">
        <f t="shared" ref="AK451:AL451" si="1867">+AK519</f>
        <v>20</v>
      </c>
      <c r="AL451" s="17">
        <f t="shared" si="1867"/>
        <v>20</v>
      </c>
      <c r="AM451" s="17">
        <f t="shared" si="1819"/>
        <v>91</v>
      </c>
      <c r="AN451" s="17">
        <f t="shared" si="1819"/>
        <v>68.5</v>
      </c>
      <c r="AO451" s="17">
        <f t="shared" si="1819"/>
        <v>0</v>
      </c>
      <c r="AP451" s="17">
        <f t="shared" ref="AP451:AQ451" si="1868">+AP519</f>
        <v>0</v>
      </c>
      <c r="AQ451" s="17">
        <f t="shared" si="1868"/>
        <v>0</v>
      </c>
    </row>
    <row r="452" spans="2:43" x14ac:dyDescent="0.2">
      <c r="B452" t="s">
        <v>124</v>
      </c>
      <c r="D452" s="14">
        <v>0</v>
      </c>
      <c r="E452" s="14">
        <v>0</v>
      </c>
      <c r="F452" s="14">
        <v>0</v>
      </c>
      <c r="G452" s="14">
        <v>0</v>
      </c>
      <c r="H452" s="17">
        <f t="shared" si="1800"/>
        <v>0</v>
      </c>
      <c r="I452" s="17">
        <f t="shared" si="1801"/>
        <v>-20</v>
      </c>
      <c r="J452" s="17">
        <f t="shared" ref="J452:K452" si="1869">+IFERROR(J520-I520,"n/a")</f>
        <v>0</v>
      </c>
      <c r="K452" s="17">
        <f t="shared" si="1869"/>
        <v>-70</v>
      </c>
      <c r="L452" s="17">
        <f t="shared" si="1803"/>
        <v>-1.3</v>
      </c>
      <c r="M452" s="17">
        <f t="shared" si="1804"/>
        <v>-88.2</v>
      </c>
      <c r="N452" s="17">
        <f t="shared" ref="N452:O452" si="1870">+IFERROR(N520-M520,"n/a")</f>
        <v>0</v>
      </c>
      <c r="O452" s="17">
        <f t="shared" si="1870"/>
        <v>0</v>
      </c>
      <c r="P452" s="17">
        <f t="shared" si="1806"/>
        <v>0</v>
      </c>
      <c r="Q452" s="17">
        <f t="shared" si="1807"/>
        <v>0</v>
      </c>
      <c r="R452" s="17">
        <f t="shared" ref="R452:S452" si="1871">+IFERROR(R520-Q520,"n/a")</f>
        <v>0</v>
      </c>
      <c r="S452" s="17">
        <f t="shared" si="1871"/>
        <v>0</v>
      </c>
      <c r="T452" s="17">
        <f t="shared" si="1809"/>
        <v>0</v>
      </c>
      <c r="U452" s="17">
        <f t="shared" si="1810"/>
        <v>0</v>
      </c>
      <c r="V452" s="17">
        <f t="shared" ref="V452:W452" si="1872">+IFERROR(V520-U520,"n/a")</f>
        <v>0</v>
      </c>
      <c r="W452" s="17">
        <f t="shared" si="1872"/>
        <v>0</v>
      </c>
      <c r="X452" s="17">
        <f t="shared" si="1812"/>
        <v>0</v>
      </c>
      <c r="Y452" s="17">
        <f t="shared" si="1813"/>
        <v>0</v>
      </c>
      <c r="Z452" s="17">
        <f t="shared" si="1814"/>
        <v>0</v>
      </c>
      <c r="AA452" s="17">
        <f t="shared" si="1815"/>
        <v>0</v>
      </c>
      <c r="AB452" s="17">
        <f t="shared" si="1816"/>
        <v>0</v>
      </c>
      <c r="AC452" s="17">
        <f t="shared" si="1817"/>
        <v>0</v>
      </c>
      <c r="AD452" s="17">
        <f t="shared" si="1817"/>
        <v>0</v>
      </c>
      <c r="AK452" s="17">
        <f t="shared" ref="AK452:AL452" si="1873">+AK520</f>
        <v>0</v>
      </c>
      <c r="AL452" s="17">
        <f t="shared" si="1873"/>
        <v>0</v>
      </c>
      <c r="AM452" s="17">
        <f t="shared" si="1819"/>
        <v>-90</v>
      </c>
      <c r="AN452" s="17">
        <f t="shared" si="1819"/>
        <v>-89.5</v>
      </c>
      <c r="AO452" s="17">
        <f t="shared" si="1819"/>
        <v>0</v>
      </c>
      <c r="AP452" s="17">
        <f t="shared" ref="AP452:AQ452" si="1874">+AP520</f>
        <v>0</v>
      </c>
      <c r="AQ452" s="17">
        <f t="shared" si="1874"/>
        <v>0</v>
      </c>
    </row>
    <row r="453" spans="2:43" x14ac:dyDescent="0.2">
      <c r="B453" t="s">
        <v>125</v>
      </c>
      <c r="D453" s="14">
        <v>0</v>
      </c>
      <c r="E453" s="14">
        <v>0</v>
      </c>
      <c r="F453" s="14">
        <v>0</v>
      </c>
      <c r="G453" s="14">
        <v>0</v>
      </c>
      <c r="H453" s="17">
        <f t="shared" si="1800"/>
        <v>0</v>
      </c>
      <c r="I453" s="17">
        <f t="shared" si="1801"/>
        <v>0</v>
      </c>
      <c r="J453" s="17">
        <f t="shared" ref="J453:K453" si="1875">+IFERROR(J521-I521,"n/a")</f>
        <v>0</v>
      </c>
      <c r="K453" s="17">
        <f t="shared" si="1875"/>
        <v>0</v>
      </c>
      <c r="L453" s="17">
        <f t="shared" si="1803"/>
        <v>0</v>
      </c>
      <c r="M453" s="17">
        <f t="shared" si="1804"/>
        <v>-7.2</v>
      </c>
      <c r="N453" s="17">
        <f t="shared" ref="N453:O453" si="1876">+IFERROR(N521-M521,"n/a")</f>
        <v>-1.8999999999999995</v>
      </c>
      <c r="O453" s="17">
        <f t="shared" si="1876"/>
        <v>0.40000000000000036</v>
      </c>
      <c r="P453" s="17">
        <f t="shared" si="1806"/>
        <v>0</v>
      </c>
      <c r="Q453" s="17">
        <f t="shared" si="1807"/>
        <v>0</v>
      </c>
      <c r="R453" s="17">
        <f t="shared" ref="R453:S453" si="1877">+IFERROR(R521-Q521,"n/a")</f>
        <v>0</v>
      </c>
      <c r="S453" s="17">
        <f t="shared" si="1877"/>
        <v>0</v>
      </c>
      <c r="T453" s="17">
        <f t="shared" si="1809"/>
        <v>0</v>
      </c>
      <c r="U453" s="17">
        <f t="shared" si="1810"/>
        <v>0</v>
      </c>
      <c r="V453" s="17">
        <f t="shared" ref="V453:W453" si="1878">+IFERROR(V521-U521,"n/a")</f>
        <v>0</v>
      </c>
      <c r="W453" s="17">
        <f t="shared" si="1878"/>
        <v>0</v>
      </c>
      <c r="X453" s="17">
        <f t="shared" si="1812"/>
        <v>0</v>
      </c>
      <c r="Y453" s="17">
        <f t="shared" si="1813"/>
        <v>0</v>
      </c>
      <c r="Z453" s="17">
        <f t="shared" si="1814"/>
        <v>0</v>
      </c>
      <c r="AA453" s="17">
        <f t="shared" si="1815"/>
        <v>0</v>
      </c>
      <c r="AB453" s="17">
        <f t="shared" si="1816"/>
        <v>0</v>
      </c>
      <c r="AC453" s="17">
        <f t="shared" si="1817"/>
        <v>0</v>
      </c>
      <c r="AD453" s="17">
        <f t="shared" si="1817"/>
        <v>0</v>
      </c>
      <c r="AK453" s="17">
        <f t="shared" ref="AK453:AL453" si="1879">+AK521</f>
        <v>0</v>
      </c>
      <c r="AL453" s="17">
        <f t="shared" si="1879"/>
        <v>0</v>
      </c>
      <c r="AM453" s="17">
        <f t="shared" si="1819"/>
        <v>0</v>
      </c>
      <c r="AN453" s="17">
        <f t="shared" si="1819"/>
        <v>-8.6999999999999993</v>
      </c>
      <c r="AO453" s="17">
        <f t="shared" si="1819"/>
        <v>0</v>
      </c>
      <c r="AP453" s="17">
        <f t="shared" ref="AP453:AQ453" si="1880">+AP521</f>
        <v>0</v>
      </c>
      <c r="AQ453" s="17">
        <f t="shared" si="1880"/>
        <v>0</v>
      </c>
    </row>
    <row r="454" spans="2:43" x14ac:dyDescent="0.2">
      <c r="B454" t="s">
        <v>126</v>
      </c>
      <c r="D454" s="14">
        <v>0</v>
      </c>
      <c r="E454" s="14">
        <v>-1.172048</v>
      </c>
      <c r="F454" s="14">
        <v>-1.3993720000000001</v>
      </c>
      <c r="G454" s="14">
        <v>-0.64161199999999996</v>
      </c>
      <c r="H454" s="17">
        <f t="shared" si="1800"/>
        <v>-0.9</v>
      </c>
      <c r="I454" s="17">
        <f t="shared" si="1801"/>
        <v>-0.70000000000000007</v>
      </c>
      <c r="J454" s="17">
        <f t="shared" ref="J454:K454" si="1881">+IFERROR(J522-I522,"n/a")</f>
        <v>-0.69999999999999973</v>
      </c>
      <c r="K454" s="17">
        <f t="shared" si="1881"/>
        <v>-0.80000000000000027</v>
      </c>
      <c r="L454" s="17">
        <f t="shared" si="1803"/>
        <v>-0.7</v>
      </c>
      <c r="M454" s="17">
        <f t="shared" si="1804"/>
        <v>-0.40000000000000013</v>
      </c>
      <c r="N454" s="17">
        <f t="shared" ref="N454:O454" si="1882">+IFERROR(N522-M522,"n/a")</f>
        <v>-0.29999999999999982</v>
      </c>
      <c r="O454" s="17">
        <f t="shared" si="1882"/>
        <v>-0.30000000000000004</v>
      </c>
      <c r="P454" s="17">
        <f t="shared" si="1806"/>
        <v>0</v>
      </c>
      <c r="Q454" s="17">
        <f t="shared" si="1807"/>
        <v>0</v>
      </c>
      <c r="R454" s="17">
        <f t="shared" ref="R454:S454" si="1883">+IFERROR(R522-Q522,"n/a")</f>
        <v>0</v>
      </c>
      <c r="S454" s="17">
        <f t="shared" si="1883"/>
        <v>0</v>
      </c>
      <c r="T454" s="17">
        <f t="shared" si="1809"/>
        <v>0</v>
      </c>
      <c r="U454" s="17">
        <f t="shared" si="1810"/>
        <v>0</v>
      </c>
      <c r="V454" s="17">
        <f t="shared" ref="V454:W454" si="1884">+IFERROR(V522-U522,"n/a")</f>
        <v>0</v>
      </c>
      <c r="W454" s="17">
        <f t="shared" si="1884"/>
        <v>-0.7</v>
      </c>
      <c r="X454" s="17">
        <f t="shared" si="1812"/>
        <v>-0.3</v>
      </c>
      <c r="Y454" s="17">
        <f t="shared" si="1813"/>
        <v>-0.2</v>
      </c>
      <c r="Z454" s="17">
        <f t="shared" si="1814"/>
        <v>-3.8</v>
      </c>
      <c r="AA454" s="17">
        <f t="shared" si="1815"/>
        <v>-10.5</v>
      </c>
      <c r="AB454" s="17">
        <f t="shared" si="1816"/>
        <v>-0.1</v>
      </c>
      <c r="AC454" s="17">
        <f t="shared" si="1817"/>
        <v>-0.8</v>
      </c>
      <c r="AD454" s="17">
        <f t="shared" si="1817"/>
        <v>-0.6</v>
      </c>
      <c r="AK454" s="17">
        <f t="shared" ref="AK454:AL454" si="1885">+AK522</f>
        <v>-3.2</v>
      </c>
      <c r="AL454" s="17">
        <f t="shared" si="1885"/>
        <v>-3.2</v>
      </c>
      <c r="AM454" s="17">
        <f t="shared" si="1819"/>
        <v>-3.1</v>
      </c>
      <c r="AN454" s="17">
        <f t="shared" si="1819"/>
        <v>-1.7</v>
      </c>
      <c r="AO454" s="17">
        <f t="shared" si="1819"/>
        <v>0</v>
      </c>
      <c r="AP454" s="17">
        <f t="shared" ref="AP454:AQ454" si="1886">+AP522</f>
        <v>-0.7</v>
      </c>
      <c r="AQ454" s="17">
        <f t="shared" si="1886"/>
        <v>-14.8</v>
      </c>
    </row>
    <row r="455" spans="2:43" x14ac:dyDescent="0.2">
      <c r="B455" t="s">
        <v>127</v>
      </c>
      <c r="D455" s="14">
        <v>0</v>
      </c>
      <c r="E455" s="14">
        <v>0</v>
      </c>
      <c r="F455" s="14">
        <v>0</v>
      </c>
      <c r="G455" s="14">
        <v>0</v>
      </c>
      <c r="H455" s="17">
        <f t="shared" si="1800"/>
        <v>0</v>
      </c>
      <c r="I455" s="17">
        <f t="shared" si="1801"/>
        <v>0</v>
      </c>
      <c r="J455" s="17">
        <f t="shared" ref="J455:K455" si="1887">+IFERROR(J523-I523,"n/a")</f>
        <v>0</v>
      </c>
      <c r="K455" s="17">
        <f t="shared" si="1887"/>
        <v>-8.5</v>
      </c>
      <c r="L455" s="17">
        <f t="shared" si="1803"/>
        <v>0</v>
      </c>
      <c r="M455" s="17">
        <f t="shared" si="1804"/>
        <v>-0.9</v>
      </c>
      <c r="N455" s="17">
        <f t="shared" ref="N455:O455" si="1888">+IFERROR(N523-M523,"n/a")</f>
        <v>0</v>
      </c>
      <c r="O455" s="17">
        <f t="shared" si="1888"/>
        <v>0</v>
      </c>
      <c r="P455" s="17">
        <f t="shared" si="1806"/>
        <v>0</v>
      </c>
      <c r="Q455" s="17">
        <f t="shared" si="1807"/>
        <v>0</v>
      </c>
      <c r="R455" s="17">
        <f t="shared" ref="R455:S455" si="1889">+IFERROR(R523-Q523,"n/a")</f>
        <v>0</v>
      </c>
      <c r="S455" s="17">
        <f t="shared" si="1889"/>
        <v>0</v>
      </c>
      <c r="T455" s="17">
        <f t="shared" si="1809"/>
        <v>0</v>
      </c>
      <c r="U455" s="17">
        <f t="shared" si="1810"/>
        <v>0</v>
      </c>
      <c r="V455" s="17">
        <f t="shared" ref="V455:W455" si="1890">+IFERROR(V523-U523,"n/a")</f>
        <v>0</v>
      </c>
      <c r="W455" s="17">
        <f t="shared" si="1890"/>
        <v>0</v>
      </c>
      <c r="X455" s="17">
        <f t="shared" si="1812"/>
        <v>0</v>
      </c>
      <c r="Y455" s="17">
        <f t="shared" si="1813"/>
        <v>0</v>
      </c>
      <c r="Z455" s="17">
        <f t="shared" si="1814"/>
        <v>0</v>
      </c>
      <c r="AA455" s="17">
        <f t="shared" si="1815"/>
        <v>0</v>
      </c>
      <c r="AB455" s="17">
        <f t="shared" si="1816"/>
        <v>0</v>
      </c>
      <c r="AC455" s="17">
        <f t="shared" si="1817"/>
        <v>0</v>
      </c>
      <c r="AD455" s="17">
        <f t="shared" si="1817"/>
        <v>0</v>
      </c>
      <c r="AK455" s="17">
        <f t="shared" ref="AK455:AL459" si="1891">+AK523</f>
        <v>0</v>
      </c>
      <c r="AL455" s="17">
        <f t="shared" si="1891"/>
        <v>0</v>
      </c>
      <c r="AM455" s="17">
        <f t="shared" si="1819"/>
        <v>-8.5</v>
      </c>
      <c r="AN455" s="17">
        <f t="shared" si="1819"/>
        <v>-0.9</v>
      </c>
      <c r="AO455" s="17">
        <f t="shared" si="1819"/>
        <v>0</v>
      </c>
      <c r="AP455" s="17">
        <f t="shared" ref="AP455:AQ459" si="1892">+AP523</f>
        <v>0</v>
      </c>
      <c r="AQ455" s="17">
        <f t="shared" si="1892"/>
        <v>0</v>
      </c>
    </row>
    <row r="456" spans="2:43" x14ac:dyDescent="0.2">
      <c r="B456" t="s">
        <v>128</v>
      </c>
      <c r="D456" s="14">
        <v>-0.12396699999999999</v>
      </c>
      <c r="E456" s="14">
        <v>-8.8929999999999999E-3</v>
      </c>
      <c r="F456" s="14">
        <v>-2.3574000000000001E-2</v>
      </c>
      <c r="G456" s="14">
        <v>-2.2342000000000001E-2</v>
      </c>
      <c r="H456" s="17">
        <f t="shared" si="1800"/>
        <v>0</v>
      </c>
      <c r="I456" s="17">
        <f t="shared" si="1801"/>
        <v>-0.1</v>
      </c>
      <c r="J456" s="17">
        <f t="shared" ref="J456:K457" si="1893">+IFERROR(J524-I524,"n/a")</f>
        <v>0</v>
      </c>
      <c r="K456" s="17">
        <f t="shared" si="1893"/>
        <v>-0.1</v>
      </c>
      <c r="L456" s="17">
        <f t="shared" si="1803"/>
        <v>-0.1</v>
      </c>
      <c r="M456" s="17">
        <f t="shared" si="1804"/>
        <v>-0.4</v>
      </c>
      <c r="N456" s="17">
        <f t="shared" ref="N456:O457" si="1894">+IFERROR(N524-M524,"n/a")</f>
        <v>0</v>
      </c>
      <c r="O456" s="17">
        <f t="shared" si="1894"/>
        <v>0</v>
      </c>
      <c r="P456" s="17">
        <f t="shared" si="1806"/>
        <v>0</v>
      </c>
      <c r="Q456" s="17">
        <f t="shared" si="1807"/>
        <v>0</v>
      </c>
      <c r="R456" s="17">
        <f t="shared" ref="R456:S457" si="1895">+IFERROR(R524-Q524,"n/a")</f>
        <v>0</v>
      </c>
      <c r="S456" s="17">
        <f t="shared" si="1895"/>
        <v>0</v>
      </c>
      <c r="T456" s="17">
        <f t="shared" si="1809"/>
        <v>0</v>
      </c>
      <c r="U456" s="17">
        <f t="shared" si="1810"/>
        <v>0</v>
      </c>
      <c r="V456" s="17">
        <f t="shared" ref="V456:W457" si="1896">+IFERROR(V524-U524,"n/a")</f>
        <v>0</v>
      </c>
      <c r="W456" s="17">
        <f t="shared" si="1896"/>
        <v>0</v>
      </c>
      <c r="X456" s="17">
        <f t="shared" si="1812"/>
        <v>0</v>
      </c>
      <c r="Y456" s="17">
        <f t="shared" si="1813"/>
        <v>0</v>
      </c>
      <c r="Z456" s="17">
        <f t="shared" si="1814"/>
        <v>0</v>
      </c>
      <c r="AA456" s="17">
        <f t="shared" si="1815"/>
        <v>0</v>
      </c>
      <c r="AB456" s="17">
        <f t="shared" si="1816"/>
        <v>0</v>
      </c>
      <c r="AC456" s="17">
        <f t="shared" si="1817"/>
        <v>0</v>
      </c>
      <c r="AD456" s="17">
        <f t="shared" si="1817"/>
        <v>0</v>
      </c>
      <c r="AK456" s="17">
        <f t="shared" ref="AK456:AL456" si="1897">+AK524</f>
        <v>-0.2</v>
      </c>
      <c r="AL456" s="17">
        <f t="shared" si="1897"/>
        <v>-0.2</v>
      </c>
      <c r="AM456" s="17">
        <f t="shared" si="1819"/>
        <v>-0.2</v>
      </c>
      <c r="AN456" s="17">
        <f t="shared" si="1819"/>
        <v>-0.5</v>
      </c>
      <c r="AO456" s="17">
        <f t="shared" si="1819"/>
        <v>0</v>
      </c>
      <c r="AP456" s="17">
        <f t="shared" ref="AP456:AQ456" si="1898">+AP524</f>
        <v>0</v>
      </c>
      <c r="AQ456" s="17">
        <f t="shared" si="1898"/>
        <v>0</v>
      </c>
    </row>
    <row r="457" spans="2:43" x14ac:dyDescent="0.2">
      <c r="B457" t="s">
        <v>268</v>
      </c>
      <c r="D457" s="14">
        <v>0</v>
      </c>
      <c r="E457" s="14">
        <v>0</v>
      </c>
      <c r="F457" s="14">
        <v>0</v>
      </c>
      <c r="G457" s="14">
        <v>0</v>
      </c>
      <c r="H457" s="17">
        <f t="shared" si="1800"/>
        <v>0</v>
      </c>
      <c r="I457" s="17">
        <f t="shared" ref="I457" si="1899">+IFERROR(I525-H525,"n/a")</f>
        <v>0</v>
      </c>
      <c r="J457" s="17">
        <f t="shared" si="1893"/>
        <v>0</v>
      </c>
      <c r="K457" s="17">
        <f t="shared" si="1893"/>
        <v>0</v>
      </c>
      <c r="L457" s="17">
        <f t="shared" si="1803"/>
        <v>0</v>
      </c>
      <c r="M457" s="17">
        <f t="shared" ref="M457" si="1900">+IFERROR(M525-L525,"n/a")</f>
        <v>0</v>
      </c>
      <c r="N457" s="17">
        <f t="shared" si="1894"/>
        <v>0</v>
      </c>
      <c r="O457" s="17">
        <f t="shared" si="1894"/>
        <v>0</v>
      </c>
      <c r="P457" s="17">
        <f t="shared" si="1806"/>
        <v>0</v>
      </c>
      <c r="Q457" s="17">
        <f t="shared" ref="Q457" si="1901">+IFERROR(Q525-P525,"n/a")</f>
        <v>0</v>
      </c>
      <c r="R457" s="17">
        <f t="shared" si="1895"/>
        <v>0</v>
      </c>
      <c r="S457" s="17">
        <f t="shared" si="1895"/>
        <v>0</v>
      </c>
      <c r="T457" s="17">
        <f t="shared" si="1809"/>
        <v>0</v>
      </c>
      <c r="U457" s="17">
        <f t="shared" ref="U457" si="1902">+IFERROR(U525-T525,"n/a")</f>
        <v>0</v>
      </c>
      <c r="V457" s="17">
        <f t="shared" si="1896"/>
        <v>0</v>
      </c>
      <c r="W457" s="17">
        <f t="shared" si="1896"/>
        <v>0</v>
      </c>
      <c r="X457" s="17">
        <f t="shared" si="1812"/>
        <v>0</v>
      </c>
      <c r="Y457" s="17">
        <f t="shared" ref="Y457" si="1903">+IFERROR(Y525-X525,"n/a")</f>
        <v>0</v>
      </c>
      <c r="Z457" s="17">
        <f t="shared" si="1814"/>
        <v>0</v>
      </c>
      <c r="AA457" s="17">
        <f t="shared" si="1815"/>
        <v>-1.2</v>
      </c>
      <c r="AB457" s="17">
        <f t="shared" si="1816"/>
        <v>-20.3</v>
      </c>
      <c r="AC457" s="17">
        <f t="shared" si="1817"/>
        <v>-50.5</v>
      </c>
      <c r="AD457" s="17">
        <f t="shared" si="1817"/>
        <v>0</v>
      </c>
      <c r="AK457" s="17">
        <f t="shared" si="1891"/>
        <v>0</v>
      </c>
      <c r="AL457" s="17">
        <f t="shared" si="1891"/>
        <v>0</v>
      </c>
      <c r="AM457" s="17">
        <f t="shared" si="1819"/>
        <v>0</v>
      </c>
      <c r="AN457" s="17">
        <f t="shared" si="1819"/>
        <v>0</v>
      </c>
      <c r="AO457" s="17">
        <f t="shared" si="1819"/>
        <v>0</v>
      </c>
      <c r="AP457" s="17">
        <f t="shared" si="1892"/>
        <v>0</v>
      </c>
      <c r="AQ457" s="17">
        <f t="shared" si="1892"/>
        <v>0</v>
      </c>
    </row>
    <row r="458" spans="2:43" x14ac:dyDescent="0.2">
      <c r="B458" t="s">
        <v>243</v>
      </c>
      <c r="D458" s="14">
        <v>0</v>
      </c>
      <c r="E458" s="14">
        <v>0</v>
      </c>
      <c r="F458" s="14">
        <v>0</v>
      </c>
      <c r="G458" s="14">
        <v>0</v>
      </c>
      <c r="H458" s="17">
        <f>+H526</f>
        <v>0</v>
      </c>
      <c r="I458" s="17">
        <f>+IFERROR(I526-H526,"n/a")</f>
        <v>0</v>
      </c>
      <c r="J458" s="17">
        <f t="shared" ref="J458:K458" si="1904">+IFERROR(J526-I526,"n/a")</f>
        <v>0</v>
      </c>
      <c r="K458" s="17">
        <f t="shared" si="1904"/>
        <v>0</v>
      </c>
      <c r="L458" s="17">
        <f>+L526</f>
        <v>0</v>
      </c>
      <c r="M458" s="17">
        <f>+IFERROR(M526-L526,"n/a")</f>
        <v>0</v>
      </c>
      <c r="N458" s="17">
        <f t="shared" ref="N458:O458" si="1905">+IFERROR(N526-M526,"n/a")</f>
        <v>0</v>
      </c>
      <c r="O458" s="17">
        <f t="shared" si="1905"/>
        <v>0</v>
      </c>
      <c r="P458" s="17">
        <f>+P526</f>
        <v>0</v>
      </c>
      <c r="Q458" s="17">
        <f>+IFERROR(Q526-P526,"n/a")</f>
        <v>0</v>
      </c>
      <c r="R458" s="17">
        <f t="shared" ref="R458:S458" si="1906">+IFERROR(R526-Q526,"n/a")</f>
        <v>0</v>
      </c>
      <c r="S458" s="17">
        <f t="shared" si="1906"/>
        <v>0</v>
      </c>
      <c r="T458" s="17">
        <f>+T526</f>
        <v>0</v>
      </c>
      <c r="U458" s="17">
        <f>+IFERROR(U526-T526,"n/a")</f>
        <v>0</v>
      </c>
      <c r="V458" s="17">
        <f t="shared" ref="V458:W458" si="1907">+IFERROR(V526-U526,"n/a")</f>
        <v>0</v>
      </c>
      <c r="W458" s="17">
        <f t="shared" si="1907"/>
        <v>0</v>
      </c>
      <c r="X458" s="17">
        <f>+X526</f>
        <v>-1.4</v>
      </c>
      <c r="Y458" s="17">
        <f>+IFERROR(Y526-X526,"n/a")</f>
        <v>-0.80000000000000027</v>
      </c>
      <c r="Z458" s="17">
        <f t="shared" si="1814"/>
        <v>-0.5</v>
      </c>
      <c r="AA458" s="17">
        <f t="shared" si="1815"/>
        <v>-0.19999999999999973</v>
      </c>
      <c r="AB458" s="17">
        <f>+AB526</f>
        <v>-0.3</v>
      </c>
      <c r="AC458" s="17">
        <f>+IFERROR(AC526-AB526,"n/a")</f>
        <v>-1.7</v>
      </c>
      <c r="AD458" s="17">
        <f>+IFERROR(AD526-AC526,"n/a")</f>
        <v>-4.5999999999999996</v>
      </c>
      <c r="AK458" s="17"/>
      <c r="AL458" s="17">
        <f t="shared" si="1891"/>
        <v>0</v>
      </c>
      <c r="AM458" s="17">
        <f t="shared" si="1819"/>
        <v>0</v>
      </c>
      <c r="AN458" s="17">
        <f t="shared" si="1819"/>
        <v>0</v>
      </c>
      <c r="AO458" s="17">
        <f t="shared" si="1819"/>
        <v>0</v>
      </c>
      <c r="AP458" s="17">
        <f t="shared" si="1892"/>
        <v>0</v>
      </c>
      <c r="AQ458" s="17">
        <f t="shared" si="1892"/>
        <v>-2.9</v>
      </c>
    </row>
    <row r="459" spans="2:43" x14ac:dyDescent="0.2">
      <c r="B459" t="s">
        <v>442</v>
      </c>
      <c r="D459" s="14"/>
      <c r="E459" s="14"/>
      <c r="F459" s="14"/>
      <c r="G459" s="14"/>
      <c r="H459" s="17">
        <f>+H527</f>
        <v>0</v>
      </c>
      <c r="I459" s="17">
        <f>+IFERROR(I527-H527,"n/a")</f>
        <v>0</v>
      </c>
      <c r="J459" s="17">
        <f t="shared" ref="J459" si="1908">+IFERROR(J527-I527,"n/a")</f>
        <v>0</v>
      </c>
      <c r="K459" s="17">
        <f t="shared" ref="K459" si="1909">+IFERROR(K527-J527,"n/a")</f>
        <v>0</v>
      </c>
      <c r="L459" s="17">
        <f>+L527</f>
        <v>0</v>
      </c>
      <c r="M459" s="17">
        <f>+IFERROR(M527-L527,"n/a")</f>
        <v>0</v>
      </c>
      <c r="N459" s="17">
        <f t="shared" ref="N459" si="1910">+IFERROR(N527-M527,"n/a")</f>
        <v>0</v>
      </c>
      <c r="O459" s="17">
        <f t="shared" ref="O459" si="1911">+IFERROR(O527-N527,"n/a")</f>
        <v>0</v>
      </c>
      <c r="P459" s="17">
        <f>+P527</f>
        <v>0</v>
      </c>
      <c r="Q459" s="17">
        <f>+IFERROR(Q527-P527,"n/a")</f>
        <v>0</v>
      </c>
      <c r="R459" s="17">
        <f t="shared" ref="R459" si="1912">+IFERROR(R527-Q527,"n/a")</f>
        <v>0</v>
      </c>
      <c r="S459" s="17">
        <f t="shared" ref="S459" si="1913">+IFERROR(S527-R527,"n/a")</f>
        <v>0</v>
      </c>
      <c r="T459" s="17">
        <f>+T527</f>
        <v>0</v>
      </c>
      <c r="U459" s="17">
        <f>+IFERROR(U527-T527,"n/a")</f>
        <v>0</v>
      </c>
      <c r="V459" s="17">
        <f t="shared" ref="V459" si="1914">+IFERROR(V527-U527,"n/a")</f>
        <v>0</v>
      </c>
      <c r="W459" s="17">
        <f t="shared" ref="W459" si="1915">+IFERROR(W527-V527,"n/a")</f>
        <v>0</v>
      </c>
      <c r="X459" s="17">
        <f>+X527</f>
        <v>0</v>
      </c>
      <c r="Y459" s="17">
        <f>+IFERROR(Y527-X527,"n/a")</f>
        <v>0</v>
      </c>
      <c r="Z459" s="17">
        <f t="shared" ref="Z459" si="1916">+IFERROR(Z527-Y527,"n/a")</f>
        <v>0</v>
      </c>
      <c r="AA459" s="17">
        <f t="shared" ref="AA459" si="1917">+IFERROR(AA527-Z527,"n/a")</f>
        <v>0</v>
      </c>
      <c r="AB459" s="17">
        <f>+AB527</f>
        <v>0</v>
      </c>
      <c r="AC459" s="17">
        <f>+IFERROR(AC527-AB527,"n/a")</f>
        <v>0</v>
      </c>
      <c r="AD459" s="17">
        <f>+IFERROR(AD527-AC527,"n/a")</f>
        <v>-0.7</v>
      </c>
      <c r="AK459" s="17"/>
      <c r="AL459" s="17">
        <f t="shared" si="1891"/>
        <v>0</v>
      </c>
      <c r="AM459" s="17">
        <f t="shared" si="1819"/>
        <v>0</v>
      </c>
      <c r="AN459" s="17">
        <f t="shared" si="1819"/>
        <v>0</v>
      </c>
      <c r="AO459" s="17">
        <f t="shared" si="1819"/>
        <v>0</v>
      </c>
      <c r="AP459" s="17">
        <f t="shared" si="1892"/>
        <v>0</v>
      </c>
      <c r="AQ459" s="17">
        <f t="shared" si="1892"/>
        <v>0</v>
      </c>
    </row>
    <row r="460" spans="2:43" ht="13.5" x14ac:dyDescent="0.35">
      <c r="B460" t="s">
        <v>134</v>
      </c>
      <c r="D460" s="15">
        <v>-1.9441E-2</v>
      </c>
      <c r="E460" s="15">
        <v>-6.5189999999999998E-2</v>
      </c>
      <c r="F460" s="15">
        <v>0</v>
      </c>
      <c r="G460" s="15">
        <v>0</v>
      </c>
      <c r="H460" s="18">
        <f>+H528</f>
        <v>0</v>
      </c>
      <c r="I460" s="18">
        <f t="shared" ref="I460:K460" si="1918">+IFERROR(I528-H528,"n/a")</f>
        <v>0</v>
      </c>
      <c r="J460" s="18">
        <f t="shared" si="1918"/>
        <v>0</v>
      </c>
      <c r="K460" s="18">
        <f t="shared" si="1918"/>
        <v>0</v>
      </c>
      <c r="L460" s="18">
        <f>+L528</f>
        <v>0</v>
      </c>
      <c r="M460" s="18">
        <f t="shared" ref="M460:O460" si="1919">+IFERROR(M528-L528,"n/a")</f>
        <v>0</v>
      </c>
      <c r="N460" s="18">
        <f t="shared" si="1919"/>
        <v>0</v>
      </c>
      <c r="O460" s="18">
        <f t="shared" si="1919"/>
        <v>0</v>
      </c>
      <c r="P460" s="18">
        <f>+P528</f>
        <v>0</v>
      </c>
      <c r="Q460" s="18">
        <f t="shared" ref="Q460:S460" si="1920">+IFERROR(Q528-P528,"n/a")</f>
        <v>0</v>
      </c>
      <c r="R460" s="18">
        <f t="shared" si="1920"/>
        <v>0</v>
      </c>
      <c r="S460" s="18">
        <f t="shared" si="1920"/>
        <v>0</v>
      </c>
      <c r="T460" s="18">
        <f>+T528</f>
        <v>0</v>
      </c>
      <c r="U460" s="18">
        <f t="shared" ref="U460:W464" si="1921">+IFERROR(U528-T528,"n/a")</f>
        <v>0</v>
      </c>
      <c r="V460" s="18">
        <f t="shared" si="1921"/>
        <v>0</v>
      </c>
      <c r="W460" s="18">
        <f t="shared" si="1921"/>
        <v>0</v>
      </c>
      <c r="X460" s="18">
        <f>+X528</f>
        <v>0</v>
      </c>
      <c r="Y460" s="18">
        <f t="shared" ref="Y460:Y464" si="1922">+IFERROR(Y528-X528,"n/a")</f>
        <v>0</v>
      </c>
      <c r="Z460" s="18">
        <f>+IFERROR(Z528-Y528,"n/a")</f>
        <v>0</v>
      </c>
      <c r="AA460" s="18">
        <f>+IFERROR(AA528-Z528,"n/a")</f>
        <v>0</v>
      </c>
      <c r="AB460" s="18">
        <f>+AB528</f>
        <v>0</v>
      </c>
      <c r="AC460" s="18">
        <f t="shared" ref="AC460:AD464" si="1923">+IFERROR(AC528-AB528,"n/a")</f>
        <v>0</v>
      </c>
      <c r="AD460" s="18">
        <f t="shared" si="1923"/>
        <v>0</v>
      </c>
      <c r="AE460" s="21"/>
      <c r="AF460" s="21"/>
      <c r="AG460" s="21"/>
      <c r="AH460" s="21"/>
      <c r="AI460" s="21"/>
      <c r="AJ460" s="21"/>
      <c r="AK460" s="18">
        <f t="shared" ref="AK460:AL460" si="1924">+AK528</f>
        <v>-0.1</v>
      </c>
      <c r="AL460" s="18">
        <f t="shared" si="1924"/>
        <v>-0.1</v>
      </c>
      <c r="AM460" s="18">
        <f>+AM528</f>
        <v>0</v>
      </c>
      <c r="AN460" s="18">
        <f>+AN528</f>
        <v>0</v>
      </c>
      <c r="AO460" s="18">
        <f>+AO528</f>
        <v>0</v>
      </c>
      <c r="AP460" s="18">
        <f t="shared" ref="AP460:AQ460" si="1925">+AP528</f>
        <v>0</v>
      </c>
      <c r="AQ460" s="18">
        <f t="shared" si="1925"/>
        <v>0</v>
      </c>
    </row>
    <row r="461" spans="2:43" s="1" customFormat="1" x14ac:dyDescent="0.2">
      <c r="B461" s="31" t="s">
        <v>129</v>
      </c>
      <c r="D461" s="34">
        <f>SUM(D443:D460)</f>
        <v>-1.431562</v>
      </c>
      <c r="E461" s="34">
        <f t="shared" ref="E461:G461" si="1926">SUM(E443:E460)</f>
        <v>2.4629669999999999</v>
      </c>
      <c r="F461" s="34">
        <f t="shared" si="1926"/>
        <v>4.2833640000000006</v>
      </c>
      <c r="G461" s="34">
        <f t="shared" si="1926"/>
        <v>6.0395339999999997</v>
      </c>
      <c r="H461" s="34">
        <f>+H529</f>
        <v>-2.2000000000000002</v>
      </c>
      <c r="I461" s="34">
        <f t="shared" ref="I461:K461" si="1927">+IFERROR(I529-H529,"n/a")</f>
        <v>-2.4000000000000012</v>
      </c>
      <c r="J461" s="34">
        <f t="shared" si="1927"/>
        <v>66.7</v>
      </c>
      <c r="K461" s="34">
        <f t="shared" si="1927"/>
        <v>8.9000000000000128</v>
      </c>
      <c r="L461" s="34">
        <f>+L529</f>
        <v>66.400000000000006</v>
      </c>
      <c r="M461" s="34">
        <f t="shared" ref="M461:O461" si="1928">+IFERROR(M529-L529,"n/a")</f>
        <v>183.9</v>
      </c>
      <c r="N461" s="34">
        <f t="shared" si="1928"/>
        <v>89.800000000000011</v>
      </c>
      <c r="O461" s="34">
        <f t="shared" si="1928"/>
        <v>662.69999999999982</v>
      </c>
      <c r="P461" s="34">
        <f>+P529</f>
        <v>-3.6999999999999997</v>
      </c>
      <c r="Q461" s="34">
        <f t="shared" ref="Q461:S461" si="1929">+IFERROR(Q529-P529,"n/a")</f>
        <v>-113.9</v>
      </c>
      <c r="R461" s="34">
        <f t="shared" si="1929"/>
        <v>614.29999999999995</v>
      </c>
      <c r="S461" s="34">
        <f t="shared" si="1929"/>
        <v>-25.5</v>
      </c>
      <c r="T461" s="34">
        <f>+T529</f>
        <v>-35.699999999999996</v>
      </c>
      <c r="U461" s="34">
        <f t="shared" si="1921"/>
        <v>-175.3</v>
      </c>
      <c r="V461" s="34">
        <f t="shared" si="1921"/>
        <v>-0.40000000000000568</v>
      </c>
      <c r="W461" s="34">
        <f t="shared" si="1921"/>
        <v>-3.1999999999999886</v>
      </c>
      <c r="X461" s="34">
        <f>+X529</f>
        <v>-7</v>
      </c>
      <c r="Y461" s="34">
        <f t="shared" si="1922"/>
        <v>-108.2</v>
      </c>
      <c r="Z461" s="34">
        <f>+IFERROR(Z529-Y529,"n/a")</f>
        <v>-9.0999999999999943</v>
      </c>
      <c r="AA461" s="34">
        <f>+IFERROR(AA529-Z529,"n/a")</f>
        <v>-27.90000000000002</v>
      </c>
      <c r="AB461" s="34">
        <f>+AB529</f>
        <v>-29.8</v>
      </c>
      <c r="AC461" s="34">
        <f t="shared" si="1923"/>
        <v>-71</v>
      </c>
      <c r="AD461" s="34">
        <f t="shared" si="1923"/>
        <v>1051.4000000000001</v>
      </c>
      <c r="AK461" s="34">
        <f t="shared" ref="AK461:AP461" si="1930">+AK529</f>
        <v>11.300000000000002</v>
      </c>
      <c r="AL461" s="34">
        <f t="shared" si="1930"/>
        <v>11.300000000000002</v>
      </c>
      <c r="AM461" s="34">
        <f t="shared" si="1930"/>
        <v>71.000000000000014</v>
      </c>
      <c r="AN461" s="34">
        <f t="shared" si="1930"/>
        <v>1002.7999999999998</v>
      </c>
      <c r="AO461" s="34">
        <f t="shared" si="1930"/>
        <v>471.2</v>
      </c>
      <c r="AP461" s="34">
        <f t="shared" si="1930"/>
        <v>-214.6</v>
      </c>
      <c r="AQ461" s="34">
        <f t="shared" ref="AQ461" si="1931">+AQ529</f>
        <v>-152.20000000000002</v>
      </c>
    </row>
    <row r="462" spans="2:43" x14ac:dyDescent="0.2">
      <c r="D462" s="14"/>
      <c r="E462" s="14"/>
      <c r="F462" s="14"/>
      <c r="G462" s="14"/>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K462" s="17"/>
      <c r="AL462" s="17"/>
      <c r="AM462" s="17"/>
      <c r="AN462" s="17"/>
      <c r="AO462" s="17"/>
      <c r="AP462" s="17"/>
      <c r="AQ462" s="17"/>
    </row>
    <row r="463" spans="2:43" ht="13.5" x14ac:dyDescent="0.35">
      <c r="B463" t="s">
        <v>130</v>
      </c>
      <c r="D463" s="15">
        <v>0</v>
      </c>
      <c r="E463" s="15">
        <v>0</v>
      </c>
      <c r="F463" s="15">
        <v>0</v>
      </c>
      <c r="G463" s="15">
        <v>0</v>
      </c>
      <c r="H463" s="18">
        <f>+H531</f>
        <v>0</v>
      </c>
      <c r="I463" s="18">
        <f t="shared" ref="I463:K463" si="1932">+IFERROR(I531-H531,"n/a")</f>
        <v>0</v>
      </c>
      <c r="J463" s="18">
        <f t="shared" si="1932"/>
        <v>0</v>
      </c>
      <c r="K463" s="18">
        <f t="shared" si="1932"/>
        <v>0</v>
      </c>
      <c r="L463" s="18">
        <f>+L531</f>
        <v>0</v>
      </c>
      <c r="M463" s="18">
        <f t="shared" ref="M463:O463" si="1933">+IFERROR(M531-L531,"n/a")</f>
        <v>0</v>
      </c>
      <c r="N463" s="18">
        <f t="shared" si="1933"/>
        <v>0</v>
      </c>
      <c r="O463" s="18">
        <f t="shared" si="1933"/>
        <v>0</v>
      </c>
      <c r="P463" s="18">
        <f>+P531</f>
        <v>0</v>
      </c>
      <c r="Q463" s="18">
        <f t="shared" ref="Q463:S463" si="1934">+IFERROR(Q531-P531,"n/a")</f>
        <v>0</v>
      </c>
      <c r="R463" s="18">
        <f t="shared" si="1934"/>
        <v>0</v>
      </c>
      <c r="S463" s="18">
        <f t="shared" si="1934"/>
        <v>0</v>
      </c>
      <c r="T463" s="18">
        <f>+T531</f>
        <v>0</v>
      </c>
      <c r="U463" s="18">
        <f t="shared" si="1921"/>
        <v>-0.2</v>
      </c>
      <c r="V463" s="18">
        <f t="shared" si="1921"/>
        <v>-9.9999999999999978E-2</v>
      </c>
      <c r="W463" s="18">
        <f t="shared" si="1921"/>
        <v>1.3</v>
      </c>
      <c r="X463" s="18">
        <f>+X531</f>
        <v>0.4</v>
      </c>
      <c r="Y463" s="18">
        <f t="shared" si="1922"/>
        <v>0.29999999999999993</v>
      </c>
      <c r="Z463" s="18">
        <f t="shared" ref="Z463:Z464" si="1935">+IFERROR(Z531-Y531,"n/a")</f>
        <v>-1.5</v>
      </c>
      <c r="AA463" s="18">
        <f t="shared" ref="AA463:AA464" si="1936">+IFERROR(AA531-Z531,"n/a")</f>
        <v>11.9</v>
      </c>
      <c r="AB463" s="18">
        <f>+AB531</f>
        <v>-6.5</v>
      </c>
      <c r="AC463" s="18">
        <f t="shared" si="1923"/>
        <v>-2.5</v>
      </c>
      <c r="AD463" s="18">
        <f t="shared" si="1923"/>
        <v>12.3</v>
      </c>
      <c r="AK463" s="18">
        <f t="shared" ref="AK463:AO464" si="1937">+AK531</f>
        <v>0</v>
      </c>
      <c r="AL463" s="18">
        <f t="shared" si="1937"/>
        <v>0</v>
      </c>
      <c r="AM463" s="18">
        <f t="shared" si="1937"/>
        <v>0</v>
      </c>
      <c r="AN463" s="18">
        <f t="shared" si="1937"/>
        <v>0</v>
      </c>
      <c r="AO463" s="18">
        <f t="shared" si="1937"/>
        <v>0</v>
      </c>
      <c r="AP463" s="18">
        <f t="shared" ref="AP463:AQ463" si="1938">+AP531</f>
        <v>1</v>
      </c>
      <c r="AQ463" s="18">
        <f t="shared" si="1938"/>
        <v>11.1</v>
      </c>
    </row>
    <row r="464" spans="2:43" s="1" customFormat="1" x14ac:dyDescent="0.2">
      <c r="B464" s="31" t="s">
        <v>131</v>
      </c>
      <c r="D464" s="56">
        <f>+D429+D440+D461+D463</f>
        <v>-3.3981110099999996</v>
      </c>
      <c r="E464" s="56">
        <f t="shared" ref="E464:G464" si="1939">+E429+E440+E461+E463</f>
        <v>5.152215009999999</v>
      </c>
      <c r="F464" s="56">
        <f t="shared" si="1939"/>
        <v>4.3803500000000009</v>
      </c>
      <c r="G464" s="56">
        <f t="shared" si="1939"/>
        <v>-11.806551000000002</v>
      </c>
      <c r="H464" s="34">
        <f>+H532</f>
        <v>1.0999999999999983</v>
      </c>
      <c r="I464" s="34">
        <f t="shared" ref="I464:K464" si="1940">+IFERROR(I532-H532,"n/a")</f>
        <v>-0.69999999999999973</v>
      </c>
      <c r="J464" s="34">
        <f t="shared" si="1940"/>
        <v>6.5</v>
      </c>
      <c r="K464" s="34">
        <f t="shared" si="1940"/>
        <v>-7.9999999999999929</v>
      </c>
      <c r="L464" s="34">
        <f>+L532</f>
        <v>66.5</v>
      </c>
      <c r="M464" s="34">
        <f t="shared" ref="M464:O464" si="1941">+IFERROR(M532-L532,"n/a")</f>
        <v>173.8</v>
      </c>
      <c r="N464" s="34">
        <f t="shared" si="1941"/>
        <v>84.900000000000034</v>
      </c>
      <c r="O464" s="34">
        <f t="shared" si="1941"/>
        <v>598.89999999999975</v>
      </c>
      <c r="P464" s="34">
        <f>+P532</f>
        <v>-82.9</v>
      </c>
      <c r="Q464" s="34">
        <f t="shared" ref="Q464:S464" si="1942">+IFERROR(Q532-P532,"n/a")</f>
        <v>-145.20000000000002</v>
      </c>
      <c r="R464" s="34">
        <f t="shared" si="1942"/>
        <v>588.4</v>
      </c>
      <c r="S464" s="34">
        <f t="shared" si="1942"/>
        <v>-56.599999999999966</v>
      </c>
      <c r="T464" s="34">
        <f>+T532</f>
        <v>-42.5</v>
      </c>
      <c r="U464" s="34">
        <f t="shared" si="1921"/>
        <v>-170.79999999999998</v>
      </c>
      <c r="V464" s="34">
        <f t="shared" si="1921"/>
        <v>-345.49999999999989</v>
      </c>
      <c r="W464" s="34">
        <f t="shared" si="1921"/>
        <v>103.79999999999995</v>
      </c>
      <c r="X464" s="34">
        <f>+X532</f>
        <v>41.399999999999977</v>
      </c>
      <c r="Y464" s="34">
        <f t="shared" si="1922"/>
        <v>-92.600000000000009</v>
      </c>
      <c r="Z464" s="34">
        <f t="shared" si="1935"/>
        <v>57.999999999999957</v>
      </c>
      <c r="AA464" s="34">
        <f t="shared" si="1936"/>
        <v>-61.499999999999964</v>
      </c>
      <c r="AB464" s="34">
        <f>+AB532</f>
        <v>-19.300000000000022</v>
      </c>
      <c r="AC464" s="34">
        <f t="shared" si="1923"/>
        <v>-299.19999999999993</v>
      </c>
      <c r="AD464" s="34">
        <f t="shared" si="1923"/>
        <v>1192.0999999999999</v>
      </c>
      <c r="AK464" s="34">
        <f t="shared" si="1937"/>
        <v>26.000000000000007</v>
      </c>
      <c r="AL464" s="34">
        <f t="shared" si="1937"/>
        <v>-4.6000000000000014</v>
      </c>
      <c r="AM464" s="34">
        <f t="shared" si="1937"/>
        <v>-1.0999999999999943</v>
      </c>
      <c r="AN464" s="34">
        <f t="shared" si="1937"/>
        <v>924.0999999999998</v>
      </c>
      <c r="AO464" s="34">
        <f t="shared" si="1937"/>
        <v>303.7</v>
      </c>
      <c r="AP464" s="34">
        <f t="shared" ref="AP464:AQ464" si="1943">+AP532</f>
        <v>-454.99999999999989</v>
      </c>
      <c r="AQ464" s="34">
        <f t="shared" si="1943"/>
        <v>-54.700000000000038</v>
      </c>
    </row>
    <row r="465" spans="2:43" x14ac:dyDescent="0.2">
      <c r="B465" s="11"/>
      <c r="H465" s="13"/>
      <c r="I465" s="13"/>
      <c r="J465" s="13"/>
      <c r="K465" s="13"/>
      <c r="L465" s="13"/>
      <c r="M465" s="13"/>
      <c r="N465" s="13"/>
      <c r="O465" s="13"/>
      <c r="P465" s="13"/>
      <c r="Q465" s="13"/>
      <c r="R465" s="13"/>
      <c r="S465" s="13"/>
      <c r="T465" s="13"/>
      <c r="U465" s="13"/>
      <c r="AM465" s="17"/>
      <c r="AN465" s="17"/>
      <c r="AO465" s="17"/>
    </row>
    <row r="466" spans="2:43" ht="10.15" hidden="1" outlineLevel="1" x14ac:dyDescent="0.2">
      <c r="B466" s="10" t="s">
        <v>133</v>
      </c>
      <c r="C466" s="9"/>
    </row>
    <row r="467" spans="2:43" ht="10.15" hidden="1" outlineLevel="1" x14ac:dyDescent="0.2"/>
    <row r="468" spans="2:43" ht="10.15" hidden="1" outlineLevel="1" x14ac:dyDescent="0.2">
      <c r="B468" s="23" t="s">
        <v>132</v>
      </c>
    </row>
    <row r="469" spans="2:43" ht="10.15" hidden="1" outlineLevel="1" x14ac:dyDescent="0.2">
      <c r="B469" s="1" t="s">
        <v>84</v>
      </c>
    </row>
    <row r="470" spans="2:43" ht="10.15" hidden="1" outlineLevel="1" x14ac:dyDescent="0.2">
      <c r="B470" t="s">
        <v>85</v>
      </c>
      <c r="H470" s="14">
        <v>-13.5</v>
      </c>
      <c r="I470" s="14">
        <v>-21.7</v>
      </c>
      <c r="J470" s="14">
        <v>-44.3</v>
      </c>
      <c r="K470" s="14">
        <v>-56.6</v>
      </c>
      <c r="L470" s="14">
        <v>-5.0999999999999996</v>
      </c>
      <c r="M470" s="14">
        <v>-79.900000000000006</v>
      </c>
      <c r="N470" s="14">
        <v>-89.7</v>
      </c>
      <c r="O470" s="14">
        <v>-111.4</v>
      </c>
      <c r="P470" s="14">
        <v>-51</v>
      </c>
      <c r="Q470" s="14">
        <v>-46.5</v>
      </c>
      <c r="R470" s="14">
        <v>-60.3</v>
      </c>
      <c r="S470" s="14">
        <v>-74</v>
      </c>
      <c r="T470" s="14">
        <v>-13.2</v>
      </c>
      <c r="U470" s="14">
        <v>1.8</v>
      </c>
      <c r="V470" s="14">
        <v>48.2</v>
      </c>
      <c r="W470" s="14">
        <v>86.7</v>
      </c>
      <c r="X470" s="14">
        <v>20.399999999999999</v>
      </c>
      <c r="Y470" s="14">
        <v>57.2</v>
      </c>
      <c r="Z470" s="14">
        <v>103.7</v>
      </c>
      <c r="AA470" s="14">
        <v>122.9</v>
      </c>
      <c r="AB470" s="14">
        <v>28.5</v>
      </c>
      <c r="AC470" s="14">
        <v>83</v>
      </c>
      <c r="AD470" s="14">
        <v>155.19999999999999</v>
      </c>
      <c r="AK470" s="14">
        <v>-49.9</v>
      </c>
      <c r="AL470" s="14">
        <v>-55.4</v>
      </c>
      <c r="AM470" s="17">
        <f>+K470</f>
        <v>-56.6</v>
      </c>
      <c r="AN470" s="17">
        <f>+O470</f>
        <v>-111.4</v>
      </c>
      <c r="AO470" s="17">
        <f>+S470</f>
        <v>-74</v>
      </c>
      <c r="AP470" s="17">
        <f>+W470</f>
        <v>86.7</v>
      </c>
      <c r="AQ470" s="17">
        <f>+AA470</f>
        <v>122.9</v>
      </c>
    </row>
    <row r="471" spans="2:43" ht="10.15" hidden="1" outlineLevel="1" x14ac:dyDescent="0.2">
      <c r="B471" t="s">
        <v>86</v>
      </c>
      <c r="H471" s="14"/>
      <c r="I471" s="14"/>
      <c r="J471" s="14"/>
      <c r="K471" s="14"/>
      <c r="L471" s="14"/>
      <c r="M471" s="14"/>
      <c r="N471" s="14"/>
      <c r="O471" s="14"/>
      <c r="P471" s="14"/>
      <c r="Q471" s="14"/>
      <c r="R471" s="14"/>
      <c r="S471" s="14"/>
      <c r="T471" s="14"/>
      <c r="U471" s="14"/>
      <c r="X471" s="14"/>
      <c r="Y471" s="14"/>
      <c r="Z471" s="14"/>
      <c r="AA471" s="14"/>
      <c r="AB471" s="14"/>
      <c r="AC471" s="14"/>
      <c r="AD471" s="14"/>
      <c r="AK471" s="14"/>
      <c r="AL471" s="14"/>
      <c r="AM471" s="17"/>
      <c r="AN471" s="17"/>
      <c r="AO471" s="17"/>
      <c r="AP471" s="17"/>
      <c r="AQ471" s="17"/>
    </row>
    <row r="472" spans="2:43" ht="10.15" hidden="1" outlineLevel="1" x14ac:dyDescent="0.2">
      <c r="B472" s="11" t="s">
        <v>87</v>
      </c>
      <c r="H472" s="14">
        <v>14.9</v>
      </c>
      <c r="I472" s="14">
        <v>30.2</v>
      </c>
      <c r="J472" s="14">
        <v>46.3</v>
      </c>
      <c r="K472" s="14">
        <v>62.6</v>
      </c>
      <c r="L472" s="14">
        <v>17.600000000000001</v>
      </c>
      <c r="M472" s="14">
        <v>35.5</v>
      </c>
      <c r="N472" s="14">
        <v>59.7</v>
      </c>
      <c r="O472" s="14">
        <v>84.2</v>
      </c>
      <c r="P472" s="14">
        <v>25.3</v>
      </c>
      <c r="Q472" s="14">
        <v>51</v>
      </c>
      <c r="R472" s="14">
        <v>76.8</v>
      </c>
      <c r="S472" s="14">
        <v>104.4</v>
      </c>
      <c r="T472" s="14">
        <v>29.1</v>
      </c>
      <c r="U472" s="14">
        <v>59</v>
      </c>
      <c r="V472" s="14">
        <v>101.6</v>
      </c>
      <c r="W472" s="14">
        <v>149.1</v>
      </c>
      <c r="X472" s="14">
        <v>47.6</v>
      </c>
      <c r="Y472" s="14">
        <v>97.6</v>
      </c>
      <c r="Z472" s="14">
        <v>152.69999999999999</v>
      </c>
      <c r="AA472" s="14">
        <v>214.6</v>
      </c>
      <c r="AB472" s="14">
        <v>66.099999999999994</v>
      </c>
      <c r="AC472" s="14">
        <v>135.80000000000001</v>
      </c>
      <c r="AD472" s="14">
        <v>213.1</v>
      </c>
      <c r="AK472" s="14">
        <v>66.2</v>
      </c>
      <c r="AL472" s="14">
        <v>70.8</v>
      </c>
      <c r="AM472" s="17">
        <f>+K472</f>
        <v>62.6</v>
      </c>
      <c r="AN472" s="17">
        <f t="shared" ref="AN472:AN483" si="1944">+O472</f>
        <v>84.2</v>
      </c>
      <c r="AO472" s="17">
        <f t="shared" ref="AO472:AO483" si="1945">+S472</f>
        <v>104.4</v>
      </c>
      <c r="AP472" s="17">
        <f t="shared" ref="AP472:AP483" si="1946">+W472</f>
        <v>149.1</v>
      </c>
      <c r="AQ472" s="17">
        <f>+AA472</f>
        <v>214.6</v>
      </c>
    </row>
    <row r="473" spans="2:43" ht="10.15" hidden="1" outlineLevel="1" x14ac:dyDescent="0.2">
      <c r="B473" s="11" t="s">
        <v>88</v>
      </c>
      <c r="H473" s="14">
        <v>0.9</v>
      </c>
      <c r="I473" s="14">
        <v>1.9</v>
      </c>
      <c r="J473" s="14">
        <v>2.8</v>
      </c>
      <c r="K473" s="14">
        <v>4</v>
      </c>
      <c r="L473" s="14">
        <v>1.1000000000000001</v>
      </c>
      <c r="M473" s="14">
        <v>2.1</v>
      </c>
      <c r="N473" s="14">
        <v>2.9</v>
      </c>
      <c r="O473" s="14">
        <v>5.4</v>
      </c>
      <c r="P473" s="14">
        <v>1.2</v>
      </c>
      <c r="Q473" s="14">
        <v>2.4</v>
      </c>
      <c r="R473" s="14">
        <v>4.0999999999999996</v>
      </c>
      <c r="S473" s="14">
        <v>5.9</v>
      </c>
      <c r="T473" s="14">
        <v>1.9</v>
      </c>
      <c r="U473" s="14">
        <v>3.9</v>
      </c>
      <c r="V473" s="14">
        <v>6</v>
      </c>
      <c r="W473" s="14">
        <v>8.1</v>
      </c>
      <c r="X473" s="14">
        <v>2.1</v>
      </c>
      <c r="Y473" s="14">
        <v>4.0999999999999996</v>
      </c>
      <c r="Z473" s="14">
        <v>6.2</v>
      </c>
      <c r="AA473" s="14">
        <v>8.3000000000000007</v>
      </c>
      <c r="AB473" s="14">
        <v>2.1</v>
      </c>
      <c r="AC473" s="14">
        <v>4.0999999999999996</v>
      </c>
      <c r="AD473" s="14">
        <v>6.6</v>
      </c>
      <c r="AK473" s="14">
        <v>3.7</v>
      </c>
      <c r="AL473" s="14">
        <v>3.7</v>
      </c>
      <c r="AM473" s="17">
        <f t="shared" ref="AM473:AM495" si="1947">+K473</f>
        <v>4</v>
      </c>
      <c r="AN473" s="17">
        <f t="shared" si="1944"/>
        <v>5.4</v>
      </c>
      <c r="AO473" s="17">
        <f t="shared" si="1945"/>
        <v>5.9</v>
      </c>
      <c r="AP473" s="17">
        <f t="shared" si="1946"/>
        <v>8.1</v>
      </c>
      <c r="AQ473" s="17">
        <f>+AA473</f>
        <v>8.3000000000000007</v>
      </c>
    </row>
    <row r="474" spans="2:43" ht="10.15" hidden="1" outlineLevel="1" x14ac:dyDescent="0.2">
      <c r="B474" s="11" t="s">
        <v>263</v>
      </c>
      <c r="H474" s="14">
        <v>0</v>
      </c>
      <c r="I474" s="14">
        <v>0</v>
      </c>
      <c r="J474" s="14">
        <v>0</v>
      </c>
      <c r="K474" s="14">
        <v>0</v>
      </c>
      <c r="L474" s="14">
        <v>0</v>
      </c>
      <c r="M474" s="14">
        <v>0</v>
      </c>
      <c r="N474" s="14">
        <v>0</v>
      </c>
      <c r="O474" s="14">
        <v>0</v>
      </c>
      <c r="P474" s="14">
        <v>0</v>
      </c>
      <c r="Q474" s="14">
        <v>0</v>
      </c>
      <c r="R474" s="14">
        <v>0</v>
      </c>
      <c r="S474" s="14">
        <v>0</v>
      </c>
      <c r="T474" s="14">
        <v>0</v>
      </c>
      <c r="U474" s="14">
        <v>0</v>
      </c>
      <c r="V474" s="14">
        <v>0</v>
      </c>
      <c r="W474" s="14">
        <v>0</v>
      </c>
      <c r="X474" s="14">
        <v>0</v>
      </c>
      <c r="Y474" s="14">
        <v>0</v>
      </c>
      <c r="Z474" s="14">
        <v>0</v>
      </c>
      <c r="AA474" s="14">
        <v>18.600000000000001</v>
      </c>
      <c r="AB474" s="14">
        <v>0</v>
      </c>
      <c r="AC474" s="14">
        <v>0</v>
      </c>
      <c r="AD474" s="14">
        <v>0</v>
      </c>
      <c r="AK474" s="14"/>
      <c r="AL474" s="14"/>
      <c r="AM474" s="17"/>
      <c r="AN474" s="17"/>
      <c r="AO474" s="17"/>
      <c r="AP474" s="17"/>
      <c r="AQ474" s="17"/>
    </row>
    <row r="475" spans="2:43" ht="10.15" hidden="1" outlineLevel="1" x14ac:dyDescent="0.2">
      <c r="B475" s="11" t="s">
        <v>22</v>
      </c>
      <c r="H475" s="14">
        <v>0</v>
      </c>
      <c r="I475" s="14">
        <v>0</v>
      </c>
      <c r="J475" s="14">
        <v>0</v>
      </c>
      <c r="K475" s="14">
        <v>0</v>
      </c>
      <c r="L475" s="14">
        <v>0</v>
      </c>
      <c r="M475" s="14">
        <v>7.1</v>
      </c>
      <c r="N475" s="14">
        <v>7.1</v>
      </c>
      <c r="O475" s="14">
        <v>16.600000000000001</v>
      </c>
      <c r="P475" s="14">
        <v>0.2</v>
      </c>
      <c r="Q475" s="14">
        <v>0.2</v>
      </c>
      <c r="R475" s="14">
        <v>0.2</v>
      </c>
      <c r="S475" s="14">
        <v>0.2</v>
      </c>
      <c r="T475" s="14">
        <v>0</v>
      </c>
      <c r="U475" s="14">
        <v>0</v>
      </c>
      <c r="X475" s="14">
        <v>0</v>
      </c>
      <c r="Y475" s="14">
        <v>0</v>
      </c>
      <c r="Z475" s="14">
        <v>0</v>
      </c>
      <c r="AA475" s="14">
        <v>0</v>
      </c>
      <c r="AB475" s="14">
        <v>0</v>
      </c>
      <c r="AC475" s="14">
        <v>0</v>
      </c>
      <c r="AD475" s="14">
        <v>0</v>
      </c>
      <c r="AK475" s="14">
        <v>0</v>
      </c>
      <c r="AL475" s="14">
        <v>0</v>
      </c>
      <c r="AM475" s="17">
        <f t="shared" si="1947"/>
        <v>0</v>
      </c>
      <c r="AN475" s="17">
        <f t="shared" si="1944"/>
        <v>16.600000000000001</v>
      </c>
      <c r="AO475" s="17">
        <f t="shared" si="1945"/>
        <v>0.2</v>
      </c>
      <c r="AP475" s="17">
        <f t="shared" si="1946"/>
        <v>0</v>
      </c>
      <c r="AQ475" s="17">
        <f t="shared" ref="AQ475:AQ483" si="1948">+AA475</f>
        <v>0</v>
      </c>
    </row>
    <row r="476" spans="2:43" ht="10.15" hidden="1" outlineLevel="1" x14ac:dyDescent="0.2">
      <c r="B476" s="11" t="s">
        <v>89</v>
      </c>
      <c r="H476" s="14">
        <v>0.1</v>
      </c>
      <c r="I476" s="14">
        <v>0.4</v>
      </c>
      <c r="J476" s="14">
        <v>0.3</v>
      </c>
      <c r="K476" s="14">
        <v>0.2</v>
      </c>
      <c r="L476" s="14">
        <v>-0.6</v>
      </c>
      <c r="M476" s="14">
        <v>-0.4</v>
      </c>
      <c r="N476" s="14">
        <v>1.1000000000000001</v>
      </c>
      <c r="O476" s="14">
        <v>-1.3</v>
      </c>
      <c r="P476" s="14">
        <v>-0.1</v>
      </c>
      <c r="Q476" s="14">
        <v>-2.2999999999999998</v>
      </c>
      <c r="R476" s="14">
        <v>-4.3</v>
      </c>
      <c r="S476" s="14">
        <v>-2.5</v>
      </c>
      <c r="T476" s="14">
        <v>-6.3</v>
      </c>
      <c r="U476" s="14">
        <v>-5.5</v>
      </c>
      <c r="V476" s="14">
        <v>-4.4000000000000004</v>
      </c>
      <c r="W476" s="14">
        <v>-2.1</v>
      </c>
      <c r="X476" s="14">
        <v>-5.6</v>
      </c>
      <c r="Y476" s="14">
        <v>-8.4</v>
      </c>
      <c r="Z476" s="14">
        <v>-8.6</v>
      </c>
      <c r="AA476" s="14">
        <v>-8.1</v>
      </c>
      <c r="AB476" s="14">
        <v>0</v>
      </c>
      <c r="AC476" s="14">
        <v>-9.3000000000000007</v>
      </c>
      <c r="AD476" s="14">
        <v>-300.10000000000002</v>
      </c>
      <c r="AK476" s="14">
        <v>-3.8</v>
      </c>
      <c r="AL476" s="14">
        <v>-4</v>
      </c>
      <c r="AM476" s="17">
        <f t="shared" si="1947"/>
        <v>0.2</v>
      </c>
      <c r="AN476" s="17">
        <f t="shared" si="1944"/>
        <v>-1.3</v>
      </c>
      <c r="AO476" s="17">
        <f t="shared" si="1945"/>
        <v>-2.5</v>
      </c>
      <c r="AP476" s="17">
        <f t="shared" si="1946"/>
        <v>-2.1</v>
      </c>
      <c r="AQ476" s="17">
        <f t="shared" si="1948"/>
        <v>-8.1</v>
      </c>
    </row>
    <row r="477" spans="2:43" ht="10.15" hidden="1" outlineLevel="1" x14ac:dyDescent="0.2">
      <c r="B477" s="11" t="s">
        <v>90</v>
      </c>
      <c r="H477" s="14">
        <v>1.2</v>
      </c>
      <c r="I477" s="14">
        <v>2.5</v>
      </c>
      <c r="J477" s="14">
        <v>4.0999999999999996</v>
      </c>
      <c r="K477" s="14">
        <v>5.5</v>
      </c>
      <c r="L477" s="14">
        <v>1.6</v>
      </c>
      <c r="M477" s="14">
        <v>5.4</v>
      </c>
      <c r="N477" s="14">
        <v>6.9</v>
      </c>
      <c r="O477" s="14">
        <v>7.7</v>
      </c>
      <c r="P477" s="14">
        <v>6.7</v>
      </c>
      <c r="Q477" s="14">
        <v>8.1</v>
      </c>
      <c r="R477" s="14">
        <v>10.3</v>
      </c>
      <c r="S477" s="14">
        <v>11.3</v>
      </c>
      <c r="T477" s="14">
        <v>3</v>
      </c>
      <c r="U477" s="14">
        <v>4.3</v>
      </c>
      <c r="V477" s="14">
        <v>5.8</v>
      </c>
      <c r="W477" s="14">
        <v>10</v>
      </c>
      <c r="X477" s="14">
        <v>3.2</v>
      </c>
      <c r="Y477" s="14">
        <v>5.5</v>
      </c>
      <c r="Z477" s="14">
        <v>7.4</v>
      </c>
      <c r="AA477" s="14">
        <v>9.1999999999999993</v>
      </c>
      <c r="AB477" s="14">
        <v>1.8</v>
      </c>
      <c r="AC477" s="14">
        <v>3.9</v>
      </c>
      <c r="AD477" s="14">
        <v>6.4</v>
      </c>
      <c r="AK477" s="14">
        <v>2.2000000000000002</v>
      </c>
      <c r="AL477" s="14">
        <v>2.2000000000000002</v>
      </c>
      <c r="AM477" s="17">
        <f t="shared" si="1947"/>
        <v>5.5</v>
      </c>
      <c r="AN477" s="17">
        <f t="shared" si="1944"/>
        <v>7.7</v>
      </c>
      <c r="AO477" s="17">
        <f t="shared" si="1945"/>
        <v>11.3</v>
      </c>
      <c r="AP477" s="17">
        <f t="shared" si="1946"/>
        <v>10</v>
      </c>
      <c r="AQ477" s="17">
        <f t="shared" si="1948"/>
        <v>9.1999999999999993</v>
      </c>
    </row>
    <row r="478" spans="2:43" ht="10.15" hidden="1" outlineLevel="1" x14ac:dyDescent="0.2">
      <c r="B478" s="11" t="s">
        <v>91</v>
      </c>
      <c r="H478" s="14">
        <v>4.0999999999999996</v>
      </c>
      <c r="I478" s="14">
        <v>6.8</v>
      </c>
      <c r="J478" s="14">
        <v>15</v>
      </c>
      <c r="K478" s="14">
        <v>15.5</v>
      </c>
      <c r="L478" s="14">
        <v>-8.5</v>
      </c>
      <c r="M478" s="14">
        <v>-7</v>
      </c>
      <c r="N478" s="14">
        <v>-5.9</v>
      </c>
      <c r="O478" s="14">
        <v>-6.1</v>
      </c>
      <c r="P478" s="14">
        <v>0.2</v>
      </c>
      <c r="Q478" s="14">
        <v>0.2</v>
      </c>
      <c r="R478" s="14">
        <v>0.2</v>
      </c>
      <c r="S478" s="14">
        <v>0.2</v>
      </c>
      <c r="T478" s="14">
        <v>-0.3</v>
      </c>
      <c r="U478" s="14">
        <v>-0.3</v>
      </c>
      <c r="V478" s="14">
        <v>-37.200000000000003</v>
      </c>
      <c r="W478" s="14">
        <v>-36.6</v>
      </c>
      <c r="X478" s="14">
        <v>7</v>
      </c>
      <c r="Y478" s="14">
        <v>12.6</v>
      </c>
      <c r="Z478" s="14">
        <v>21.5</v>
      </c>
      <c r="AA478" s="14">
        <v>23.1</v>
      </c>
      <c r="AB478" s="14">
        <v>2.1</v>
      </c>
      <c r="AC478" s="14">
        <v>2.4</v>
      </c>
      <c r="AD478" s="14">
        <v>3.9</v>
      </c>
      <c r="AK478" s="14">
        <v>-0.3</v>
      </c>
      <c r="AL478" s="14">
        <v>-0.3</v>
      </c>
      <c r="AM478" s="17">
        <f t="shared" si="1947"/>
        <v>15.5</v>
      </c>
      <c r="AN478" s="17">
        <f t="shared" si="1944"/>
        <v>-6.1</v>
      </c>
      <c r="AO478" s="17">
        <f t="shared" si="1945"/>
        <v>0.2</v>
      </c>
      <c r="AP478" s="17">
        <f t="shared" si="1946"/>
        <v>-36.6</v>
      </c>
      <c r="AQ478" s="17">
        <f t="shared" si="1948"/>
        <v>23.1</v>
      </c>
    </row>
    <row r="479" spans="2:43" ht="10.15" hidden="1" outlineLevel="1" x14ac:dyDescent="0.2">
      <c r="B479" s="11" t="s">
        <v>92</v>
      </c>
      <c r="H479" s="14">
        <v>0</v>
      </c>
      <c r="I479" s="14">
        <v>0</v>
      </c>
      <c r="J479" s="14">
        <v>1.3</v>
      </c>
      <c r="K479" s="14">
        <v>1.9</v>
      </c>
      <c r="L479" s="14">
        <v>0</v>
      </c>
      <c r="M479" s="14">
        <v>0.4</v>
      </c>
      <c r="N479" s="14">
        <v>0.4</v>
      </c>
      <c r="O479" s="14">
        <v>0.4</v>
      </c>
      <c r="P479" s="14">
        <v>0</v>
      </c>
      <c r="Q479" s="14">
        <v>0.1</v>
      </c>
      <c r="R479" s="14">
        <v>0</v>
      </c>
      <c r="S479" s="14">
        <v>0</v>
      </c>
      <c r="T479" s="14">
        <v>0</v>
      </c>
      <c r="U479" s="14">
        <v>0</v>
      </c>
      <c r="V479" s="14">
        <v>0</v>
      </c>
      <c r="W479" s="14">
        <v>0</v>
      </c>
      <c r="X479" s="14">
        <v>0</v>
      </c>
      <c r="Y479" s="14">
        <v>0</v>
      </c>
      <c r="Z479" s="14">
        <v>0</v>
      </c>
      <c r="AA479" s="14">
        <v>0</v>
      </c>
      <c r="AB479" s="14">
        <v>0</v>
      </c>
      <c r="AC479" s="14">
        <v>0</v>
      </c>
      <c r="AD479" s="14">
        <v>0</v>
      </c>
      <c r="AK479" s="14">
        <v>0</v>
      </c>
      <c r="AL479" s="14">
        <v>0</v>
      </c>
      <c r="AM479" s="17">
        <f t="shared" si="1947"/>
        <v>1.9</v>
      </c>
      <c r="AN479" s="17">
        <f t="shared" si="1944"/>
        <v>0.4</v>
      </c>
      <c r="AO479" s="17">
        <f t="shared" si="1945"/>
        <v>0</v>
      </c>
      <c r="AP479" s="17">
        <f t="shared" si="1946"/>
        <v>0</v>
      </c>
      <c r="AQ479" s="17">
        <f t="shared" si="1948"/>
        <v>0</v>
      </c>
    </row>
    <row r="480" spans="2:43" ht="10.15" hidden="1" outlineLevel="1" x14ac:dyDescent="0.2">
      <c r="B480" s="11" t="s">
        <v>235</v>
      </c>
      <c r="H480" s="14">
        <v>0</v>
      </c>
      <c r="I480" s="14">
        <v>0</v>
      </c>
      <c r="J480" s="14">
        <v>0</v>
      </c>
      <c r="K480" s="14">
        <v>0</v>
      </c>
      <c r="L480" s="14">
        <v>0</v>
      </c>
      <c r="M480" s="14">
        <v>0</v>
      </c>
      <c r="N480" s="14">
        <v>0</v>
      </c>
      <c r="O480" s="14">
        <v>0</v>
      </c>
      <c r="P480" s="14">
        <v>0</v>
      </c>
      <c r="Q480" s="14">
        <v>0</v>
      </c>
      <c r="R480" s="14">
        <v>0</v>
      </c>
      <c r="S480" s="14">
        <v>0</v>
      </c>
      <c r="T480" s="14">
        <v>0</v>
      </c>
      <c r="U480" s="14">
        <v>0</v>
      </c>
      <c r="V480" s="14">
        <v>0</v>
      </c>
      <c r="W480" s="14">
        <v>-15.1</v>
      </c>
      <c r="X480" s="14">
        <v>-8.9</v>
      </c>
      <c r="Y480" s="14">
        <v>-8.9</v>
      </c>
      <c r="Z480" s="14">
        <v>-11.5</v>
      </c>
      <c r="AA480" s="14">
        <v>-12.2</v>
      </c>
      <c r="AB480" s="14">
        <v>-11</v>
      </c>
      <c r="AC480" s="14">
        <v>-10.8</v>
      </c>
      <c r="AD480" s="14">
        <v>-21.6</v>
      </c>
      <c r="AK480" s="14">
        <v>0</v>
      </c>
      <c r="AL480" s="14">
        <v>0</v>
      </c>
      <c r="AM480" s="17">
        <f t="shared" ref="AM480" si="1949">+K480</f>
        <v>0</v>
      </c>
      <c r="AN480" s="17">
        <f t="shared" ref="AN480" si="1950">+O480</f>
        <v>0</v>
      </c>
      <c r="AO480" s="17">
        <f t="shared" ref="AO480" si="1951">+S480</f>
        <v>0</v>
      </c>
      <c r="AP480" s="17">
        <f t="shared" si="1946"/>
        <v>-15.1</v>
      </c>
      <c r="AQ480" s="17">
        <f t="shared" si="1948"/>
        <v>-12.2</v>
      </c>
    </row>
    <row r="481" spans="2:43" ht="10.15" hidden="1" outlineLevel="1" x14ac:dyDescent="0.2">
      <c r="B481" s="11" t="s">
        <v>74</v>
      </c>
      <c r="H481" s="14">
        <v>0</v>
      </c>
      <c r="I481" s="14">
        <v>0</v>
      </c>
      <c r="J481" s="14">
        <v>0</v>
      </c>
      <c r="K481" s="14">
        <v>0</v>
      </c>
      <c r="L481" s="14">
        <v>0</v>
      </c>
      <c r="M481" s="14">
        <v>50</v>
      </c>
      <c r="N481" s="14">
        <v>56.2</v>
      </c>
      <c r="O481" s="14">
        <v>66.2</v>
      </c>
      <c r="P481" s="14">
        <v>14</v>
      </c>
      <c r="Q481" s="14">
        <v>20.6</v>
      </c>
      <c r="R481" s="14">
        <v>26.9</v>
      </c>
      <c r="S481" s="14">
        <v>40.799999999999997</v>
      </c>
      <c r="T481" s="14">
        <v>16.899999999999999</v>
      </c>
      <c r="U481" s="14">
        <v>26.2</v>
      </c>
      <c r="V481" s="14">
        <v>38.4</v>
      </c>
      <c r="W481" s="14">
        <v>49.6</v>
      </c>
      <c r="X481" s="14">
        <v>20.9</v>
      </c>
      <c r="Y481" s="14">
        <v>34</v>
      </c>
      <c r="Z481" s="14">
        <v>46.4</v>
      </c>
      <c r="AA481" s="14">
        <v>57.4</v>
      </c>
      <c r="AB481" s="14">
        <v>22.8</v>
      </c>
      <c r="AC481" s="14">
        <v>37.1</v>
      </c>
      <c r="AD481" s="14">
        <v>51.4</v>
      </c>
      <c r="AK481" s="14">
        <v>0</v>
      </c>
      <c r="AL481" s="14">
        <v>0</v>
      </c>
      <c r="AM481" s="17">
        <f t="shared" si="1947"/>
        <v>0</v>
      </c>
      <c r="AN481" s="17">
        <f t="shared" si="1944"/>
        <v>66.2</v>
      </c>
      <c r="AO481" s="17">
        <f t="shared" si="1945"/>
        <v>40.799999999999997</v>
      </c>
      <c r="AP481" s="17">
        <f t="shared" si="1946"/>
        <v>49.6</v>
      </c>
      <c r="AQ481" s="17">
        <f t="shared" si="1948"/>
        <v>57.4</v>
      </c>
    </row>
    <row r="482" spans="2:43" ht="10.15" hidden="1" outlineLevel="1" x14ac:dyDescent="0.2">
      <c r="B482" s="11" t="s">
        <v>93</v>
      </c>
      <c r="H482" s="14">
        <v>-0.1</v>
      </c>
      <c r="I482" s="14">
        <v>-0.7</v>
      </c>
      <c r="J482" s="14">
        <v>-0.7</v>
      </c>
      <c r="K482" s="14">
        <v>-0.4</v>
      </c>
      <c r="L482" s="14">
        <v>0</v>
      </c>
      <c r="M482" s="14">
        <v>-0.1</v>
      </c>
      <c r="N482" s="14">
        <v>-0.3</v>
      </c>
      <c r="O482" s="14">
        <v>0.1</v>
      </c>
      <c r="P482" s="14">
        <v>0.3</v>
      </c>
      <c r="Q482" s="14">
        <v>0.5</v>
      </c>
      <c r="R482" s="14">
        <v>1</v>
      </c>
      <c r="S482" s="14">
        <v>0.7</v>
      </c>
      <c r="T482" s="14">
        <v>0.6</v>
      </c>
      <c r="U482" s="14">
        <v>0.7</v>
      </c>
      <c r="V482" s="14">
        <f>0.9+1.1</f>
        <v>2</v>
      </c>
      <c r="W482" s="14">
        <f>0.9+1.7</f>
        <v>2.6</v>
      </c>
      <c r="X482" s="14">
        <f>0.3+0.5</f>
        <v>0.8</v>
      </c>
      <c r="Y482" s="14">
        <f>0.3+1.3</f>
        <v>1.6</v>
      </c>
      <c r="Z482" s="14">
        <v>4.3</v>
      </c>
      <c r="AA482" s="14">
        <v>7.4</v>
      </c>
      <c r="AB482" s="14">
        <v>-1.3</v>
      </c>
      <c r="AC482" s="14">
        <f>4.8-1.6-1.8</f>
        <v>1.3999999999999997</v>
      </c>
      <c r="AD482" s="14">
        <f>-1.1-0.5+294.2</f>
        <v>292.59999999999997</v>
      </c>
      <c r="AK482" s="14">
        <v>-0.4</v>
      </c>
      <c r="AL482" s="14">
        <v>-0.4</v>
      </c>
      <c r="AM482" s="17">
        <f t="shared" si="1947"/>
        <v>-0.4</v>
      </c>
      <c r="AN482" s="17">
        <f t="shared" si="1944"/>
        <v>0.1</v>
      </c>
      <c r="AO482" s="17">
        <f t="shared" si="1945"/>
        <v>0.7</v>
      </c>
      <c r="AP482" s="17">
        <f t="shared" si="1946"/>
        <v>2.6</v>
      </c>
      <c r="AQ482" s="17">
        <f t="shared" si="1948"/>
        <v>7.4</v>
      </c>
    </row>
    <row r="483" spans="2:43" ht="10.15" hidden="1" outlineLevel="1" x14ac:dyDescent="0.2">
      <c r="B483" s="11" t="s">
        <v>94</v>
      </c>
      <c r="H483" s="14">
        <v>0</v>
      </c>
      <c r="I483" s="14">
        <v>0</v>
      </c>
      <c r="J483" s="14">
        <v>0</v>
      </c>
      <c r="K483" s="14">
        <v>0</v>
      </c>
      <c r="L483" s="14">
        <v>0</v>
      </c>
      <c r="M483" s="14">
        <v>-12.4</v>
      </c>
      <c r="N483" s="14">
        <v>-12.4</v>
      </c>
      <c r="O483" s="14">
        <v>-12.4</v>
      </c>
      <c r="P483" s="14">
        <v>0</v>
      </c>
      <c r="Q483" s="14">
        <v>0</v>
      </c>
      <c r="R483" s="14">
        <v>0</v>
      </c>
      <c r="S483" s="14">
        <v>0</v>
      </c>
      <c r="T483" s="14">
        <v>0</v>
      </c>
      <c r="U483" s="14">
        <v>0</v>
      </c>
      <c r="V483" s="14">
        <v>0</v>
      </c>
      <c r="W483" s="14">
        <v>0</v>
      </c>
      <c r="X483" s="14">
        <v>0</v>
      </c>
      <c r="Y483" s="14">
        <v>0</v>
      </c>
      <c r="Z483" s="14">
        <v>0</v>
      </c>
      <c r="AA483" s="14">
        <v>0</v>
      </c>
      <c r="AB483" s="14">
        <v>0</v>
      </c>
      <c r="AC483" s="14">
        <v>0</v>
      </c>
      <c r="AD483" s="14">
        <v>0</v>
      </c>
      <c r="AK483" s="14">
        <v>0</v>
      </c>
      <c r="AL483" s="14">
        <v>0</v>
      </c>
      <c r="AM483" s="17">
        <f t="shared" si="1947"/>
        <v>0</v>
      </c>
      <c r="AN483" s="17">
        <f t="shared" si="1944"/>
        <v>-12.4</v>
      </c>
      <c r="AO483" s="17">
        <f t="shared" si="1945"/>
        <v>0</v>
      </c>
      <c r="AP483" s="17">
        <f t="shared" si="1946"/>
        <v>0</v>
      </c>
      <c r="AQ483" s="17">
        <f t="shared" si="1948"/>
        <v>0</v>
      </c>
    </row>
    <row r="484" spans="2:43" ht="10.15" hidden="1" outlineLevel="1" x14ac:dyDescent="0.2">
      <c r="B484" t="s">
        <v>95</v>
      </c>
      <c r="H484" s="14"/>
      <c r="I484" s="14"/>
      <c r="J484" s="14"/>
      <c r="K484" s="14"/>
      <c r="L484" s="14"/>
      <c r="M484" s="14"/>
      <c r="N484" s="14"/>
      <c r="O484" s="14"/>
      <c r="P484" s="14"/>
      <c r="Q484" s="14"/>
      <c r="R484" s="14"/>
      <c r="S484" s="14"/>
      <c r="T484" s="14"/>
      <c r="U484" s="14"/>
      <c r="X484" s="14"/>
      <c r="Y484" s="14"/>
      <c r="AK484" s="14"/>
      <c r="AL484" s="14"/>
      <c r="AM484" s="17"/>
      <c r="AN484" s="17"/>
      <c r="AO484" s="17"/>
      <c r="AP484" s="17"/>
      <c r="AQ484" s="17"/>
    </row>
    <row r="485" spans="2:43" ht="10.15" hidden="1" outlineLevel="1" x14ac:dyDescent="0.2">
      <c r="B485" s="11" t="s">
        <v>265</v>
      </c>
      <c r="H485" s="14">
        <v>0</v>
      </c>
      <c r="I485" s="14">
        <v>0</v>
      </c>
      <c r="J485" s="14">
        <v>0</v>
      </c>
      <c r="K485" s="14">
        <v>0</v>
      </c>
      <c r="L485" s="14">
        <v>0</v>
      </c>
      <c r="M485" s="14">
        <v>0</v>
      </c>
      <c r="N485" s="14">
        <v>0</v>
      </c>
      <c r="O485" s="14">
        <v>0</v>
      </c>
      <c r="P485" s="14">
        <v>0</v>
      </c>
      <c r="Q485" s="14">
        <v>0</v>
      </c>
      <c r="R485" s="14">
        <v>0</v>
      </c>
      <c r="S485" s="14">
        <v>0</v>
      </c>
      <c r="T485" s="14">
        <v>0</v>
      </c>
      <c r="U485" s="14">
        <v>0</v>
      </c>
      <c r="V485" s="14">
        <v>0</v>
      </c>
      <c r="W485" s="14">
        <v>0</v>
      </c>
      <c r="X485" s="14">
        <v>0</v>
      </c>
      <c r="Y485" s="14">
        <v>0</v>
      </c>
      <c r="Z485" s="14">
        <v>0</v>
      </c>
      <c r="AA485" s="14">
        <v>42.3</v>
      </c>
      <c r="AB485" s="14">
        <v>-58.3</v>
      </c>
      <c r="AC485" s="14">
        <v>-54</v>
      </c>
      <c r="AD485" s="14">
        <v>-14.4</v>
      </c>
      <c r="AK485" s="14"/>
      <c r="AL485" s="14"/>
      <c r="AM485" s="17"/>
      <c r="AN485" s="17"/>
      <c r="AO485" s="17"/>
      <c r="AP485" s="17"/>
      <c r="AQ485" s="17"/>
    </row>
    <row r="486" spans="2:43" ht="10.15" hidden="1" outlineLevel="1" x14ac:dyDescent="0.2">
      <c r="B486" s="11" t="s">
        <v>96</v>
      </c>
      <c r="H486" s="14">
        <v>-7.3</v>
      </c>
      <c r="I486" s="14">
        <v>-11.7</v>
      </c>
      <c r="J486" s="14">
        <v>-11.3</v>
      </c>
      <c r="K486" s="14">
        <v>-18.600000000000001</v>
      </c>
      <c r="L486" s="14">
        <v>9.6</v>
      </c>
      <c r="M486" s="14">
        <v>4.8</v>
      </c>
      <c r="N486" s="14">
        <v>-19.3</v>
      </c>
      <c r="O486" s="14">
        <v>-19.3</v>
      </c>
      <c r="P486" s="14">
        <v>-40.700000000000003</v>
      </c>
      <c r="Q486" s="14">
        <v>-92</v>
      </c>
      <c r="R486" s="14">
        <v>-98</v>
      </c>
      <c r="S486" s="14">
        <v>-120.7</v>
      </c>
      <c r="T486" s="14">
        <v>-20</v>
      </c>
      <c r="U486" s="14">
        <v>-49.5</v>
      </c>
      <c r="V486" s="145">
        <v>-58.1</v>
      </c>
      <c r="W486" s="145">
        <v>4.0999999999999996</v>
      </c>
      <c r="X486" s="14">
        <v>-17.100000000000001</v>
      </c>
      <c r="Y486" s="145">
        <v>-37.9</v>
      </c>
      <c r="Z486" s="145">
        <v>-43.8</v>
      </c>
      <c r="AA486" s="145">
        <v>-52.7</v>
      </c>
      <c r="AB486" s="145">
        <v>0.5</v>
      </c>
      <c r="AC486" s="145">
        <v>-36.799999999999997</v>
      </c>
      <c r="AD486" s="145">
        <v>-46</v>
      </c>
      <c r="AK486" s="14">
        <v>-16.600000000000001</v>
      </c>
      <c r="AL486" s="14">
        <v>-16.600000000000001</v>
      </c>
      <c r="AM486" s="17">
        <f t="shared" si="1947"/>
        <v>-18.600000000000001</v>
      </c>
      <c r="AN486" s="17">
        <f t="shared" ref="AN486:AN495" si="1952">+O486</f>
        <v>-19.3</v>
      </c>
      <c r="AO486" s="17">
        <f t="shared" ref="AO486:AO495" si="1953">+S486</f>
        <v>-120.7</v>
      </c>
      <c r="AP486" s="17">
        <f t="shared" ref="AP486:AP497" si="1954">+W486</f>
        <v>4.0999999999999996</v>
      </c>
      <c r="AQ486" s="17">
        <f t="shared" ref="AQ486:AQ492" si="1955">+AA486</f>
        <v>-52.7</v>
      </c>
    </row>
    <row r="487" spans="2:43" ht="10.15" hidden="1" outlineLevel="1" x14ac:dyDescent="0.2">
      <c r="B487" s="11" t="s">
        <v>97</v>
      </c>
      <c r="H487" s="14">
        <v>-0.9</v>
      </c>
      <c r="I487" s="14">
        <v>-1.8</v>
      </c>
      <c r="J487" s="14">
        <v>-1.8</v>
      </c>
      <c r="K487" s="14">
        <v>-2.4</v>
      </c>
      <c r="L487" s="14">
        <v>-0.3</v>
      </c>
      <c r="M487" s="14">
        <v>-0.6</v>
      </c>
      <c r="N487" s="14">
        <v>-0.6</v>
      </c>
      <c r="O487" s="14">
        <v>-0.6</v>
      </c>
      <c r="P487" s="14">
        <v>0</v>
      </c>
      <c r="Q487" s="14">
        <v>0</v>
      </c>
      <c r="R487" s="14">
        <v>0</v>
      </c>
      <c r="S487" s="14">
        <v>-0.3</v>
      </c>
      <c r="T487" s="14">
        <v>0</v>
      </c>
      <c r="U487" s="14">
        <v>0</v>
      </c>
      <c r="V487" s="145">
        <v>0</v>
      </c>
      <c r="W487" s="145">
        <v>0</v>
      </c>
      <c r="X487" s="14">
        <v>0</v>
      </c>
      <c r="Y487" s="145">
        <v>0</v>
      </c>
      <c r="Z487" s="145">
        <v>0</v>
      </c>
      <c r="AA487" s="145">
        <v>0</v>
      </c>
      <c r="AB487" s="145">
        <v>0</v>
      </c>
      <c r="AC487" s="145">
        <v>0</v>
      </c>
      <c r="AD487" s="145">
        <v>0</v>
      </c>
      <c r="AK487" s="14">
        <v>0</v>
      </c>
      <c r="AL487" s="14">
        <v>0</v>
      </c>
      <c r="AM487" s="17">
        <f t="shared" si="1947"/>
        <v>-2.4</v>
      </c>
      <c r="AN487" s="17">
        <f t="shared" si="1952"/>
        <v>-0.6</v>
      </c>
      <c r="AO487" s="17">
        <f t="shared" si="1953"/>
        <v>-0.3</v>
      </c>
      <c r="AP487" s="17">
        <f t="shared" si="1954"/>
        <v>0</v>
      </c>
      <c r="AQ487" s="17">
        <f t="shared" si="1955"/>
        <v>0</v>
      </c>
    </row>
    <row r="488" spans="2:43" ht="10.15" hidden="1" outlineLevel="1" x14ac:dyDescent="0.2">
      <c r="B488" s="11" t="s">
        <v>98</v>
      </c>
      <c r="H488" s="14">
        <v>-1.3</v>
      </c>
      <c r="I488" s="14">
        <v>-0.9</v>
      </c>
      <c r="J488" s="14">
        <v>-2.2999999999999998</v>
      </c>
      <c r="K488" s="14">
        <v>-2.7</v>
      </c>
      <c r="L488" s="14">
        <v>-3.2</v>
      </c>
      <c r="M488" s="14">
        <v>-0.7</v>
      </c>
      <c r="N488" s="14">
        <v>-2.9</v>
      </c>
      <c r="O488" s="14">
        <v>-1.2</v>
      </c>
      <c r="P488" s="14">
        <v>1.1000000000000001</v>
      </c>
      <c r="Q488" s="14">
        <v>-1.6</v>
      </c>
      <c r="R488" s="14">
        <v>-1.4</v>
      </c>
      <c r="S488" s="14">
        <v>-0.4</v>
      </c>
      <c r="T488" s="14">
        <v>0.6</v>
      </c>
      <c r="U488" s="14">
        <v>1.7</v>
      </c>
      <c r="V488" s="145">
        <v>-4.5999999999999996</v>
      </c>
      <c r="W488" s="145">
        <v>-1.5</v>
      </c>
      <c r="X488" s="14">
        <v>0.1</v>
      </c>
      <c r="Y488" s="145">
        <v>-0.9</v>
      </c>
      <c r="Z488" s="145">
        <v>-5.4</v>
      </c>
      <c r="AA488" s="145">
        <v>-6.8</v>
      </c>
      <c r="AB488" s="145">
        <v>-8.5</v>
      </c>
      <c r="AC488" s="145">
        <v>-14.3</v>
      </c>
      <c r="AD488" s="145">
        <v>-18.5</v>
      </c>
      <c r="AK488" s="14">
        <v>0.6</v>
      </c>
      <c r="AL488" s="14">
        <v>0.6</v>
      </c>
      <c r="AM488" s="17">
        <f t="shared" si="1947"/>
        <v>-2.7</v>
      </c>
      <c r="AN488" s="17">
        <f t="shared" si="1952"/>
        <v>-1.2</v>
      </c>
      <c r="AO488" s="17">
        <f t="shared" si="1953"/>
        <v>-0.4</v>
      </c>
      <c r="AP488" s="17">
        <f t="shared" si="1954"/>
        <v>-1.5</v>
      </c>
      <c r="AQ488" s="17">
        <f t="shared" si="1955"/>
        <v>-6.8</v>
      </c>
    </row>
    <row r="489" spans="2:43" ht="10.15" hidden="1" outlineLevel="1" x14ac:dyDescent="0.2">
      <c r="B489" s="11" t="s">
        <v>99</v>
      </c>
      <c r="H489" s="14">
        <v>0.2</v>
      </c>
      <c r="I489" s="14">
        <v>-2</v>
      </c>
      <c r="J489" s="14">
        <v>-2.2999999999999998</v>
      </c>
      <c r="K489" s="14">
        <v>-1.7</v>
      </c>
      <c r="L489" s="14">
        <v>-0.3</v>
      </c>
      <c r="M489" s="14">
        <v>0.1</v>
      </c>
      <c r="N489" s="14">
        <v>0.1</v>
      </c>
      <c r="O489" s="14">
        <v>1.2</v>
      </c>
      <c r="P489" s="14">
        <v>0.1</v>
      </c>
      <c r="Q489" s="14">
        <v>3</v>
      </c>
      <c r="R489" s="14">
        <v>2.9</v>
      </c>
      <c r="S489" s="14">
        <v>1.8</v>
      </c>
      <c r="T489" s="14">
        <v>1.7</v>
      </c>
      <c r="U489" s="14">
        <v>2.9</v>
      </c>
      <c r="V489" s="145">
        <v>3.1</v>
      </c>
      <c r="W489" s="145">
        <v>2.8</v>
      </c>
      <c r="X489" s="14">
        <v>0.7</v>
      </c>
      <c r="Y489" s="145">
        <v>2.5</v>
      </c>
      <c r="Z489" s="145">
        <v>5.7</v>
      </c>
      <c r="AA489" s="145">
        <v>7.2</v>
      </c>
      <c r="AB489" s="145">
        <v>0.7</v>
      </c>
      <c r="AC489" s="145">
        <v>2.9</v>
      </c>
      <c r="AD489" s="145">
        <v>7</v>
      </c>
      <c r="AK489" s="14">
        <v>-1.8</v>
      </c>
      <c r="AL489" s="14">
        <v>-1.8</v>
      </c>
      <c r="AM489" s="17">
        <f t="shared" si="1947"/>
        <v>-1.7</v>
      </c>
      <c r="AN489" s="17">
        <f t="shared" si="1952"/>
        <v>1.2</v>
      </c>
      <c r="AO489" s="17">
        <f t="shared" si="1953"/>
        <v>1.8</v>
      </c>
      <c r="AP489" s="17">
        <f t="shared" si="1954"/>
        <v>2.8</v>
      </c>
      <c r="AQ489" s="17">
        <f t="shared" si="1955"/>
        <v>7.2</v>
      </c>
    </row>
    <row r="490" spans="2:43" ht="10.15" hidden="1" outlineLevel="1" x14ac:dyDescent="0.2">
      <c r="B490" s="11" t="s">
        <v>100</v>
      </c>
      <c r="H490" s="14">
        <v>3.9</v>
      </c>
      <c r="I490" s="14">
        <v>11.8</v>
      </c>
      <c r="J490" s="14">
        <v>13.8</v>
      </c>
      <c r="K490" s="14">
        <v>12.3</v>
      </c>
      <c r="L490" s="14">
        <v>-4.7</v>
      </c>
      <c r="M490" s="14">
        <v>6.6</v>
      </c>
      <c r="N490" s="14">
        <v>16.899999999999999</v>
      </c>
      <c r="O490" s="14">
        <v>-2</v>
      </c>
      <c r="P490" s="14">
        <v>28</v>
      </c>
      <c r="Q490" s="14">
        <v>50.8</v>
      </c>
      <c r="R490" s="14">
        <v>59.1</v>
      </c>
      <c r="S490" s="14">
        <v>56.5</v>
      </c>
      <c r="T490" s="14">
        <v>15.4</v>
      </c>
      <c r="U490" s="14">
        <v>35.799999999999997</v>
      </c>
      <c r="V490" s="145">
        <v>44.2</v>
      </c>
      <c r="W490" s="145">
        <v>37.299999999999997</v>
      </c>
      <c r="X490" s="14">
        <v>5.3</v>
      </c>
      <c r="Y490" s="145">
        <v>19.600000000000001</v>
      </c>
      <c r="Z490" s="145">
        <v>15.8</v>
      </c>
      <c r="AA490" s="145">
        <v>14.7</v>
      </c>
      <c r="AB490" s="145">
        <v>21.4</v>
      </c>
      <c r="AC490" s="145">
        <v>36.700000000000003</v>
      </c>
      <c r="AD490" s="145">
        <v>24.9</v>
      </c>
      <c r="AK490" s="14">
        <v>11.1</v>
      </c>
      <c r="AL490" s="14">
        <v>11.1</v>
      </c>
      <c r="AM490" s="17">
        <f t="shared" si="1947"/>
        <v>12.3</v>
      </c>
      <c r="AN490" s="17">
        <f t="shared" si="1952"/>
        <v>-2</v>
      </c>
      <c r="AO490" s="17">
        <f t="shared" si="1953"/>
        <v>56.5</v>
      </c>
      <c r="AP490" s="17">
        <f t="shared" si="1954"/>
        <v>37.299999999999997</v>
      </c>
      <c r="AQ490" s="17">
        <f t="shared" si="1955"/>
        <v>14.7</v>
      </c>
    </row>
    <row r="491" spans="2:43" ht="10.15" hidden="1" outlineLevel="1" x14ac:dyDescent="0.2">
      <c r="B491" s="11" t="s">
        <v>101</v>
      </c>
      <c r="H491" s="14">
        <v>4.0999999999999996</v>
      </c>
      <c r="I491" s="14">
        <v>5.2</v>
      </c>
      <c r="J491" s="14">
        <v>9.1</v>
      </c>
      <c r="K491" s="14">
        <v>6</v>
      </c>
      <c r="L491" s="14">
        <v>-2.2000000000000002</v>
      </c>
      <c r="M491" s="14">
        <v>-6.7</v>
      </c>
      <c r="N491" s="14">
        <v>-5.5</v>
      </c>
      <c r="O491" s="14">
        <v>-5.3</v>
      </c>
      <c r="P491" s="14">
        <v>6.4</v>
      </c>
      <c r="Q491" s="14">
        <v>5.2</v>
      </c>
      <c r="R491" s="14">
        <v>5.3</v>
      </c>
      <c r="S491" s="14">
        <v>5.0999999999999996</v>
      </c>
      <c r="T491" s="14">
        <v>3.1</v>
      </c>
      <c r="U491" s="14">
        <v>3.1</v>
      </c>
      <c r="V491" s="145">
        <v>8.3000000000000007</v>
      </c>
      <c r="W491" s="145">
        <v>8.1</v>
      </c>
      <c r="X491" s="14">
        <v>5.9</v>
      </c>
      <c r="Y491" s="145">
        <v>9.8000000000000007</v>
      </c>
      <c r="Z491" s="145">
        <v>19</v>
      </c>
      <c r="AA491" s="145">
        <v>2</v>
      </c>
      <c r="AB491" s="145">
        <v>6.1</v>
      </c>
      <c r="AC491" s="145">
        <v>23.8</v>
      </c>
      <c r="AD491" s="145">
        <v>35.5</v>
      </c>
      <c r="AK491" s="14">
        <v>13.7</v>
      </c>
      <c r="AL491" s="14">
        <v>14.8</v>
      </c>
      <c r="AM491" s="17">
        <f t="shared" si="1947"/>
        <v>6</v>
      </c>
      <c r="AN491" s="17">
        <f t="shared" si="1952"/>
        <v>-5.3</v>
      </c>
      <c r="AO491" s="17">
        <f t="shared" si="1953"/>
        <v>5.0999999999999996</v>
      </c>
      <c r="AP491" s="17">
        <f t="shared" si="1954"/>
        <v>8.1</v>
      </c>
      <c r="AQ491" s="17">
        <f t="shared" si="1955"/>
        <v>2</v>
      </c>
    </row>
    <row r="492" spans="2:43" ht="10.15" hidden="1" outlineLevel="1" x14ac:dyDescent="0.2">
      <c r="B492" s="11" t="s">
        <v>102</v>
      </c>
      <c r="H492" s="14">
        <v>0</v>
      </c>
      <c r="I492" s="14">
        <v>0</v>
      </c>
      <c r="J492" s="14">
        <v>0</v>
      </c>
      <c r="K492" s="14">
        <v>0</v>
      </c>
      <c r="L492" s="14">
        <v>0</v>
      </c>
      <c r="M492" s="14">
        <v>0</v>
      </c>
      <c r="N492" s="14">
        <v>0</v>
      </c>
      <c r="O492" s="14">
        <v>0</v>
      </c>
      <c r="P492" s="14">
        <v>0</v>
      </c>
      <c r="Q492" s="14">
        <v>0</v>
      </c>
      <c r="R492" s="14">
        <v>0</v>
      </c>
      <c r="S492" s="14">
        <v>-0.5</v>
      </c>
      <c r="T492" s="14">
        <v>-0.1</v>
      </c>
      <c r="U492" s="14">
        <v>-0.3</v>
      </c>
      <c r="V492" s="145">
        <v>-0.4</v>
      </c>
      <c r="W492" s="145">
        <v>-0.3</v>
      </c>
      <c r="X492" s="14">
        <v>0.1</v>
      </c>
      <c r="Y492" s="145">
        <v>0.1</v>
      </c>
      <c r="Z492" s="145">
        <v>0.1</v>
      </c>
      <c r="AA492" s="145">
        <v>-0.1</v>
      </c>
      <c r="AB492" s="145">
        <v>-0.2</v>
      </c>
      <c r="AC492" s="145">
        <v>-0.4</v>
      </c>
      <c r="AD492" s="145">
        <v>-0.6</v>
      </c>
      <c r="AK492" s="14">
        <v>0</v>
      </c>
      <c r="AL492" s="14">
        <v>0</v>
      </c>
      <c r="AM492" s="17">
        <f t="shared" si="1947"/>
        <v>0</v>
      </c>
      <c r="AN492" s="17">
        <f t="shared" si="1952"/>
        <v>0</v>
      </c>
      <c r="AO492" s="17">
        <f t="shared" si="1953"/>
        <v>-0.5</v>
      </c>
      <c r="AP492" s="17">
        <f t="shared" si="1954"/>
        <v>-0.3</v>
      </c>
      <c r="AQ492" s="17">
        <f t="shared" si="1955"/>
        <v>-0.1</v>
      </c>
    </row>
    <row r="493" spans="2:43" ht="10.15" hidden="1" outlineLevel="1" x14ac:dyDescent="0.2">
      <c r="B493" s="11" t="s">
        <v>266</v>
      </c>
      <c r="H493" s="14">
        <v>0</v>
      </c>
      <c r="I493" s="14">
        <v>0</v>
      </c>
      <c r="J493" s="14">
        <v>0</v>
      </c>
      <c r="K493" s="14">
        <v>0</v>
      </c>
      <c r="L493" s="14">
        <v>0</v>
      </c>
      <c r="M493" s="14">
        <v>0</v>
      </c>
      <c r="N493" s="14">
        <v>0</v>
      </c>
      <c r="O493" s="14">
        <v>0</v>
      </c>
      <c r="P493" s="14">
        <v>0</v>
      </c>
      <c r="Q493" s="14">
        <v>0</v>
      </c>
      <c r="R493" s="14">
        <v>0</v>
      </c>
      <c r="S493" s="14">
        <v>0</v>
      </c>
      <c r="T493" s="14">
        <v>0</v>
      </c>
      <c r="U493" s="14">
        <v>0</v>
      </c>
      <c r="V493" s="14">
        <v>0</v>
      </c>
      <c r="W493" s="14">
        <v>0</v>
      </c>
      <c r="X493" s="14">
        <v>0</v>
      </c>
      <c r="Y493" s="14">
        <v>0</v>
      </c>
      <c r="Z493" s="14">
        <v>-2.8</v>
      </c>
      <c r="AA493" s="14">
        <v>-17.8</v>
      </c>
      <c r="AB493" s="14">
        <v>-0.3</v>
      </c>
      <c r="AC493" s="14">
        <v>-0.3</v>
      </c>
      <c r="AD493" s="145">
        <v>-0.3</v>
      </c>
      <c r="AK493" s="14"/>
      <c r="AL493" s="14"/>
      <c r="AM493" s="17"/>
      <c r="AN493" s="17"/>
      <c r="AO493" s="17"/>
      <c r="AP493" s="17"/>
      <c r="AQ493" s="17"/>
    </row>
    <row r="494" spans="2:43" ht="12" hidden="1" outlineLevel="1" x14ac:dyDescent="0.35">
      <c r="B494" s="11" t="s">
        <v>103</v>
      </c>
      <c r="H494" s="15">
        <v>4.0999999999999996</v>
      </c>
      <c r="I494" s="15">
        <v>2.9</v>
      </c>
      <c r="J494" s="15">
        <v>3.1</v>
      </c>
      <c r="K494" s="15">
        <v>1.1000000000000001</v>
      </c>
      <c r="L494" s="15">
        <v>4.7</v>
      </c>
      <c r="M494" s="15">
        <v>2.5</v>
      </c>
      <c r="N494" s="15">
        <v>2.2999999999999998</v>
      </c>
      <c r="O494" s="15">
        <v>1.2</v>
      </c>
      <c r="P494" s="15">
        <v>6.6</v>
      </c>
      <c r="Q494" s="15">
        <v>5.3</v>
      </c>
      <c r="R494" s="15">
        <v>2.8</v>
      </c>
      <c r="S494" s="15">
        <v>0.7</v>
      </c>
      <c r="T494" s="15">
        <v>4.7</v>
      </c>
      <c r="U494" s="15">
        <v>1.2</v>
      </c>
      <c r="V494" s="146">
        <v>2.4</v>
      </c>
      <c r="W494" s="146">
        <v>-2.2000000000000002</v>
      </c>
      <c r="X494" s="15">
        <v>4.2</v>
      </c>
      <c r="Y494" s="146">
        <v>-0.9</v>
      </c>
      <c r="Z494" s="146">
        <v>-2.1</v>
      </c>
      <c r="AA494" s="146">
        <v>-7.5</v>
      </c>
      <c r="AB494" s="146">
        <v>-6.3</v>
      </c>
      <c r="AC494" s="146">
        <v>-13.3</v>
      </c>
      <c r="AD494" s="146">
        <v>-10.199999999999999</v>
      </c>
      <c r="AK494" s="15">
        <v>0.8</v>
      </c>
      <c r="AL494" s="15">
        <v>0.8</v>
      </c>
      <c r="AM494" s="18">
        <f t="shared" si="1947"/>
        <v>1.1000000000000001</v>
      </c>
      <c r="AN494" s="18">
        <f t="shared" si="1952"/>
        <v>1.2</v>
      </c>
      <c r="AO494" s="18">
        <f t="shared" si="1953"/>
        <v>0.7</v>
      </c>
      <c r="AP494" s="18">
        <f t="shared" si="1954"/>
        <v>-2.2000000000000002</v>
      </c>
      <c r="AQ494" s="18">
        <f>+AA494</f>
        <v>-7.5</v>
      </c>
    </row>
    <row r="495" spans="2:43" ht="10.15" hidden="1" outlineLevel="1" x14ac:dyDescent="0.2">
      <c r="B495" s="12" t="s">
        <v>104</v>
      </c>
      <c r="H495" s="17">
        <f t="shared" ref="H495:AB495" si="1956">+SUM(H470:H494)</f>
        <v>10.399999999999999</v>
      </c>
      <c r="I495" s="17">
        <f t="shared" si="1956"/>
        <v>22.900000000000002</v>
      </c>
      <c r="J495" s="17">
        <f t="shared" si="1956"/>
        <v>33.1</v>
      </c>
      <c r="K495" s="17">
        <f t="shared" si="1956"/>
        <v>26.700000000000003</v>
      </c>
      <c r="L495" s="17">
        <f t="shared" si="1956"/>
        <v>9.6999999999999993</v>
      </c>
      <c r="M495" s="17">
        <f t="shared" si="1956"/>
        <v>6.6999999999999948</v>
      </c>
      <c r="N495" s="17">
        <f t="shared" si="1956"/>
        <v>17.000000000000007</v>
      </c>
      <c r="O495" s="17">
        <f t="shared" si="1956"/>
        <v>23.400000000000002</v>
      </c>
      <c r="P495" s="17">
        <f t="shared" si="1956"/>
        <v>-1.7000000000000028</v>
      </c>
      <c r="Q495" s="17">
        <f t="shared" si="1956"/>
        <v>4.9999999999999929</v>
      </c>
      <c r="R495" s="17">
        <f t="shared" si="1956"/>
        <v>25.6</v>
      </c>
      <c r="S495" s="17">
        <f t="shared" si="1956"/>
        <v>29.200000000000014</v>
      </c>
      <c r="T495" s="17">
        <f t="shared" si="1956"/>
        <v>37.1</v>
      </c>
      <c r="U495" s="17">
        <f t="shared" si="1956"/>
        <v>85</v>
      </c>
      <c r="V495" s="17">
        <f t="shared" si="1956"/>
        <v>155.30000000000001</v>
      </c>
      <c r="W495" s="17">
        <f t="shared" si="1956"/>
        <v>300.60000000000008</v>
      </c>
      <c r="X495" s="17">
        <f t="shared" si="1956"/>
        <v>86.699999999999974</v>
      </c>
      <c r="Y495" s="17">
        <f t="shared" si="1956"/>
        <v>187.59999999999997</v>
      </c>
      <c r="Z495" s="17">
        <f t="shared" si="1956"/>
        <v>308.59999999999997</v>
      </c>
      <c r="AA495" s="17">
        <f t="shared" si="1956"/>
        <v>422.49999999999994</v>
      </c>
      <c r="AB495" s="17">
        <f t="shared" si="1956"/>
        <v>66.199999999999974</v>
      </c>
      <c r="AC495" s="17">
        <f t="shared" ref="AC495:AD495" si="1957">+SUM(AC470:AC494)</f>
        <v>191.9</v>
      </c>
      <c r="AD495" s="17">
        <f t="shared" si="1957"/>
        <v>384.89999999999992</v>
      </c>
      <c r="AK495" s="17">
        <f>+SUM(AK470:AK494)</f>
        <v>25.500000000000004</v>
      </c>
      <c r="AL495" s="17">
        <f>+SUM(AL470:AL494)</f>
        <v>25.499999999999996</v>
      </c>
      <c r="AM495" s="17">
        <f t="shared" si="1947"/>
        <v>26.700000000000003</v>
      </c>
      <c r="AN495" s="17">
        <f t="shared" si="1952"/>
        <v>23.400000000000002</v>
      </c>
      <c r="AO495" s="17">
        <f t="shared" si="1953"/>
        <v>29.200000000000014</v>
      </c>
      <c r="AP495" s="17">
        <f t="shared" si="1954"/>
        <v>300.60000000000008</v>
      </c>
      <c r="AQ495" s="17">
        <f>+AA495</f>
        <v>422.49999999999994</v>
      </c>
    </row>
    <row r="496" spans="2:43" ht="12" hidden="1" outlineLevel="1" x14ac:dyDescent="0.35">
      <c r="B496" t="s">
        <v>109</v>
      </c>
      <c r="H496" s="15">
        <v>-3.7</v>
      </c>
      <c r="I496" s="15">
        <v>-8.8000000000000007</v>
      </c>
      <c r="J496" s="15">
        <v>-13.6</v>
      </c>
      <c r="K496" s="15">
        <v>-18.7</v>
      </c>
      <c r="L496" s="15">
        <v>-5.6</v>
      </c>
      <c r="M496" s="15">
        <v>-9.8000000000000007</v>
      </c>
      <c r="N496" s="15">
        <v>-14.4</v>
      </c>
      <c r="O496" s="15">
        <v>-19.399999999999999</v>
      </c>
      <c r="P496" s="15">
        <v>-5.4</v>
      </c>
      <c r="Q496" s="15">
        <v>-12.7</v>
      </c>
      <c r="R496" s="15">
        <v>-19.3</v>
      </c>
      <c r="S496" s="15">
        <v>-26.2</v>
      </c>
      <c r="T496" s="15">
        <v>-6.3</v>
      </c>
      <c r="U496" s="15">
        <v>-14.2</v>
      </c>
      <c r="V496" s="15">
        <v>-19.399999999999999</v>
      </c>
      <c r="W496" s="15">
        <v>-25.2</v>
      </c>
      <c r="X496" s="15">
        <v>-7.3</v>
      </c>
      <c r="Y496" s="15">
        <v>-16.3</v>
      </c>
      <c r="Z496" s="15">
        <v>-25.6</v>
      </c>
      <c r="AA496" s="15">
        <v>-34.200000000000003</v>
      </c>
      <c r="AB496" s="146">
        <v>-9.5</v>
      </c>
      <c r="AC496" s="146">
        <v>-19.100000000000001</v>
      </c>
      <c r="AD496" s="146">
        <v>-30</v>
      </c>
      <c r="AK496" s="17"/>
      <c r="AL496" s="15">
        <v>-30.6</v>
      </c>
      <c r="AM496" s="18">
        <f t="shared" ref="AM496:AM497" si="1958">+K496</f>
        <v>-18.7</v>
      </c>
      <c r="AN496" s="18">
        <f t="shared" ref="AN496:AN497" si="1959">+O496</f>
        <v>-19.399999999999999</v>
      </c>
      <c r="AO496" s="18">
        <f t="shared" ref="AO496:AO497" si="1960">+S496</f>
        <v>-26.2</v>
      </c>
      <c r="AP496" s="18">
        <f t="shared" si="1954"/>
        <v>-25.2</v>
      </c>
      <c r="AQ496" s="18">
        <f>+AA496</f>
        <v>-34.200000000000003</v>
      </c>
    </row>
    <row r="497" spans="2:43" ht="10.15" hidden="1" outlineLevel="1" x14ac:dyDescent="0.2">
      <c r="B497" s="12" t="s">
        <v>231</v>
      </c>
      <c r="H497" s="17">
        <f>+SUM(H495:H496)</f>
        <v>6.6999999999999984</v>
      </c>
      <c r="I497" s="17">
        <f t="shared" ref="I497:V497" si="1961">+SUM(I495:I496)</f>
        <v>14.100000000000001</v>
      </c>
      <c r="J497" s="17">
        <f t="shared" si="1961"/>
        <v>19.5</v>
      </c>
      <c r="K497" s="17">
        <f t="shared" si="1961"/>
        <v>8.0000000000000036</v>
      </c>
      <c r="L497" s="17">
        <f t="shared" si="1961"/>
        <v>4.0999999999999996</v>
      </c>
      <c r="M497" s="17">
        <f t="shared" si="1961"/>
        <v>-3.1000000000000059</v>
      </c>
      <c r="N497" s="17">
        <f t="shared" si="1961"/>
        <v>2.6000000000000068</v>
      </c>
      <c r="O497" s="17">
        <f t="shared" si="1961"/>
        <v>4.0000000000000036</v>
      </c>
      <c r="P497" s="17">
        <f t="shared" si="1961"/>
        <v>-7.1000000000000032</v>
      </c>
      <c r="Q497" s="17">
        <f t="shared" si="1961"/>
        <v>-7.7000000000000064</v>
      </c>
      <c r="R497" s="17">
        <f t="shared" si="1961"/>
        <v>6.3000000000000007</v>
      </c>
      <c r="S497" s="17">
        <f t="shared" si="1961"/>
        <v>3.0000000000000142</v>
      </c>
      <c r="T497" s="17">
        <f t="shared" si="1961"/>
        <v>30.8</v>
      </c>
      <c r="U497" s="17">
        <f t="shared" si="1961"/>
        <v>70.8</v>
      </c>
      <c r="V497" s="17">
        <f t="shared" si="1961"/>
        <v>135.9</v>
      </c>
      <c r="W497" s="17">
        <f t="shared" ref="W497:AB497" si="1962">+SUM(W495:W496)</f>
        <v>275.40000000000009</v>
      </c>
      <c r="X497" s="17">
        <f t="shared" si="1962"/>
        <v>79.399999999999977</v>
      </c>
      <c r="Y497" s="17">
        <f t="shared" si="1962"/>
        <v>171.29999999999995</v>
      </c>
      <c r="Z497" s="17">
        <f t="shared" si="1962"/>
        <v>282.99999999999994</v>
      </c>
      <c r="AA497" s="17">
        <f t="shared" si="1962"/>
        <v>388.29999999999995</v>
      </c>
      <c r="AB497" s="17">
        <f t="shared" si="1962"/>
        <v>56.699999999999974</v>
      </c>
      <c r="AC497" s="17">
        <f t="shared" ref="AC497:AD497" si="1963">+SUM(AC495:AC496)</f>
        <v>172.8</v>
      </c>
      <c r="AD497" s="17">
        <f t="shared" si="1963"/>
        <v>354.89999999999992</v>
      </c>
      <c r="AL497" s="17">
        <f t="shared" ref="AL497" si="1964">+SUM(AL495:AL496)</f>
        <v>-5.100000000000005</v>
      </c>
      <c r="AM497" s="17">
        <f t="shared" si="1958"/>
        <v>8.0000000000000036</v>
      </c>
      <c r="AN497" s="17">
        <f t="shared" si="1959"/>
        <v>4.0000000000000036</v>
      </c>
      <c r="AO497" s="17">
        <f t="shared" si="1960"/>
        <v>3.0000000000000142</v>
      </c>
      <c r="AP497" s="17">
        <f t="shared" si="1954"/>
        <v>275.40000000000009</v>
      </c>
      <c r="AQ497" s="17">
        <f>+AA497</f>
        <v>388.29999999999995</v>
      </c>
    </row>
    <row r="498" spans="2:43" ht="10.15" hidden="1" outlineLevel="1" x14ac:dyDescent="0.2">
      <c r="B498" s="12"/>
      <c r="H498" s="14"/>
      <c r="I498" s="14"/>
      <c r="J498" s="14"/>
      <c r="K498" s="14"/>
      <c r="L498" s="14"/>
      <c r="M498" s="14"/>
      <c r="N498" s="14"/>
      <c r="O498" s="14"/>
      <c r="P498" s="14"/>
      <c r="Q498" s="14"/>
      <c r="R498" s="14"/>
      <c r="S498" s="14"/>
      <c r="T498" s="14"/>
      <c r="U498" s="14"/>
      <c r="V498" s="13"/>
      <c r="W498" s="13"/>
      <c r="X498" s="14"/>
      <c r="AM498" s="17"/>
      <c r="AN498" s="17"/>
      <c r="AO498" s="17"/>
      <c r="AP498" s="17"/>
      <c r="AQ498" s="17"/>
    </row>
    <row r="499" spans="2:43" ht="10.15" hidden="1" outlineLevel="1" x14ac:dyDescent="0.2">
      <c r="B499" s="1" t="s">
        <v>105</v>
      </c>
      <c r="H499" s="14"/>
      <c r="I499" s="14"/>
      <c r="J499" s="14"/>
      <c r="K499" s="14"/>
      <c r="L499" s="14"/>
      <c r="M499" s="14"/>
      <c r="N499" s="14"/>
      <c r="O499" s="14"/>
      <c r="P499" s="14"/>
      <c r="Q499" s="14"/>
      <c r="R499" s="14"/>
      <c r="S499" s="14"/>
      <c r="T499" s="14"/>
      <c r="U499" s="14"/>
      <c r="X499" s="14"/>
      <c r="AM499" s="17"/>
      <c r="AN499" s="17"/>
      <c r="AO499" s="17"/>
      <c r="AP499" s="17"/>
      <c r="AQ499" s="17"/>
    </row>
    <row r="500" spans="2:43" ht="10.15" hidden="1" outlineLevel="1" x14ac:dyDescent="0.2">
      <c r="B500" t="s">
        <v>106</v>
      </c>
      <c r="H500" s="14">
        <v>0</v>
      </c>
      <c r="I500" s="14">
        <v>0</v>
      </c>
      <c r="J500" s="14">
        <v>-60.2</v>
      </c>
      <c r="K500" s="14">
        <v>-60.2</v>
      </c>
      <c r="L500" s="14">
        <v>0</v>
      </c>
      <c r="M500" s="14">
        <v>0</v>
      </c>
      <c r="N500" s="14">
        <v>0</v>
      </c>
      <c r="O500" s="14">
        <v>-49.8</v>
      </c>
      <c r="P500" s="14">
        <v>-40.6</v>
      </c>
      <c r="Q500" s="14">
        <v>-40.200000000000003</v>
      </c>
      <c r="R500" s="14">
        <v>-54.2</v>
      </c>
      <c r="S500" s="14">
        <v>-54.5</v>
      </c>
      <c r="T500" s="14">
        <v>-12.6</v>
      </c>
      <c r="U500" s="14">
        <v>-12.6</v>
      </c>
      <c r="V500" s="14">
        <v>-135.19999999999999</v>
      </c>
      <c r="W500" s="14">
        <v>-135.30000000000001</v>
      </c>
      <c r="X500" s="14">
        <v>-1.2</v>
      </c>
      <c r="Y500" s="14">
        <v>-36.299999999999997</v>
      </c>
      <c r="Z500" s="14">
        <v>-36.299999999999997</v>
      </c>
      <c r="AA500" s="14">
        <v>-169.7</v>
      </c>
      <c r="AB500" s="14">
        <v>0</v>
      </c>
      <c r="AC500" s="14">
        <v>-301.39999999999998</v>
      </c>
      <c r="AD500" s="14">
        <v>-305.89999999999998</v>
      </c>
      <c r="AK500" s="14">
        <v>-1.5</v>
      </c>
      <c r="AL500" s="14">
        <v>-1.5</v>
      </c>
      <c r="AM500" s="17">
        <f t="shared" ref="AM500:AM508" si="1965">+K500</f>
        <v>-60.2</v>
      </c>
      <c r="AN500" s="17">
        <f t="shared" ref="AN500:AN508" si="1966">+O500</f>
        <v>-49.8</v>
      </c>
      <c r="AO500" s="17">
        <f t="shared" ref="AO500:AO508" si="1967">+S500</f>
        <v>-54.5</v>
      </c>
      <c r="AP500" s="17">
        <f t="shared" ref="AP500:AP508" si="1968">+W500</f>
        <v>-135.30000000000001</v>
      </c>
      <c r="AQ500" s="17">
        <f t="shared" ref="AQ500:AQ508" si="1969">+AA500</f>
        <v>-169.7</v>
      </c>
    </row>
    <row r="501" spans="2:43" ht="10.15" hidden="1" outlineLevel="1" x14ac:dyDescent="0.2">
      <c r="B501" t="s">
        <v>107</v>
      </c>
      <c r="H501" s="14">
        <v>0</v>
      </c>
      <c r="I501" s="14">
        <v>0</v>
      </c>
      <c r="J501" s="14">
        <v>0</v>
      </c>
      <c r="K501" s="14">
        <v>0</v>
      </c>
      <c r="L501" s="14">
        <v>0</v>
      </c>
      <c r="M501" s="14">
        <v>0</v>
      </c>
      <c r="N501" s="14">
        <v>-5.8</v>
      </c>
      <c r="O501" s="14">
        <v>-14.5</v>
      </c>
      <c r="P501" s="14">
        <v>-10.4</v>
      </c>
      <c r="Q501" s="14">
        <v>-18.899999999999999</v>
      </c>
      <c r="R501" s="14">
        <v>-35.299999999999997</v>
      </c>
      <c r="S501" s="14">
        <v>-45.9</v>
      </c>
      <c r="T501" s="14">
        <v>-9.9</v>
      </c>
      <c r="U501" s="14">
        <v>-24.9</v>
      </c>
      <c r="V501" s="14">
        <v>-39.6</v>
      </c>
      <c r="W501" s="14">
        <v>-53.8</v>
      </c>
      <c r="X501" s="14">
        <v>-14.7</v>
      </c>
      <c r="Y501" s="14">
        <v>-37</v>
      </c>
      <c r="Z501" s="14">
        <v>-62.7</v>
      </c>
      <c r="AA501" s="14">
        <v>-77.8</v>
      </c>
      <c r="AB501" s="14">
        <v>-24.4</v>
      </c>
      <c r="AC501" s="14">
        <v>-46.4</v>
      </c>
      <c r="AD501" s="14">
        <v>-75.900000000000006</v>
      </c>
      <c r="AK501" s="14">
        <v>0</v>
      </c>
      <c r="AL501" s="14">
        <v>0</v>
      </c>
      <c r="AM501" s="17">
        <f t="shared" si="1965"/>
        <v>0</v>
      </c>
      <c r="AN501" s="17">
        <f t="shared" si="1966"/>
        <v>-14.5</v>
      </c>
      <c r="AO501" s="17">
        <f t="shared" si="1967"/>
        <v>-45.9</v>
      </c>
      <c r="AP501" s="17">
        <f t="shared" si="1968"/>
        <v>-53.8</v>
      </c>
      <c r="AQ501" s="17">
        <f t="shared" si="1969"/>
        <v>-77.8</v>
      </c>
    </row>
    <row r="502" spans="2:43" ht="10.15" hidden="1" outlineLevel="1" x14ac:dyDescent="0.2">
      <c r="B502" t="s">
        <v>108</v>
      </c>
      <c r="H502" s="14">
        <v>0</v>
      </c>
      <c r="I502" s="14">
        <v>0</v>
      </c>
      <c r="J502" s="14">
        <v>0</v>
      </c>
      <c r="K502" s="14">
        <v>0</v>
      </c>
      <c r="L502" s="14">
        <v>0</v>
      </c>
      <c r="M502" s="14">
        <v>0</v>
      </c>
      <c r="N502" s="14">
        <v>0</v>
      </c>
      <c r="O502" s="14">
        <v>0</v>
      </c>
      <c r="P502" s="14">
        <v>-16</v>
      </c>
      <c r="Q502" s="14">
        <v>-29.5</v>
      </c>
      <c r="R502" s="14">
        <v>-29.5</v>
      </c>
      <c r="S502" s="14">
        <v>-30.5</v>
      </c>
      <c r="T502" s="14">
        <v>-1.5</v>
      </c>
      <c r="U502" s="14">
        <v>-1.5</v>
      </c>
      <c r="V502" s="14">
        <v>-1.5</v>
      </c>
      <c r="W502" s="14">
        <v>-1.5</v>
      </c>
      <c r="X502" s="14">
        <v>0</v>
      </c>
      <c r="Y502" s="14">
        <v>0</v>
      </c>
      <c r="Z502" s="14">
        <v>0</v>
      </c>
      <c r="AA502" s="14">
        <v>0</v>
      </c>
      <c r="AB502" s="14">
        <v>0</v>
      </c>
      <c r="AC502" s="14">
        <v>0</v>
      </c>
      <c r="AD502" s="14">
        <v>0</v>
      </c>
      <c r="AK502" s="14">
        <v>0</v>
      </c>
      <c r="AL502" s="14">
        <v>0</v>
      </c>
      <c r="AM502" s="17">
        <f t="shared" si="1965"/>
        <v>0</v>
      </c>
      <c r="AN502" s="17">
        <f t="shared" si="1966"/>
        <v>0</v>
      </c>
      <c r="AO502" s="17">
        <f t="shared" si="1967"/>
        <v>-30.5</v>
      </c>
      <c r="AP502" s="17">
        <f t="shared" si="1968"/>
        <v>-1.5</v>
      </c>
      <c r="AQ502" s="17">
        <f t="shared" si="1969"/>
        <v>0</v>
      </c>
    </row>
    <row r="503" spans="2:43" ht="10.15" hidden="1" outlineLevel="1" x14ac:dyDescent="0.2">
      <c r="B503" t="s">
        <v>267</v>
      </c>
      <c r="H503" s="14">
        <v>0</v>
      </c>
      <c r="I503" s="14">
        <v>0</v>
      </c>
      <c r="J503" s="14">
        <v>0</v>
      </c>
      <c r="K503" s="14">
        <v>0</v>
      </c>
      <c r="L503" s="14">
        <v>0</v>
      </c>
      <c r="M503" s="14">
        <v>0</v>
      </c>
      <c r="N503" s="14">
        <v>0</v>
      </c>
      <c r="O503" s="14">
        <v>0</v>
      </c>
      <c r="P503" s="14">
        <v>0</v>
      </c>
      <c r="Q503" s="14">
        <v>0</v>
      </c>
      <c r="R503" s="14">
        <v>0</v>
      </c>
      <c r="S503" s="14">
        <v>0</v>
      </c>
      <c r="T503" s="14">
        <v>0</v>
      </c>
      <c r="U503" s="14">
        <v>0</v>
      </c>
      <c r="V503" s="14">
        <v>0</v>
      </c>
      <c r="W503" s="14">
        <v>0</v>
      </c>
      <c r="X503" s="14">
        <v>0</v>
      </c>
      <c r="Y503" s="14">
        <v>0</v>
      </c>
      <c r="Z503" s="14">
        <v>0</v>
      </c>
      <c r="AA503" s="14">
        <v>14.9</v>
      </c>
      <c r="AB503" s="14">
        <v>1.6</v>
      </c>
      <c r="AC503" s="14">
        <v>2.6</v>
      </c>
      <c r="AD503" s="14">
        <v>4.0999999999999996</v>
      </c>
      <c r="AK503" s="14"/>
      <c r="AL503" s="14">
        <v>0</v>
      </c>
      <c r="AM503" s="17">
        <f t="shared" ref="AM503" si="1970">+K503</f>
        <v>0</v>
      </c>
      <c r="AN503" s="17">
        <f t="shared" ref="AN503" si="1971">+O503</f>
        <v>0</v>
      </c>
      <c r="AO503" s="17">
        <f t="shared" ref="AO503" si="1972">+S503</f>
        <v>0</v>
      </c>
      <c r="AP503" s="17">
        <f t="shared" ref="AP503" si="1973">+W503</f>
        <v>0</v>
      </c>
      <c r="AQ503" s="17">
        <f t="shared" si="1969"/>
        <v>14.9</v>
      </c>
    </row>
    <row r="504" spans="2:43" ht="10.15" hidden="1" outlineLevel="1" x14ac:dyDescent="0.2">
      <c r="B504" t="s">
        <v>110</v>
      </c>
      <c r="H504" s="14">
        <v>-1</v>
      </c>
      <c r="I504" s="14">
        <v>-2.2000000000000002</v>
      </c>
      <c r="J504" s="14">
        <v>-3.7</v>
      </c>
      <c r="K504" s="14">
        <v>-8.4</v>
      </c>
      <c r="L504" s="14">
        <v>-2.2000000000000002</v>
      </c>
      <c r="M504" s="14">
        <v>-5.0999999999999996</v>
      </c>
      <c r="N504" s="14">
        <v>-7</v>
      </c>
      <c r="O504" s="14">
        <v>-9.6999999999999993</v>
      </c>
      <c r="P504" s="14">
        <v>-3.6</v>
      </c>
      <c r="Q504" s="14">
        <v>-8.3000000000000007</v>
      </c>
      <c r="R504" s="14">
        <v>-13</v>
      </c>
      <c r="S504" s="14">
        <v>-21</v>
      </c>
      <c r="T504" s="14">
        <v>-8</v>
      </c>
      <c r="U504" s="14">
        <v>-20.3</v>
      </c>
      <c r="V504" s="14">
        <v>-31.7</v>
      </c>
      <c r="W504" s="14">
        <v>-42.7</v>
      </c>
      <c r="X504" s="14">
        <v>-10.7</v>
      </c>
      <c r="Y504" s="14">
        <v>-17.899999999999999</v>
      </c>
      <c r="Z504" s="14">
        <v>-29.3</v>
      </c>
      <c r="AA504" s="14">
        <v>-44.1</v>
      </c>
      <c r="AB504" s="14">
        <v>-14.7</v>
      </c>
      <c r="AC504" s="14">
        <v>-31.5</v>
      </c>
      <c r="AD504" s="14">
        <v>-48.4</v>
      </c>
      <c r="AK504" s="14">
        <v>-4</v>
      </c>
      <c r="AL504" s="14">
        <v>-4</v>
      </c>
      <c r="AM504" s="17">
        <f t="shared" si="1965"/>
        <v>-8.4</v>
      </c>
      <c r="AN504" s="17">
        <f t="shared" si="1966"/>
        <v>-9.6999999999999993</v>
      </c>
      <c r="AO504" s="17">
        <f t="shared" si="1967"/>
        <v>-21</v>
      </c>
      <c r="AP504" s="17">
        <f t="shared" si="1968"/>
        <v>-42.7</v>
      </c>
      <c r="AQ504" s="17">
        <f t="shared" si="1969"/>
        <v>-44.1</v>
      </c>
    </row>
    <row r="505" spans="2:43" ht="10.15" hidden="1" outlineLevel="1" x14ac:dyDescent="0.2">
      <c r="B505" t="s">
        <v>111</v>
      </c>
      <c r="H505" s="14">
        <v>-0.4</v>
      </c>
      <c r="I505" s="14">
        <v>-0.7</v>
      </c>
      <c r="J505" s="14">
        <v>-3.1</v>
      </c>
      <c r="K505" s="14">
        <v>-3.3</v>
      </c>
      <c r="L505" s="14">
        <v>-0.4</v>
      </c>
      <c r="M505" s="14">
        <v>-0.4</v>
      </c>
      <c r="N505" s="14">
        <v>-2.1</v>
      </c>
      <c r="O505" s="14">
        <v>-3.9</v>
      </c>
      <c r="P505" s="14">
        <v>-0.8</v>
      </c>
      <c r="Q505" s="14">
        <v>-0.9</v>
      </c>
      <c r="R505" s="14">
        <v>-4.4000000000000004</v>
      </c>
      <c r="S505" s="14">
        <v>-10.4</v>
      </c>
      <c r="T505" s="14">
        <v>-4.5999999999999996</v>
      </c>
      <c r="U505" s="14">
        <v>-11.8</v>
      </c>
      <c r="V505" s="14">
        <v>-268.2</v>
      </c>
      <c r="W505" s="14">
        <v>-275.5</v>
      </c>
      <c r="X505" s="14">
        <v>-2.1</v>
      </c>
      <c r="Y505" s="14">
        <v>-8.6999999999999993</v>
      </c>
      <c r="Z505" s="14">
        <v>-9.5</v>
      </c>
      <c r="AA505" s="14">
        <v>-9.5</v>
      </c>
      <c r="AB505" s="14">
        <v>-0.9</v>
      </c>
      <c r="AC505" s="14">
        <v>-1.3</v>
      </c>
      <c r="AD505" s="14">
        <v>-3.6</v>
      </c>
      <c r="AK505" s="14">
        <v>-3.7</v>
      </c>
      <c r="AL505" s="14">
        <v>-3.7</v>
      </c>
      <c r="AM505" s="17">
        <f t="shared" si="1965"/>
        <v>-3.3</v>
      </c>
      <c r="AN505" s="17">
        <f t="shared" si="1966"/>
        <v>-3.9</v>
      </c>
      <c r="AO505" s="17">
        <f t="shared" si="1967"/>
        <v>-10.4</v>
      </c>
      <c r="AP505" s="17">
        <f t="shared" si="1968"/>
        <v>-275.5</v>
      </c>
      <c r="AQ505" s="17">
        <f t="shared" si="1969"/>
        <v>-9.5</v>
      </c>
    </row>
    <row r="506" spans="2:43" ht="10.15" hidden="1" outlineLevel="1" x14ac:dyDescent="0.2">
      <c r="B506" t="s">
        <v>249</v>
      </c>
      <c r="H506" s="14">
        <v>0</v>
      </c>
      <c r="I506" s="14">
        <v>0</v>
      </c>
      <c r="J506" s="14">
        <v>0</v>
      </c>
      <c r="K506" s="14">
        <v>0</v>
      </c>
      <c r="L506" s="14">
        <v>0</v>
      </c>
      <c r="M506" s="14">
        <v>0</v>
      </c>
      <c r="N506" s="14">
        <v>0</v>
      </c>
      <c r="O506" s="14">
        <v>0</v>
      </c>
      <c r="P506" s="14">
        <v>0</v>
      </c>
      <c r="Q506" s="14">
        <v>0</v>
      </c>
      <c r="R506" s="14">
        <v>0</v>
      </c>
      <c r="S506" s="14">
        <v>0</v>
      </c>
      <c r="T506" s="14">
        <v>0</v>
      </c>
      <c r="U506" s="14">
        <v>0</v>
      </c>
      <c r="V506" s="14">
        <v>0</v>
      </c>
      <c r="W506" s="14">
        <v>0</v>
      </c>
      <c r="X506" s="14">
        <v>0</v>
      </c>
      <c r="Y506" s="14">
        <v>-2</v>
      </c>
      <c r="Z506" s="14">
        <v>-2</v>
      </c>
      <c r="AA506" s="14">
        <v>-2</v>
      </c>
      <c r="AB506" s="14">
        <v>0</v>
      </c>
      <c r="AC506" s="14">
        <v>0</v>
      </c>
      <c r="AD506" s="14">
        <v>0</v>
      </c>
      <c r="AK506" s="14"/>
      <c r="AL506" s="14">
        <v>0</v>
      </c>
      <c r="AM506" s="17">
        <f t="shared" ref="AM506" si="1974">+K506</f>
        <v>0</v>
      </c>
      <c r="AN506" s="17">
        <f t="shared" ref="AN506" si="1975">+O506</f>
        <v>0</v>
      </c>
      <c r="AO506" s="17">
        <f t="shared" ref="AO506" si="1976">+S506</f>
        <v>0</v>
      </c>
      <c r="AP506" s="17">
        <f t="shared" ref="AP506" si="1977">+W506</f>
        <v>0</v>
      </c>
      <c r="AQ506" s="17">
        <f t="shared" si="1969"/>
        <v>-2</v>
      </c>
    </row>
    <row r="507" spans="2:43" ht="12" hidden="1" outlineLevel="1" x14ac:dyDescent="0.35">
      <c r="B507" t="s">
        <v>112</v>
      </c>
      <c r="H507" s="15">
        <v>-2</v>
      </c>
      <c r="I507" s="15">
        <v>-6.2</v>
      </c>
      <c r="J507" s="15">
        <v>-7.7</v>
      </c>
      <c r="K507" s="15">
        <v>-8.1999999999999993</v>
      </c>
      <c r="L507" s="15">
        <v>-1.4</v>
      </c>
      <c r="M507" s="15">
        <v>-1.4</v>
      </c>
      <c r="N507" s="15">
        <v>-2.6</v>
      </c>
      <c r="O507" s="15">
        <v>-4.8</v>
      </c>
      <c r="P507" s="15">
        <v>-0.7</v>
      </c>
      <c r="Q507" s="15">
        <v>-5</v>
      </c>
      <c r="R507" s="15">
        <v>-6.3</v>
      </c>
      <c r="S507" s="15">
        <v>-8.1999999999999993</v>
      </c>
      <c r="T507" s="15">
        <v>-1</v>
      </c>
      <c r="U507" s="15">
        <v>-1.8</v>
      </c>
      <c r="V507" s="15">
        <v>-6.8</v>
      </c>
      <c r="W507" s="15">
        <v>-8</v>
      </c>
      <c r="X507" s="15">
        <v>-2.7</v>
      </c>
      <c r="Y507" s="15">
        <v>-6.1</v>
      </c>
      <c r="Z507" s="15">
        <v>-11.3</v>
      </c>
      <c r="AA507" s="15">
        <v>-13.7</v>
      </c>
      <c r="AB507" s="15">
        <v>-1.3</v>
      </c>
      <c r="AC507" s="15">
        <v>-3.5</v>
      </c>
      <c r="AD507" s="15">
        <v>-5.5</v>
      </c>
      <c r="AK507" s="15">
        <v>-1.6</v>
      </c>
      <c r="AL507" s="15">
        <v>-1.6</v>
      </c>
      <c r="AM507" s="18">
        <f t="shared" si="1965"/>
        <v>-8.1999999999999993</v>
      </c>
      <c r="AN507" s="18">
        <f t="shared" si="1966"/>
        <v>-4.8</v>
      </c>
      <c r="AO507" s="18">
        <f t="shared" si="1967"/>
        <v>-8.1999999999999993</v>
      </c>
      <c r="AP507" s="18">
        <f t="shared" si="1968"/>
        <v>-8</v>
      </c>
      <c r="AQ507" s="18">
        <f t="shared" si="1969"/>
        <v>-13.7</v>
      </c>
    </row>
    <row r="508" spans="2:43" ht="10.15" hidden="1" outlineLevel="1" x14ac:dyDescent="0.2">
      <c r="B508" s="11" t="s">
        <v>113</v>
      </c>
      <c r="H508" s="17">
        <f t="shared" ref="H508:V508" si="1978">SUM(H500:H507)</f>
        <v>-3.4</v>
      </c>
      <c r="I508" s="17">
        <f t="shared" si="1978"/>
        <v>-9.1000000000000014</v>
      </c>
      <c r="J508" s="17">
        <f t="shared" si="1978"/>
        <v>-74.7</v>
      </c>
      <c r="K508" s="17">
        <f t="shared" si="1978"/>
        <v>-80.100000000000009</v>
      </c>
      <c r="L508" s="17">
        <f t="shared" si="1978"/>
        <v>-4</v>
      </c>
      <c r="M508" s="17">
        <f t="shared" si="1978"/>
        <v>-6.9</v>
      </c>
      <c r="N508" s="17">
        <f t="shared" si="1978"/>
        <v>-17.5</v>
      </c>
      <c r="O508" s="17">
        <f t="shared" si="1978"/>
        <v>-82.7</v>
      </c>
      <c r="P508" s="17">
        <f t="shared" si="1978"/>
        <v>-72.099999999999994</v>
      </c>
      <c r="Q508" s="17">
        <f t="shared" si="1978"/>
        <v>-102.8</v>
      </c>
      <c r="R508" s="17">
        <f t="shared" si="1978"/>
        <v>-142.70000000000002</v>
      </c>
      <c r="S508" s="17">
        <f t="shared" si="1978"/>
        <v>-170.5</v>
      </c>
      <c r="T508" s="17">
        <f t="shared" si="1978"/>
        <v>-37.6</v>
      </c>
      <c r="U508" s="17">
        <f t="shared" si="1978"/>
        <v>-72.899999999999991</v>
      </c>
      <c r="V508" s="17">
        <f t="shared" si="1978"/>
        <v>-482.99999999999994</v>
      </c>
      <c r="W508" s="17">
        <f t="shared" ref="W508:X508" si="1979">SUM(W500:W507)</f>
        <v>-516.79999999999995</v>
      </c>
      <c r="X508" s="17">
        <f t="shared" si="1979"/>
        <v>-31.4</v>
      </c>
      <c r="Y508" s="17">
        <f t="shared" ref="Y508:AB508" si="1980">SUM(Y500:Y507)</f>
        <v>-107.99999999999999</v>
      </c>
      <c r="Z508" s="17">
        <f t="shared" si="1980"/>
        <v>-151.10000000000002</v>
      </c>
      <c r="AA508" s="17">
        <f t="shared" si="1980"/>
        <v>-301.89999999999998</v>
      </c>
      <c r="AB508" s="17">
        <f t="shared" si="1980"/>
        <v>-39.699999999999996</v>
      </c>
      <c r="AC508" s="17">
        <f t="shared" ref="AC508:AD508" si="1981">SUM(AC500:AC507)</f>
        <v>-381.49999999999994</v>
      </c>
      <c r="AD508" s="17">
        <f t="shared" si="1981"/>
        <v>-435.19999999999993</v>
      </c>
      <c r="AK508" s="17">
        <f>SUM(AK500:AK507)</f>
        <v>-10.799999999999999</v>
      </c>
      <c r="AL508" s="17">
        <f>SUM(AL500:AL507)</f>
        <v>-10.799999999999999</v>
      </c>
      <c r="AM508" s="17">
        <f t="shared" si="1965"/>
        <v>-80.100000000000009</v>
      </c>
      <c r="AN508" s="17">
        <f t="shared" si="1966"/>
        <v>-82.7</v>
      </c>
      <c r="AO508" s="17">
        <f t="shared" si="1967"/>
        <v>-170.5</v>
      </c>
      <c r="AP508" s="17">
        <f t="shared" si="1968"/>
        <v>-516.79999999999995</v>
      </c>
      <c r="AQ508" s="17">
        <f t="shared" si="1969"/>
        <v>-301.89999999999998</v>
      </c>
    </row>
    <row r="509" spans="2:43" ht="10.15" hidden="1" outlineLevel="1" x14ac:dyDescent="0.2">
      <c r="H509" s="14"/>
      <c r="I509" s="14"/>
      <c r="J509" s="14"/>
      <c r="K509" s="14"/>
      <c r="L509" s="14"/>
      <c r="M509" s="14"/>
      <c r="N509" s="14"/>
      <c r="O509" s="14"/>
      <c r="P509" s="14"/>
      <c r="Q509" s="14"/>
      <c r="R509" s="14"/>
      <c r="S509" s="14"/>
      <c r="T509" s="14"/>
      <c r="U509" s="14"/>
      <c r="X509" s="14"/>
      <c r="AM509" s="17"/>
      <c r="AN509" s="17"/>
      <c r="AO509" s="17"/>
      <c r="AP509" s="17"/>
      <c r="AQ509" s="17"/>
    </row>
    <row r="510" spans="2:43" ht="10.15" hidden="1" outlineLevel="1" x14ac:dyDescent="0.2">
      <c r="B510" s="1" t="s">
        <v>114</v>
      </c>
      <c r="H510" s="14"/>
      <c r="I510" s="14"/>
      <c r="J510" s="14"/>
      <c r="K510" s="14"/>
      <c r="L510" s="14"/>
      <c r="M510" s="14"/>
      <c r="N510" s="14"/>
      <c r="O510" s="14"/>
      <c r="P510" s="14"/>
      <c r="Q510" s="14"/>
      <c r="R510" s="14"/>
      <c r="S510" s="14"/>
      <c r="T510" s="14"/>
      <c r="U510" s="14"/>
      <c r="X510" s="14"/>
      <c r="AM510" s="17"/>
      <c r="AN510" s="17"/>
      <c r="AO510" s="17"/>
      <c r="AP510" s="17"/>
      <c r="AQ510" s="17"/>
    </row>
    <row r="511" spans="2:43" ht="10.15" hidden="1" outlineLevel="1" x14ac:dyDescent="0.2">
      <c r="B511" t="s">
        <v>115</v>
      </c>
      <c r="H511" s="14">
        <v>0</v>
      </c>
      <c r="I511" s="14">
        <v>20</v>
      </c>
      <c r="J511" s="14">
        <v>20</v>
      </c>
      <c r="K511" s="14">
        <v>90</v>
      </c>
      <c r="L511" s="14">
        <v>0</v>
      </c>
      <c r="M511" s="14">
        <v>0</v>
      </c>
      <c r="N511" s="14">
        <v>0</v>
      </c>
      <c r="O511" s="14">
        <v>1140</v>
      </c>
      <c r="P511" s="14">
        <v>0</v>
      </c>
      <c r="Q511" s="14">
        <v>0</v>
      </c>
      <c r="R511" s="14">
        <v>632.5</v>
      </c>
      <c r="S511" s="14">
        <v>632.5</v>
      </c>
      <c r="T511" s="14">
        <v>0</v>
      </c>
      <c r="U511" s="14">
        <v>0</v>
      </c>
      <c r="V511" s="14">
        <v>0</v>
      </c>
      <c r="W511" s="14">
        <v>0</v>
      </c>
      <c r="X511" s="14">
        <v>0</v>
      </c>
      <c r="Y511" s="14">
        <v>0</v>
      </c>
      <c r="Z511" s="14">
        <v>0</v>
      </c>
      <c r="AA511" s="14">
        <v>0</v>
      </c>
      <c r="AB511" s="14">
        <v>0</v>
      </c>
      <c r="AC511" s="14">
        <v>0</v>
      </c>
      <c r="AD511" s="14">
        <v>1100</v>
      </c>
      <c r="AK511" s="14">
        <v>0</v>
      </c>
      <c r="AL511" s="14">
        <v>0</v>
      </c>
      <c r="AM511" s="17">
        <f t="shared" ref="AM511:AM532" si="1982">+K511</f>
        <v>90</v>
      </c>
      <c r="AN511" s="17">
        <f t="shared" ref="AN511:AN529" si="1983">+O511</f>
        <v>1140</v>
      </c>
      <c r="AO511" s="17">
        <f t="shared" ref="AO511:AO529" si="1984">+S511</f>
        <v>632.5</v>
      </c>
      <c r="AP511" s="17">
        <f t="shared" ref="AP511:AP529" si="1985">+W511</f>
        <v>0</v>
      </c>
      <c r="AQ511" s="17">
        <f t="shared" ref="AQ511:AQ524" si="1986">+AA511</f>
        <v>0</v>
      </c>
    </row>
    <row r="512" spans="2:43" ht="10.15" hidden="1" outlineLevel="1" x14ac:dyDescent="0.2">
      <c r="B512" t="s">
        <v>116</v>
      </c>
      <c r="H512" s="14">
        <v>0</v>
      </c>
      <c r="I512" s="14">
        <v>0</v>
      </c>
      <c r="J512" s="14">
        <v>0</v>
      </c>
      <c r="K512" s="14">
        <v>0</v>
      </c>
      <c r="L512" s="14">
        <v>0</v>
      </c>
      <c r="M512" s="14">
        <v>0</v>
      </c>
      <c r="N512" s="14">
        <v>0</v>
      </c>
      <c r="O512" s="14">
        <v>-3.9</v>
      </c>
      <c r="P512" s="14">
        <v>-2.4</v>
      </c>
      <c r="Q512" s="14">
        <v>-116.3</v>
      </c>
      <c r="R512" s="14">
        <v>-119.7</v>
      </c>
      <c r="S512" s="14">
        <v>-125.6</v>
      </c>
      <c r="T512" s="14">
        <v>-12.2</v>
      </c>
      <c r="U512" s="14">
        <v>-20.2</v>
      </c>
      <c r="V512" s="14">
        <v>-20.6</v>
      </c>
      <c r="W512" s="14">
        <v>-23.1</v>
      </c>
      <c r="X512" s="14">
        <v>-5.3</v>
      </c>
      <c r="Y512" s="14">
        <v>-15.7</v>
      </c>
      <c r="Z512" s="14">
        <v>-20.5</v>
      </c>
      <c r="AA512" s="14">
        <v>-27.9</v>
      </c>
      <c r="AB512" s="14">
        <v>-9.1</v>
      </c>
      <c r="AC512" s="14">
        <v>-11.2</v>
      </c>
      <c r="AD512" s="14">
        <v>-17.600000000000001</v>
      </c>
      <c r="AK512" s="14">
        <v>0</v>
      </c>
      <c r="AL512" s="14">
        <v>0</v>
      </c>
      <c r="AM512" s="17">
        <f t="shared" si="1982"/>
        <v>0</v>
      </c>
      <c r="AN512" s="17">
        <f t="shared" si="1983"/>
        <v>-3.9</v>
      </c>
      <c r="AO512" s="17">
        <f t="shared" si="1984"/>
        <v>-125.6</v>
      </c>
      <c r="AP512" s="17">
        <f t="shared" si="1985"/>
        <v>-23.1</v>
      </c>
      <c r="AQ512" s="17">
        <f t="shared" si="1986"/>
        <v>-27.9</v>
      </c>
    </row>
    <row r="513" spans="2:43" ht="10.15" hidden="1" outlineLevel="1" x14ac:dyDescent="0.2">
      <c r="B513" t="s">
        <v>117</v>
      </c>
      <c r="H513" s="14">
        <v>0</v>
      </c>
      <c r="I513" s="14">
        <v>0</v>
      </c>
      <c r="J513" s="14">
        <v>0</v>
      </c>
      <c r="K513" s="14">
        <v>0</v>
      </c>
      <c r="L513" s="14">
        <v>0</v>
      </c>
      <c r="M513" s="14">
        <v>0</v>
      </c>
      <c r="N513" s="14">
        <v>0</v>
      </c>
      <c r="O513" s="14">
        <v>0</v>
      </c>
      <c r="P513" s="14">
        <v>0</v>
      </c>
      <c r="Q513" s="14">
        <v>0</v>
      </c>
      <c r="R513" s="14">
        <v>0</v>
      </c>
      <c r="S513" s="14">
        <v>-19.5</v>
      </c>
      <c r="T513" s="14">
        <v>-18.7</v>
      </c>
      <c r="U513" s="14">
        <v>-185.9</v>
      </c>
      <c r="V513" s="14">
        <v>-185.9</v>
      </c>
      <c r="W513" s="14">
        <v>-185.9</v>
      </c>
      <c r="X513" s="14">
        <v>0</v>
      </c>
      <c r="Y513" s="14">
        <v>-96.8</v>
      </c>
      <c r="Z513" s="14">
        <v>-96.8</v>
      </c>
      <c r="AA513" s="14">
        <v>-105.4</v>
      </c>
      <c r="AB513" s="14">
        <v>0</v>
      </c>
      <c r="AC513" s="14">
        <v>-15.9</v>
      </c>
      <c r="AD513" s="14">
        <v>-35.9</v>
      </c>
      <c r="AK513" s="14">
        <v>0</v>
      </c>
      <c r="AL513" s="14">
        <v>0</v>
      </c>
      <c r="AM513" s="17">
        <f t="shared" si="1982"/>
        <v>0</v>
      </c>
      <c r="AN513" s="17">
        <f t="shared" si="1983"/>
        <v>0</v>
      </c>
      <c r="AO513" s="17">
        <f t="shared" si="1984"/>
        <v>-19.5</v>
      </c>
      <c r="AP513" s="17">
        <f t="shared" si="1985"/>
        <v>-185.9</v>
      </c>
      <c r="AQ513" s="17">
        <f t="shared" si="1986"/>
        <v>-105.4</v>
      </c>
    </row>
    <row r="514" spans="2:43" ht="10.15" hidden="1" outlineLevel="1" x14ac:dyDescent="0.2">
      <c r="B514" t="s">
        <v>118</v>
      </c>
      <c r="H514" s="14">
        <v>0</v>
      </c>
      <c r="I514" s="14">
        <v>-0.3</v>
      </c>
      <c r="J514" s="14">
        <v>-1.7</v>
      </c>
      <c r="K514" s="14">
        <v>-3</v>
      </c>
      <c r="L514" s="14">
        <v>0</v>
      </c>
      <c r="M514" s="14">
        <v>0</v>
      </c>
      <c r="N514" s="14">
        <v>-0.5</v>
      </c>
      <c r="O514" s="14">
        <v>-23.2</v>
      </c>
      <c r="P514" s="14">
        <v>-0.4</v>
      </c>
      <c r="Q514" s="14">
        <v>-0.4</v>
      </c>
      <c r="R514" s="14">
        <v>-15.2</v>
      </c>
      <c r="S514" s="14">
        <v>-15.3</v>
      </c>
      <c r="T514" s="14">
        <v>-4.8</v>
      </c>
      <c r="U514" s="14">
        <v>-4.9000000000000004</v>
      </c>
      <c r="V514" s="14">
        <v>-4.9000000000000004</v>
      </c>
      <c r="W514" s="14">
        <v>-4.9000000000000004</v>
      </c>
      <c r="X514" s="14">
        <v>0</v>
      </c>
      <c r="Y514" s="14">
        <v>0</v>
      </c>
      <c r="Z514" s="14">
        <v>0</v>
      </c>
      <c r="AA514" s="14">
        <v>0</v>
      </c>
      <c r="AB514" s="14">
        <v>0</v>
      </c>
      <c r="AC514" s="14">
        <v>0</v>
      </c>
      <c r="AD514" s="14">
        <v>-16.3</v>
      </c>
      <c r="AK514" s="14">
        <v>0</v>
      </c>
      <c r="AL514" s="14">
        <v>0</v>
      </c>
      <c r="AM514" s="17">
        <f t="shared" si="1982"/>
        <v>-3</v>
      </c>
      <c r="AN514" s="17">
        <f t="shared" si="1983"/>
        <v>-23.2</v>
      </c>
      <c r="AO514" s="17">
        <f t="shared" si="1984"/>
        <v>-15.3</v>
      </c>
      <c r="AP514" s="17">
        <f t="shared" si="1985"/>
        <v>-4.9000000000000004</v>
      </c>
      <c r="AQ514" s="17">
        <f t="shared" si="1986"/>
        <v>0</v>
      </c>
    </row>
    <row r="515" spans="2:43" ht="10.15" hidden="1" outlineLevel="1" x14ac:dyDescent="0.2">
      <c r="B515" t="s">
        <v>119</v>
      </c>
      <c r="H515" s="14">
        <v>-1.3</v>
      </c>
      <c r="I515" s="14">
        <v>-2.6</v>
      </c>
      <c r="J515" s="14">
        <v>-3.8</v>
      </c>
      <c r="K515" s="14">
        <v>-5.2</v>
      </c>
      <c r="L515" s="14">
        <v>0</v>
      </c>
      <c r="M515" s="14">
        <v>-191.9</v>
      </c>
      <c r="N515" s="14">
        <v>-192.8</v>
      </c>
      <c r="O515" s="14">
        <v>-643.6</v>
      </c>
      <c r="P515" s="14">
        <v>-0.9</v>
      </c>
      <c r="Q515" s="14">
        <v>-0.9</v>
      </c>
      <c r="R515" s="14">
        <v>-0.9</v>
      </c>
      <c r="S515" s="14">
        <v>-0.9</v>
      </c>
      <c r="T515" s="14">
        <v>0</v>
      </c>
      <c r="U515" s="14">
        <v>0</v>
      </c>
      <c r="V515" s="14">
        <v>0</v>
      </c>
      <c r="W515" s="14">
        <v>0</v>
      </c>
      <c r="X515" s="14">
        <v>0</v>
      </c>
      <c r="Y515" s="14">
        <v>0</v>
      </c>
      <c r="Z515" s="14">
        <v>0</v>
      </c>
      <c r="AA515" s="14">
        <v>0</v>
      </c>
      <c r="AB515" s="14">
        <v>0</v>
      </c>
      <c r="AC515" s="14">
        <v>0</v>
      </c>
      <c r="AD515" s="14">
        <v>0</v>
      </c>
      <c r="AK515" s="14">
        <v>-5.2</v>
      </c>
      <c r="AL515" s="14">
        <v>-5.2</v>
      </c>
      <c r="AM515" s="17">
        <f t="shared" si="1982"/>
        <v>-5.2</v>
      </c>
      <c r="AN515" s="17">
        <f t="shared" si="1983"/>
        <v>-643.6</v>
      </c>
      <c r="AO515" s="17">
        <f t="shared" si="1984"/>
        <v>-0.9</v>
      </c>
      <c r="AP515" s="17">
        <f t="shared" si="1985"/>
        <v>0</v>
      </c>
      <c r="AQ515" s="17">
        <f t="shared" si="1986"/>
        <v>0</v>
      </c>
    </row>
    <row r="516" spans="2:43" ht="10.15" hidden="1" outlineLevel="1" x14ac:dyDescent="0.2">
      <c r="B516" t="s">
        <v>120</v>
      </c>
      <c r="H516" s="14">
        <v>0</v>
      </c>
      <c r="I516" s="14">
        <v>0</v>
      </c>
      <c r="J516" s="14">
        <v>0</v>
      </c>
      <c r="K516" s="14">
        <v>0</v>
      </c>
      <c r="L516" s="14">
        <v>0</v>
      </c>
      <c r="M516" s="14">
        <v>372.9</v>
      </c>
      <c r="N516" s="14">
        <v>372.9</v>
      </c>
      <c r="O516" s="14">
        <v>372.9</v>
      </c>
      <c r="P516" s="14">
        <v>0</v>
      </c>
      <c r="Q516" s="14">
        <v>0</v>
      </c>
      <c r="R516" s="14">
        <v>0</v>
      </c>
      <c r="S516" s="14">
        <v>0</v>
      </c>
      <c r="T516" s="14">
        <v>0</v>
      </c>
      <c r="U516" s="14">
        <v>0</v>
      </c>
      <c r="V516" s="14">
        <v>0</v>
      </c>
      <c r="W516" s="14">
        <v>0</v>
      </c>
      <c r="X516" s="14">
        <v>0</v>
      </c>
      <c r="Y516" s="14">
        <v>0</v>
      </c>
      <c r="Z516" s="14">
        <v>0</v>
      </c>
      <c r="AA516" s="14">
        <v>0</v>
      </c>
      <c r="AB516" s="14">
        <v>0</v>
      </c>
      <c r="AC516" s="14">
        <v>0</v>
      </c>
      <c r="AD516" s="14">
        <v>0</v>
      </c>
      <c r="AK516" s="14">
        <v>0</v>
      </c>
      <c r="AL516" s="14">
        <v>0</v>
      </c>
      <c r="AM516" s="17">
        <f t="shared" si="1982"/>
        <v>0</v>
      </c>
      <c r="AN516" s="17">
        <f t="shared" si="1983"/>
        <v>372.9</v>
      </c>
      <c r="AO516" s="17">
        <f t="shared" si="1984"/>
        <v>0</v>
      </c>
      <c r="AP516" s="17">
        <f t="shared" si="1985"/>
        <v>0</v>
      </c>
      <c r="AQ516" s="17">
        <f t="shared" si="1986"/>
        <v>0</v>
      </c>
    </row>
    <row r="517" spans="2:43" ht="10.15" hidden="1" outlineLevel="1" x14ac:dyDescent="0.2">
      <c r="B517" t="s">
        <v>121</v>
      </c>
      <c r="H517" s="14">
        <v>0</v>
      </c>
      <c r="I517" s="14">
        <v>0</v>
      </c>
      <c r="J517" s="14">
        <v>0</v>
      </c>
      <c r="K517" s="14">
        <v>0</v>
      </c>
      <c r="L517" s="14">
        <v>0</v>
      </c>
      <c r="M517" s="14">
        <v>100</v>
      </c>
      <c r="N517" s="14">
        <v>100</v>
      </c>
      <c r="O517" s="14">
        <v>100</v>
      </c>
      <c r="P517" s="14">
        <v>0</v>
      </c>
      <c r="Q517" s="14">
        <v>0</v>
      </c>
      <c r="R517" s="14">
        <v>0</v>
      </c>
      <c r="S517" s="14">
        <v>0</v>
      </c>
      <c r="T517" s="14">
        <v>0</v>
      </c>
      <c r="U517" s="14">
        <v>0</v>
      </c>
      <c r="V517" s="14">
        <v>0</v>
      </c>
      <c r="W517" s="14">
        <v>0</v>
      </c>
      <c r="X517" s="14">
        <v>0</v>
      </c>
      <c r="Y517" s="14">
        <v>0</v>
      </c>
      <c r="Z517" s="14">
        <v>0</v>
      </c>
      <c r="AA517" s="14">
        <v>0</v>
      </c>
      <c r="AB517" s="14">
        <v>0</v>
      </c>
      <c r="AC517" s="14">
        <v>0</v>
      </c>
      <c r="AD517" s="14">
        <v>0</v>
      </c>
      <c r="AK517" s="14">
        <v>0</v>
      </c>
      <c r="AL517" s="14">
        <v>0</v>
      </c>
      <c r="AM517" s="17">
        <f t="shared" si="1982"/>
        <v>0</v>
      </c>
      <c r="AN517" s="17">
        <f t="shared" si="1983"/>
        <v>100</v>
      </c>
      <c r="AO517" s="17">
        <f t="shared" si="1984"/>
        <v>0</v>
      </c>
      <c r="AP517" s="17">
        <f t="shared" si="1985"/>
        <v>0</v>
      </c>
      <c r="AQ517" s="17">
        <f t="shared" si="1986"/>
        <v>0</v>
      </c>
    </row>
    <row r="518" spans="2:43" ht="10.15" hidden="1" outlineLevel="1" x14ac:dyDescent="0.2">
      <c r="B518" t="s">
        <v>122</v>
      </c>
      <c r="H518" s="14">
        <v>0</v>
      </c>
      <c r="I518" s="14">
        <v>0</v>
      </c>
      <c r="J518" s="14">
        <v>0</v>
      </c>
      <c r="K518" s="14">
        <v>0</v>
      </c>
      <c r="L518" s="14">
        <v>0</v>
      </c>
      <c r="M518" s="14">
        <v>0</v>
      </c>
      <c r="N518" s="14">
        <v>93.4</v>
      </c>
      <c r="O518" s="14">
        <v>93.4</v>
      </c>
      <c r="P518" s="14">
        <v>0</v>
      </c>
      <c r="Q518" s="14">
        <v>0</v>
      </c>
      <c r="R518" s="14">
        <v>0</v>
      </c>
      <c r="S518" s="14">
        <v>0</v>
      </c>
      <c r="T518" s="14">
        <v>0</v>
      </c>
      <c r="U518" s="14">
        <v>0</v>
      </c>
      <c r="V518" s="14">
        <v>0</v>
      </c>
      <c r="W518" s="14">
        <v>0</v>
      </c>
      <c r="X518" s="14">
        <v>0</v>
      </c>
      <c r="Y518" s="14">
        <v>0</v>
      </c>
      <c r="Z518" s="14">
        <v>0</v>
      </c>
      <c r="AA518" s="14">
        <v>0</v>
      </c>
      <c r="AB518" s="14">
        <v>0</v>
      </c>
      <c r="AC518" s="14">
        <v>0</v>
      </c>
      <c r="AD518" s="14">
        <v>0</v>
      </c>
      <c r="AK518" s="14">
        <v>0</v>
      </c>
      <c r="AL518" s="14">
        <v>0</v>
      </c>
      <c r="AM518" s="17">
        <f t="shared" si="1982"/>
        <v>0</v>
      </c>
      <c r="AN518" s="17">
        <f t="shared" si="1983"/>
        <v>93.4</v>
      </c>
      <c r="AO518" s="17">
        <f t="shared" si="1984"/>
        <v>0</v>
      </c>
      <c r="AP518" s="17">
        <f t="shared" si="1985"/>
        <v>0</v>
      </c>
      <c r="AQ518" s="17">
        <f t="shared" si="1986"/>
        <v>0</v>
      </c>
    </row>
    <row r="519" spans="2:43" ht="10.15" hidden="1" outlineLevel="1" x14ac:dyDescent="0.2">
      <c r="B519" t="s">
        <v>123</v>
      </c>
      <c r="H519" s="14">
        <v>0</v>
      </c>
      <c r="I519" s="14">
        <v>0</v>
      </c>
      <c r="J519" s="14">
        <v>70</v>
      </c>
      <c r="K519" s="14">
        <v>91</v>
      </c>
      <c r="L519" s="14">
        <v>68.5</v>
      </c>
      <c r="M519" s="14">
        <v>68.5</v>
      </c>
      <c r="N519" s="14">
        <v>68.5</v>
      </c>
      <c r="O519" s="14">
        <v>68.5</v>
      </c>
      <c r="P519" s="14">
        <v>0</v>
      </c>
      <c r="Q519" s="14">
        <v>0</v>
      </c>
      <c r="R519" s="14">
        <v>0</v>
      </c>
      <c r="S519" s="14">
        <v>0</v>
      </c>
      <c r="T519" s="14">
        <v>0</v>
      </c>
      <c r="U519" s="14">
        <v>0</v>
      </c>
      <c r="V519" s="14">
        <v>0</v>
      </c>
      <c r="W519" s="14">
        <v>0</v>
      </c>
      <c r="X519" s="14">
        <v>0</v>
      </c>
      <c r="Y519" s="14">
        <v>0</v>
      </c>
      <c r="Z519" s="14">
        <v>0</v>
      </c>
      <c r="AA519" s="14">
        <v>0</v>
      </c>
      <c r="AB519" s="14">
        <v>0</v>
      </c>
      <c r="AC519" s="14">
        <v>0</v>
      </c>
      <c r="AD519" s="14">
        <v>0</v>
      </c>
      <c r="AK519" s="14">
        <v>20</v>
      </c>
      <c r="AL519" s="14">
        <v>20</v>
      </c>
      <c r="AM519" s="17">
        <f t="shared" si="1982"/>
        <v>91</v>
      </c>
      <c r="AN519" s="17">
        <f t="shared" si="1983"/>
        <v>68.5</v>
      </c>
      <c r="AO519" s="17">
        <f t="shared" si="1984"/>
        <v>0</v>
      </c>
      <c r="AP519" s="17">
        <f t="shared" si="1985"/>
        <v>0</v>
      </c>
      <c r="AQ519" s="17">
        <f t="shared" si="1986"/>
        <v>0</v>
      </c>
    </row>
    <row r="520" spans="2:43" ht="10.15" hidden="1" outlineLevel="1" x14ac:dyDescent="0.2">
      <c r="B520" t="s">
        <v>124</v>
      </c>
      <c r="H520" s="14">
        <v>0</v>
      </c>
      <c r="I520" s="14">
        <v>-20</v>
      </c>
      <c r="J520" s="14">
        <v>-20</v>
      </c>
      <c r="K520" s="14">
        <v>-90</v>
      </c>
      <c r="L520" s="14">
        <v>-1.3</v>
      </c>
      <c r="M520" s="14">
        <v>-89.5</v>
      </c>
      <c r="N520" s="14">
        <v>-89.5</v>
      </c>
      <c r="O520" s="14">
        <v>-89.5</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K520" s="14">
        <v>0</v>
      </c>
      <c r="AL520" s="14">
        <v>0</v>
      </c>
      <c r="AM520" s="17">
        <f t="shared" si="1982"/>
        <v>-90</v>
      </c>
      <c r="AN520" s="17">
        <f t="shared" si="1983"/>
        <v>-89.5</v>
      </c>
      <c r="AO520" s="17">
        <f t="shared" si="1984"/>
        <v>0</v>
      </c>
      <c r="AP520" s="17">
        <f t="shared" si="1985"/>
        <v>0</v>
      </c>
      <c r="AQ520" s="17">
        <f t="shared" si="1986"/>
        <v>0</v>
      </c>
    </row>
    <row r="521" spans="2:43" ht="10.15" hidden="1" outlineLevel="1" x14ac:dyDescent="0.2">
      <c r="B521" t="s">
        <v>125</v>
      </c>
      <c r="H521" s="14">
        <v>0</v>
      </c>
      <c r="I521" s="14">
        <v>0</v>
      </c>
      <c r="J521" s="14">
        <v>0</v>
      </c>
      <c r="K521" s="14">
        <v>0</v>
      </c>
      <c r="L521" s="14">
        <v>0</v>
      </c>
      <c r="M521" s="14">
        <v>-7.2</v>
      </c>
      <c r="N521" s="14">
        <v>-9.1</v>
      </c>
      <c r="O521" s="14">
        <v>-8.6999999999999993</v>
      </c>
      <c r="P521" s="14">
        <v>0</v>
      </c>
      <c r="Q521" s="14">
        <v>0</v>
      </c>
      <c r="R521" s="14">
        <v>0</v>
      </c>
      <c r="S521" s="14">
        <v>0</v>
      </c>
      <c r="T521" s="14">
        <v>0</v>
      </c>
      <c r="U521" s="14">
        <v>0</v>
      </c>
      <c r="V521" s="14">
        <v>0</v>
      </c>
      <c r="W521" s="14">
        <v>0</v>
      </c>
      <c r="X521" s="14">
        <v>0</v>
      </c>
      <c r="Y521" s="14">
        <v>0</v>
      </c>
      <c r="Z521" s="14">
        <v>0</v>
      </c>
      <c r="AA521" s="14">
        <v>0</v>
      </c>
      <c r="AB521" s="14">
        <v>0</v>
      </c>
      <c r="AC521" s="14">
        <v>0</v>
      </c>
      <c r="AD521" s="14">
        <v>0</v>
      </c>
      <c r="AK521" s="14">
        <v>0</v>
      </c>
      <c r="AL521" s="14">
        <v>0</v>
      </c>
      <c r="AM521" s="17">
        <f t="shared" si="1982"/>
        <v>0</v>
      </c>
      <c r="AN521" s="17">
        <f t="shared" si="1983"/>
        <v>-8.6999999999999993</v>
      </c>
      <c r="AO521" s="17">
        <f t="shared" si="1984"/>
        <v>0</v>
      </c>
      <c r="AP521" s="17">
        <f t="shared" si="1985"/>
        <v>0</v>
      </c>
      <c r="AQ521" s="17">
        <f t="shared" si="1986"/>
        <v>0</v>
      </c>
    </row>
    <row r="522" spans="2:43" ht="10.15" hidden="1" outlineLevel="1" x14ac:dyDescent="0.2">
      <c r="B522" t="s">
        <v>126</v>
      </c>
      <c r="H522" s="14">
        <v>-0.9</v>
      </c>
      <c r="I522" s="14">
        <v>-1.6</v>
      </c>
      <c r="J522" s="14">
        <v>-2.2999999999999998</v>
      </c>
      <c r="K522" s="14">
        <v>-3.1</v>
      </c>
      <c r="L522" s="14">
        <v>-0.7</v>
      </c>
      <c r="M522" s="14">
        <v>-1.1000000000000001</v>
      </c>
      <c r="N522" s="14">
        <v>-1.4</v>
      </c>
      <c r="O522" s="14">
        <v>-1.7</v>
      </c>
      <c r="P522" s="14">
        <v>0</v>
      </c>
      <c r="Q522" s="14">
        <v>0</v>
      </c>
      <c r="R522" s="14">
        <v>0</v>
      </c>
      <c r="S522" s="14">
        <v>0</v>
      </c>
      <c r="T522" s="14">
        <v>0</v>
      </c>
      <c r="U522" s="14">
        <v>0</v>
      </c>
      <c r="V522" s="14">
        <v>0</v>
      </c>
      <c r="W522" s="14">
        <v>-0.7</v>
      </c>
      <c r="X522" s="14">
        <v>-0.3</v>
      </c>
      <c r="Y522" s="14">
        <v>-0.5</v>
      </c>
      <c r="Z522" s="14">
        <v>-4.3</v>
      </c>
      <c r="AA522" s="14">
        <v>-14.8</v>
      </c>
      <c r="AB522" s="14">
        <v>-0.1</v>
      </c>
      <c r="AC522" s="14">
        <v>-0.9</v>
      </c>
      <c r="AD522" s="14">
        <v>-1.5</v>
      </c>
      <c r="AK522" s="14">
        <v>-3.2</v>
      </c>
      <c r="AL522" s="14">
        <v>-3.2</v>
      </c>
      <c r="AM522" s="17">
        <f t="shared" si="1982"/>
        <v>-3.1</v>
      </c>
      <c r="AN522" s="17">
        <f t="shared" si="1983"/>
        <v>-1.7</v>
      </c>
      <c r="AO522" s="17">
        <f t="shared" si="1984"/>
        <v>0</v>
      </c>
      <c r="AP522" s="17">
        <f t="shared" si="1985"/>
        <v>-0.7</v>
      </c>
      <c r="AQ522" s="17">
        <f t="shared" si="1986"/>
        <v>-14.8</v>
      </c>
    </row>
    <row r="523" spans="2:43" ht="10.15" hidden="1" outlineLevel="1" x14ac:dyDescent="0.2">
      <c r="B523" t="s">
        <v>127</v>
      </c>
      <c r="H523" s="14">
        <v>0</v>
      </c>
      <c r="I523" s="14">
        <v>0</v>
      </c>
      <c r="J523" s="14">
        <v>0</v>
      </c>
      <c r="K523" s="14">
        <v>-8.5</v>
      </c>
      <c r="L523" s="14">
        <v>0</v>
      </c>
      <c r="M523" s="14">
        <v>-0.9</v>
      </c>
      <c r="N523" s="14">
        <v>-0.9</v>
      </c>
      <c r="O523" s="14">
        <v>-0.9</v>
      </c>
      <c r="P523" s="14">
        <v>0</v>
      </c>
      <c r="Q523" s="14">
        <v>0</v>
      </c>
      <c r="R523" s="14">
        <v>0</v>
      </c>
      <c r="S523" s="14">
        <v>0</v>
      </c>
      <c r="T523" s="14">
        <v>0</v>
      </c>
      <c r="U523" s="14">
        <v>0</v>
      </c>
      <c r="V523" s="14">
        <v>0</v>
      </c>
      <c r="W523" s="14">
        <v>0</v>
      </c>
      <c r="X523" s="14">
        <v>0</v>
      </c>
      <c r="Y523" s="14">
        <v>0</v>
      </c>
      <c r="Z523" s="14">
        <v>0</v>
      </c>
      <c r="AA523" s="14">
        <v>0</v>
      </c>
      <c r="AB523" s="14">
        <v>0</v>
      </c>
      <c r="AC523" s="14">
        <v>0</v>
      </c>
      <c r="AD523" s="14">
        <v>0</v>
      </c>
      <c r="AK523" s="14">
        <v>0</v>
      </c>
      <c r="AL523" s="14">
        <v>0</v>
      </c>
      <c r="AM523" s="17">
        <f t="shared" si="1982"/>
        <v>-8.5</v>
      </c>
      <c r="AN523" s="17">
        <f t="shared" si="1983"/>
        <v>-0.9</v>
      </c>
      <c r="AO523" s="17">
        <f t="shared" si="1984"/>
        <v>0</v>
      </c>
      <c r="AP523" s="17">
        <f t="shared" si="1985"/>
        <v>0</v>
      </c>
      <c r="AQ523" s="17">
        <f t="shared" si="1986"/>
        <v>0</v>
      </c>
    </row>
    <row r="524" spans="2:43" ht="10.15" hidden="1" outlineLevel="1" x14ac:dyDescent="0.2">
      <c r="B524" t="s">
        <v>128</v>
      </c>
      <c r="H524" s="14">
        <v>0</v>
      </c>
      <c r="I524" s="14">
        <v>-0.1</v>
      </c>
      <c r="J524" s="14">
        <v>-0.1</v>
      </c>
      <c r="K524" s="14">
        <v>-0.2</v>
      </c>
      <c r="L524" s="14">
        <v>-0.1</v>
      </c>
      <c r="M524" s="14">
        <v>-0.5</v>
      </c>
      <c r="N524" s="14">
        <v>-0.5</v>
      </c>
      <c r="O524" s="14">
        <v>-0.5</v>
      </c>
      <c r="P524" s="14">
        <v>0</v>
      </c>
      <c r="Q524" s="14">
        <v>0</v>
      </c>
      <c r="R524" s="14">
        <v>0</v>
      </c>
      <c r="S524" s="14">
        <v>0</v>
      </c>
      <c r="T524" s="14">
        <v>0</v>
      </c>
      <c r="U524" s="14">
        <v>0</v>
      </c>
      <c r="V524" s="14">
        <v>0</v>
      </c>
      <c r="W524" s="14">
        <v>0</v>
      </c>
      <c r="X524" s="14">
        <v>0</v>
      </c>
      <c r="Y524" s="14">
        <v>0</v>
      </c>
      <c r="Z524" s="14">
        <v>0</v>
      </c>
      <c r="AA524" s="14">
        <v>0</v>
      </c>
      <c r="AB524" s="14">
        <v>0</v>
      </c>
      <c r="AC524" s="14">
        <v>0</v>
      </c>
      <c r="AD524" s="14">
        <v>0</v>
      </c>
      <c r="AK524" s="14">
        <v>-0.2</v>
      </c>
      <c r="AL524" s="14">
        <v>-0.2</v>
      </c>
      <c r="AM524" s="17">
        <f t="shared" si="1982"/>
        <v>-0.2</v>
      </c>
      <c r="AN524" s="17">
        <f t="shared" si="1983"/>
        <v>-0.5</v>
      </c>
      <c r="AO524" s="17">
        <f t="shared" si="1984"/>
        <v>0</v>
      </c>
      <c r="AP524" s="17">
        <f t="shared" si="1985"/>
        <v>0</v>
      </c>
      <c r="AQ524" s="17">
        <f t="shared" si="1986"/>
        <v>0</v>
      </c>
    </row>
    <row r="525" spans="2:43" ht="10.15" hidden="1" outlineLevel="1" x14ac:dyDescent="0.2">
      <c r="B525" t="s">
        <v>268</v>
      </c>
      <c r="H525" s="14">
        <v>0</v>
      </c>
      <c r="I525" s="14">
        <v>0</v>
      </c>
      <c r="J525" s="14">
        <v>0</v>
      </c>
      <c r="K525" s="14">
        <v>0</v>
      </c>
      <c r="L525" s="14">
        <v>0</v>
      </c>
      <c r="M525" s="14">
        <v>0</v>
      </c>
      <c r="N525" s="14">
        <v>0</v>
      </c>
      <c r="O525" s="14">
        <v>0</v>
      </c>
      <c r="P525" s="14">
        <v>0</v>
      </c>
      <c r="Q525" s="14">
        <v>0</v>
      </c>
      <c r="R525" s="14">
        <v>0</v>
      </c>
      <c r="S525" s="14">
        <v>0</v>
      </c>
      <c r="T525" s="14">
        <v>0</v>
      </c>
      <c r="U525" s="14">
        <v>0</v>
      </c>
      <c r="V525" s="14">
        <v>0</v>
      </c>
      <c r="W525" s="14">
        <v>0</v>
      </c>
      <c r="X525" s="14">
        <v>0</v>
      </c>
      <c r="Y525" s="14">
        <v>0</v>
      </c>
      <c r="Z525" s="14">
        <v>0</v>
      </c>
      <c r="AA525" s="14">
        <v>-1.2</v>
      </c>
      <c r="AB525" s="14">
        <v>-20.3</v>
      </c>
      <c r="AC525" s="14">
        <v>-70.8</v>
      </c>
      <c r="AD525" s="14">
        <v>-70.8</v>
      </c>
      <c r="AK525" s="14"/>
      <c r="AL525" s="14"/>
      <c r="AM525" s="17"/>
      <c r="AN525" s="17"/>
      <c r="AO525" s="17"/>
      <c r="AP525" s="17"/>
      <c r="AQ525" s="17"/>
    </row>
    <row r="526" spans="2:43" ht="10.15" hidden="1" outlineLevel="1" x14ac:dyDescent="0.2">
      <c r="B526" t="s">
        <v>243</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-1.4</v>
      </c>
      <c r="Y526" s="14">
        <v>-2.2000000000000002</v>
      </c>
      <c r="Z526" s="14">
        <v>-2.7</v>
      </c>
      <c r="AA526" s="14">
        <v>-2.9</v>
      </c>
      <c r="AB526" s="14">
        <v>-0.3</v>
      </c>
      <c r="AC526" s="14">
        <v>-2</v>
      </c>
      <c r="AD526" s="14">
        <v>-6.6</v>
      </c>
      <c r="AK526" s="14"/>
      <c r="AL526" s="14">
        <v>0</v>
      </c>
      <c r="AM526" s="17">
        <f t="shared" ref="AM526" si="1987">+K526</f>
        <v>0</v>
      </c>
      <c r="AN526" s="17">
        <f t="shared" ref="AN526" si="1988">+O526</f>
        <v>0</v>
      </c>
      <c r="AO526" s="17">
        <f t="shared" ref="AO526" si="1989">+S526</f>
        <v>0</v>
      </c>
      <c r="AP526" s="17">
        <f t="shared" ref="AP526" si="1990">+W526</f>
        <v>0</v>
      </c>
      <c r="AQ526" s="17">
        <f>+AA526</f>
        <v>-2.9</v>
      </c>
    </row>
    <row r="527" spans="2:43" ht="10.15" hidden="1" outlineLevel="1" x14ac:dyDescent="0.2">
      <c r="B527" t="s">
        <v>442</v>
      </c>
      <c r="H527" s="14">
        <v>0</v>
      </c>
      <c r="I527" s="14">
        <v>0</v>
      </c>
      <c r="J527" s="14">
        <v>0</v>
      </c>
      <c r="K527" s="14">
        <v>0</v>
      </c>
      <c r="L527" s="14">
        <v>0</v>
      </c>
      <c r="M527" s="14">
        <v>0</v>
      </c>
      <c r="N527" s="14">
        <v>0</v>
      </c>
      <c r="O527" s="14">
        <v>0</v>
      </c>
      <c r="P527" s="14">
        <v>0</v>
      </c>
      <c r="Q527" s="14">
        <v>0</v>
      </c>
      <c r="R527" s="14">
        <v>0</v>
      </c>
      <c r="S527" s="14">
        <v>0</v>
      </c>
      <c r="T527" s="14">
        <v>0</v>
      </c>
      <c r="U527" s="14">
        <v>0</v>
      </c>
      <c r="V527" s="14">
        <v>0</v>
      </c>
      <c r="W527" s="14">
        <v>0</v>
      </c>
      <c r="X527" s="14">
        <v>0</v>
      </c>
      <c r="Y527" s="14">
        <v>0</v>
      </c>
      <c r="Z527" s="14">
        <v>0</v>
      </c>
      <c r="AA527" s="14">
        <v>0</v>
      </c>
      <c r="AB527" s="14">
        <v>0</v>
      </c>
      <c r="AC527" s="14">
        <v>0</v>
      </c>
      <c r="AD527" s="14">
        <v>-0.7</v>
      </c>
      <c r="AK527" s="14"/>
      <c r="AL527" s="14">
        <v>0</v>
      </c>
      <c r="AM527" s="17">
        <f t="shared" ref="AM527" si="1991">+K527</f>
        <v>0</v>
      </c>
      <c r="AN527" s="17">
        <f t="shared" ref="AN527" si="1992">+O527</f>
        <v>0</v>
      </c>
      <c r="AO527" s="17">
        <f t="shared" ref="AO527" si="1993">+S527</f>
        <v>0</v>
      </c>
      <c r="AP527" s="17">
        <f t="shared" ref="AP527" si="1994">+W527</f>
        <v>0</v>
      </c>
      <c r="AQ527" s="17">
        <f>+AA527</f>
        <v>0</v>
      </c>
    </row>
    <row r="528" spans="2:43" ht="12" hidden="1" outlineLevel="1" x14ac:dyDescent="0.35">
      <c r="B528" t="s">
        <v>134</v>
      </c>
      <c r="H528" s="15">
        <v>0</v>
      </c>
      <c r="I528" s="15">
        <v>0</v>
      </c>
      <c r="J528" s="15">
        <v>0</v>
      </c>
      <c r="K528" s="15">
        <v>0</v>
      </c>
      <c r="L528" s="15">
        <v>0</v>
      </c>
      <c r="M528" s="15">
        <v>0</v>
      </c>
      <c r="N528" s="15">
        <v>0</v>
      </c>
      <c r="O528" s="15">
        <v>0</v>
      </c>
      <c r="P528" s="15">
        <v>0</v>
      </c>
      <c r="Q528" s="15">
        <v>0</v>
      </c>
      <c r="R528" s="15">
        <v>0</v>
      </c>
      <c r="S528" s="15">
        <v>0</v>
      </c>
      <c r="T528" s="15">
        <v>0</v>
      </c>
      <c r="U528" s="15">
        <v>0</v>
      </c>
      <c r="V528" s="15">
        <v>0</v>
      </c>
      <c r="W528" s="15">
        <v>0</v>
      </c>
      <c r="X528" s="15">
        <v>0</v>
      </c>
      <c r="Y528" s="15">
        <v>0</v>
      </c>
      <c r="Z528" s="15">
        <v>0</v>
      </c>
      <c r="AA528" s="15">
        <v>0</v>
      </c>
      <c r="AB528" s="15">
        <v>0</v>
      </c>
      <c r="AC528" s="15">
        <v>0</v>
      </c>
      <c r="AD528" s="15">
        <v>0</v>
      </c>
      <c r="AK528" s="15">
        <v>-0.1</v>
      </c>
      <c r="AL528" s="15">
        <v>-0.1</v>
      </c>
      <c r="AM528" s="18">
        <f t="shared" ref="AM528" si="1995">+K528</f>
        <v>0</v>
      </c>
      <c r="AN528" s="18">
        <f t="shared" si="1983"/>
        <v>0</v>
      </c>
      <c r="AO528" s="18">
        <f t="shared" si="1984"/>
        <v>0</v>
      </c>
      <c r="AP528" s="18">
        <f t="shared" si="1985"/>
        <v>0</v>
      </c>
      <c r="AQ528" s="18">
        <f>+AA528</f>
        <v>0</v>
      </c>
    </row>
    <row r="529" spans="2:43" ht="10.15" hidden="1" outlineLevel="1" x14ac:dyDescent="0.2">
      <c r="B529" s="11" t="s">
        <v>129</v>
      </c>
      <c r="H529" s="17">
        <f>SUM(H511:H528)</f>
        <v>-2.2000000000000002</v>
      </c>
      <c r="I529" s="17">
        <f t="shared" ref="I529:U529" si="1996">SUM(I511:I528)</f>
        <v>-4.6000000000000014</v>
      </c>
      <c r="J529" s="17">
        <f t="shared" si="1996"/>
        <v>62.1</v>
      </c>
      <c r="K529" s="17">
        <f t="shared" si="1996"/>
        <v>71.000000000000014</v>
      </c>
      <c r="L529" s="17">
        <f t="shared" si="1996"/>
        <v>66.400000000000006</v>
      </c>
      <c r="M529" s="17">
        <f t="shared" si="1996"/>
        <v>250.3</v>
      </c>
      <c r="N529" s="17">
        <f t="shared" si="1996"/>
        <v>340.1</v>
      </c>
      <c r="O529" s="17">
        <f t="shared" si="1996"/>
        <v>1002.7999999999998</v>
      </c>
      <c r="P529" s="17">
        <f t="shared" si="1996"/>
        <v>-3.6999999999999997</v>
      </c>
      <c r="Q529" s="17">
        <f t="shared" si="1996"/>
        <v>-117.60000000000001</v>
      </c>
      <c r="R529" s="17">
        <f t="shared" si="1996"/>
        <v>496.7</v>
      </c>
      <c r="S529" s="17">
        <f t="shared" si="1996"/>
        <v>471.2</v>
      </c>
      <c r="T529" s="17">
        <f t="shared" si="1996"/>
        <v>-35.699999999999996</v>
      </c>
      <c r="U529" s="17">
        <f t="shared" si="1996"/>
        <v>-211</v>
      </c>
      <c r="V529" s="17">
        <f t="shared" ref="V529:X529" si="1997">SUM(V511:V528)</f>
        <v>-211.4</v>
      </c>
      <c r="W529" s="17">
        <f t="shared" si="1997"/>
        <v>-214.6</v>
      </c>
      <c r="X529" s="17">
        <f t="shared" si="1997"/>
        <v>-7</v>
      </c>
      <c r="Y529" s="17">
        <f t="shared" ref="Y529:AB529" si="1998">SUM(Y511:Y528)</f>
        <v>-115.2</v>
      </c>
      <c r="Z529" s="17">
        <f t="shared" si="1998"/>
        <v>-124.3</v>
      </c>
      <c r="AA529" s="17">
        <f t="shared" si="1998"/>
        <v>-152.20000000000002</v>
      </c>
      <c r="AB529" s="17">
        <f t="shared" si="1998"/>
        <v>-29.8</v>
      </c>
      <c r="AC529" s="17">
        <f t="shared" ref="AC529:AD529" si="1999">SUM(AC511:AC528)</f>
        <v>-100.8</v>
      </c>
      <c r="AD529" s="17">
        <f t="shared" si="1999"/>
        <v>950.6</v>
      </c>
      <c r="AK529" s="17">
        <f t="shared" ref="AK529:AL529" si="2000">SUM(AK511:AK528)</f>
        <v>11.300000000000002</v>
      </c>
      <c r="AL529" s="17">
        <f t="shared" si="2000"/>
        <v>11.300000000000002</v>
      </c>
      <c r="AM529" s="17">
        <f t="shared" si="1982"/>
        <v>71.000000000000014</v>
      </c>
      <c r="AN529" s="17">
        <f t="shared" si="1983"/>
        <v>1002.7999999999998</v>
      </c>
      <c r="AO529" s="17">
        <f t="shared" si="1984"/>
        <v>471.2</v>
      </c>
      <c r="AP529" s="17">
        <f t="shared" si="1985"/>
        <v>-214.6</v>
      </c>
      <c r="AQ529" s="17">
        <f>+AA529</f>
        <v>-152.20000000000002</v>
      </c>
    </row>
    <row r="530" spans="2:43" ht="10.15" hidden="1" outlineLevel="1" x14ac:dyDescent="0.2">
      <c r="H530" s="14"/>
      <c r="I530" s="14"/>
      <c r="J530" s="14"/>
      <c r="K530" s="14"/>
      <c r="L530" s="14"/>
      <c r="M530" s="14"/>
      <c r="N530" s="14"/>
      <c r="O530" s="14"/>
      <c r="P530" s="14"/>
      <c r="Q530" s="14"/>
      <c r="R530" s="14"/>
      <c r="S530" s="14"/>
      <c r="T530" s="14"/>
      <c r="U530" s="14"/>
      <c r="X530" s="14"/>
      <c r="AK530" s="14"/>
      <c r="AL530" s="14"/>
      <c r="AM530" s="17"/>
      <c r="AN530" s="17"/>
      <c r="AO530" s="17"/>
      <c r="AP530" s="17"/>
      <c r="AQ530" s="17"/>
    </row>
    <row r="531" spans="2:43" ht="12" hidden="1" outlineLevel="1" x14ac:dyDescent="0.35">
      <c r="B531" t="s">
        <v>130</v>
      </c>
      <c r="H531" s="15">
        <v>0</v>
      </c>
      <c r="I531" s="15">
        <v>0</v>
      </c>
      <c r="J531" s="15">
        <v>0</v>
      </c>
      <c r="K531" s="15">
        <v>0</v>
      </c>
      <c r="L531" s="15">
        <v>0</v>
      </c>
      <c r="M531" s="15">
        <v>0</v>
      </c>
      <c r="N531" s="15">
        <v>0</v>
      </c>
      <c r="O531" s="15">
        <v>0</v>
      </c>
      <c r="P531" s="15">
        <v>0</v>
      </c>
      <c r="Q531" s="15">
        <v>0</v>
      </c>
      <c r="R531" s="15">
        <v>0</v>
      </c>
      <c r="S531" s="15">
        <v>0</v>
      </c>
      <c r="T531" s="15">
        <v>0</v>
      </c>
      <c r="U531" s="15">
        <v>-0.2</v>
      </c>
      <c r="V531" s="15">
        <v>-0.3</v>
      </c>
      <c r="W531" s="15">
        <v>1</v>
      </c>
      <c r="X531" s="15">
        <v>0.4</v>
      </c>
      <c r="Y531" s="15">
        <v>0.7</v>
      </c>
      <c r="Z531" s="15">
        <v>-0.8</v>
      </c>
      <c r="AA531" s="15">
        <v>11.1</v>
      </c>
      <c r="AB531" s="15">
        <v>-6.5</v>
      </c>
      <c r="AC531" s="15">
        <v>-9</v>
      </c>
      <c r="AD531" s="15">
        <v>3.3</v>
      </c>
      <c r="AK531" s="15">
        <v>0</v>
      </c>
      <c r="AL531" s="15">
        <v>0</v>
      </c>
      <c r="AM531" s="18">
        <f t="shared" si="1982"/>
        <v>0</v>
      </c>
      <c r="AN531" s="18">
        <f>+O531</f>
        <v>0</v>
      </c>
      <c r="AO531" s="18">
        <f>+S531</f>
        <v>0</v>
      </c>
      <c r="AP531" s="18">
        <f>+W531</f>
        <v>1</v>
      </c>
      <c r="AQ531" s="18">
        <f>+AA531</f>
        <v>11.1</v>
      </c>
    </row>
    <row r="532" spans="2:43" ht="10.15" hidden="1" outlineLevel="1" x14ac:dyDescent="0.2">
      <c r="B532" s="11" t="s">
        <v>131</v>
      </c>
      <c r="H532" s="13">
        <f>+H497+H508+H529+H531</f>
        <v>1.0999999999999983</v>
      </c>
      <c r="I532" s="13">
        <f t="shared" ref="I532:V532" si="2001">+I497+I508+I529+I531</f>
        <v>0.39999999999999858</v>
      </c>
      <c r="J532" s="13">
        <f t="shared" si="2001"/>
        <v>6.8999999999999986</v>
      </c>
      <c r="K532" s="13">
        <f t="shared" si="2001"/>
        <v>-1.0999999999999943</v>
      </c>
      <c r="L532" s="13">
        <f t="shared" si="2001"/>
        <v>66.5</v>
      </c>
      <c r="M532" s="13">
        <f t="shared" si="2001"/>
        <v>240.3</v>
      </c>
      <c r="N532" s="13">
        <f t="shared" si="2001"/>
        <v>325.20000000000005</v>
      </c>
      <c r="O532" s="13">
        <f t="shared" si="2001"/>
        <v>924.0999999999998</v>
      </c>
      <c r="P532" s="13">
        <f t="shared" si="2001"/>
        <v>-82.9</v>
      </c>
      <c r="Q532" s="13">
        <f t="shared" si="2001"/>
        <v>-228.10000000000002</v>
      </c>
      <c r="R532" s="13">
        <f t="shared" si="2001"/>
        <v>360.29999999999995</v>
      </c>
      <c r="S532" s="13">
        <f t="shared" si="2001"/>
        <v>303.7</v>
      </c>
      <c r="T532" s="13">
        <f t="shared" si="2001"/>
        <v>-42.5</v>
      </c>
      <c r="U532" s="13">
        <f t="shared" si="2001"/>
        <v>-213.29999999999998</v>
      </c>
      <c r="V532" s="13">
        <f t="shared" si="2001"/>
        <v>-558.79999999999984</v>
      </c>
      <c r="W532" s="13">
        <f t="shared" ref="W532:X532" si="2002">+W497+W508+W529+W531</f>
        <v>-454.99999999999989</v>
      </c>
      <c r="X532" s="13">
        <f t="shared" si="2002"/>
        <v>41.399999999999977</v>
      </c>
      <c r="Y532" s="13">
        <f t="shared" ref="Y532:AB532" si="2003">+Y497+Y508+Y529+Y531</f>
        <v>-51.200000000000031</v>
      </c>
      <c r="Z532" s="13">
        <f t="shared" si="2003"/>
        <v>6.7999999999999234</v>
      </c>
      <c r="AA532" s="13">
        <f t="shared" si="2003"/>
        <v>-54.700000000000038</v>
      </c>
      <c r="AB532" s="13">
        <f t="shared" si="2003"/>
        <v>-19.300000000000022</v>
      </c>
      <c r="AC532" s="13">
        <f t="shared" ref="AC532:AD532" si="2004">+AC497+AC508+AC529+AC531</f>
        <v>-318.49999999999994</v>
      </c>
      <c r="AD532" s="13">
        <f t="shared" si="2004"/>
        <v>873.59999999999991</v>
      </c>
      <c r="AK532" s="13">
        <f>+AK495+AK508+AK529+AK531</f>
        <v>26.000000000000007</v>
      </c>
      <c r="AL532" s="13">
        <f t="shared" ref="AL532" si="2005">+AL497+AL508+AL529+AL531</f>
        <v>-4.6000000000000014</v>
      </c>
      <c r="AM532" s="17">
        <f t="shared" si="1982"/>
        <v>-1.0999999999999943</v>
      </c>
      <c r="AN532" s="17">
        <f>+O532</f>
        <v>924.0999999999998</v>
      </c>
      <c r="AO532" s="17">
        <f>+S532</f>
        <v>303.7</v>
      </c>
      <c r="AP532" s="17">
        <f>+W532</f>
        <v>-454.99999999999989</v>
      </c>
      <c r="AQ532" s="17">
        <f>+AA532</f>
        <v>-54.700000000000038</v>
      </c>
    </row>
    <row r="533" spans="2:43" ht="10.15" hidden="1" outlineLevel="1" x14ac:dyDescent="0.2"/>
    <row r="534" spans="2:43" collapsed="1" x14ac:dyDescent="0.2">
      <c r="B534" s="10" t="s">
        <v>306</v>
      </c>
      <c r="C534" s="9"/>
    </row>
    <row r="536" spans="2:43" x14ac:dyDescent="0.2">
      <c r="B536" s="1" t="s">
        <v>307</v>
      </c>
    </row>
    <row r="537" spans="2:43" x14ac:dyDescent="0.2">
      <c r="B537" t="s">
        <v>350</v>
      </c>
      <c r="L537" s="14">
        <v>70.2</v>
      </c>
      <c r="M537" s="14">
        <v>244</v>
      </c>
      <c r="N537" s="14">
        <v>328.9</v>
      </c>
      <c r="O537" s="14">
        <v>927.8</v>
      </c>
      <c r="P537" s="14">
        <v>844.9</v>
      </c>
      <c r="Q537" s="14">
        <v>699.7</v>
      </c>
      <c r="R537" s="14">
        <v>1288.0999999999999</v>
      </c>
      <c r="S537" s="14">
        <v>1231.5</v>
      </c>
      <c r="T537" s="14">
        <v>1189</v>
      </c>
      <c r="U537" s="14">
        <v>1018.2</v>
      </c>
      <c r="V537" s="14">
        <v>672.7</v>
      </c>
      <c r="W537" s="14">
        <v>776.5</v>
      </c>
      <c r="X537" s="14">
        <v>0</v>
      </c>
      <c r="Y537" s="14">
        <v>0</v>
      </c>
      <c r="Z537" s="14">
        <v>0</v>
      </c>
      <c r="AA537" s="14">
        <v>0</v>
      </c>
      <c r="AB537" s="14">
        <v>0</v>
      </c>
      <c r="AC537" s="14">
        <v>0</v>
      </c>
      <c r="AD537" s="14">
        <v>0</v>
      </c>
      <c r="AE537" s="14"/>
      <c r="AF537" s="14"/>
      <c r="AG537" s="14"/>
      <c r="AH537" s="14"/>
      <c r="AI537" s="14"/>
      <c r="AJ537" s="14"/>
      <c r="AK537" s="14">
        <v>0</v>
      </c>
      <c r="AL537" s="14">
        <v>4.8</v>
      </c>
      <c r="AM537" s="14">
        <v>3.7</v>
      </c>
      <c r="AN537" s="14">
        <v>927.8</v>
      </c>
      <c r="AO537" s="14">
        <v>1231.5</v>
      </c>
      <c r="AP537" s="14">
        <v>776.5</v>
      </c>
      <c r="AQ537" s="14">
        <v>0</v>
      </c>
    </row>
    <row r="538" spans="2:43" x14ac:dyDescent="0.2">
      <c r="B538" t="s">
        <v>308</v>
      </c>
      <c r="L538" s="14">
        <v>0</v>
      </c>
      <c r="M538" s="14">
        <v>0</v>
      </c>
      <c r="N538" s="14">
        <v>0</v>
      </c>
      <c r="O538" s="14">
        <v>0</v>
      </c>
      <c r="P538" s="14">
        <v>0</v>
      </c>
      <c r="Q538" s="14">
        <v>0</v>
      </c>
      <c r="R538" s="14">
        <v>0</v>
      </c>
      <c r="S538" s="14">
        <v>0</v>
      </c>
      <c r="T538" s="14">
        <v>0</v>
      </c>
      <c r="U538" s="14">
        <v>0</v>
      </c>
      <c r="V538" s="14">
        <v>0</v>
      </c>
      <c r="W538" s="14">
        <v>0</v>
      </c>
      <c r="X538" s="14">
        <v>743.9</v>
      </c>
      <c r="Y538" s="14">
        <v>649</v>
      </c>
      <c r="Z538" s="14">
        <v>692.3</v>
      </c>
      <c r="AA538" s="14">
        <v>455</v>
      </c>
      <c r="AB538" s="14">
        <v>522.9</v>
      </c>
      <c r="AC538" s="14">
        <v>205</v>
      </c>
      <c r="AD538" s="14">
        <v>1426.4</v>
      </c>
      <c r="AE538" s="14"/>
      <c r="AF538" s="14"/>
      <c r="AG538" s="14"/>
      <c r="AH538" s="14"/>
      <c r="AI538" s="14"/>
      <c r="AJ538" s="14"/>
      <c r="AK538" s="14">
        <v>0</v>
      </c>
      <c r="AL538" s="14">
        <v>0</v>
      </c>
      <c r="AM538" s="14">
        <v>0</v>
      </c>
      <c r="AN538" s="14">
        <v>0</v>
      </c>
      <c r="AO538" s="14">
        <v>0</v>
      </c>
      <c r="AP538" s="14">
        <v>0</v>
      </c>
      <c r="AQ538" s="14">
        <v>455</v>
      </c>
    </row>
    <row r="539" spans="2:43" x14ac:dyDescent="0.2">
      <c r="B539" t="s">
        <v>310</v>
      </c>
      <c r="L539" s="14">
        <v>0</v>
      </c>
      <c r="M539" s="14">
        <v>0</v>
      </c>
      <c r="N539" s="14">
        <v>0</v>
      </c>
      <c r="O539" s="14">
        <v>0</v>
      </c>
      <c r="P539" s="14">
        <v>0</v>
      </c>
      <c r="Q539" s="14">
        <v>0</v>
      </c>
      <c r="R539" s="14">
        <v>0</v>
      </c>
      <c r="S539" s="14">
        <v>0</v>
      </c>
      <c r="T539" s="14">
        <v>0</v>
      </c>
      <c r="U539" s="14">
        <v>0</v>
      </c>
      <c r="V539" s="14">
        <v>0</v>
      </c>
      <c r="W539" s="14">
        <v>0</v>
      </c>
      <c r="X539" s="14">
        <v>74</v>
      </c>
      <c r="Y539" s="14">
        <v>76.3</v>
      </c>
      <c r="Z539" s="14">
        <v>91</v>
      </c>
      <c r="AA539" s="14">
        <v>84.4</v>
      </c>
      <c r="AB539" s="14">
        <v>57.3</v>
      </c>
      <c r="AC539" s="14">
        <v>74.8</v>
      </c>
      <c r="AD539" s="14">
        <v>0</v>
      </c>
      <c r="AE539" s="14"/>
      <c r="AF539" s="14"/>
      <c r="AG539" s="14"/>
      <c r="AH539" s="14"/>
      <c r="AI539" s="14"/>
      <c r="AJ539" s="14"/>
      <c r="AK539" s="14">
        <v>0</v>
      </c>
      <c r="AL539" s="14">
        <v>0</v>
      </c>
      <c r="AM539" s="14">
        <v>0</v>
      </c>
      <c r="AN539" s="14">
        <v>0</v>
      </c>
      <c r="AO539" s="14">
        <v>0</v>
      </c>
      <c r="AP539" s="14">
        <v>0</v>
      </c>
      <c r="AQ539" s="14">
        <v>84.4</v>
      </c>
    </row>
    <row r="540" spans="2:43" x14ac:dyDescent="0.2">
      <c r="B540" t="s">
        <v>309</v>
      </c>
      <c r="L540" s="14">
        <v>0</v>
      </c>
      <c r="M540" s="14">
        <v>0</v>
      </c>
      <c r="N540" s="14">
        <v>0</v>
      </c>
      <c r="O540" s="14">
        <v>0</v>
      </c>
      <c r="P540" s="14">
        <v>0</v>
      </c>
      <c r="Q540" s="14">
        <v>0</v>
      </c>
      <c r="R540" s="14">
        <v>0</v>
      </c>
      <c r="S540" s="14">
        <v>0</v>
      </c>
      <c r="T540" s="14">
        <v>0</v>
      </c>
      <c r="U540" s="14">
        <v>0</v>
      </c>
      <c r="V540" s="14">
        <v>0</v>
      </c>
      <c r="W540" s="14">
        <v>0</v>
      </c>
      <c r="X540" s="14">
        <v>0</v>
      </c>
      <c r="Y540" s="14">
        <v>0</v>
      </c>
      <c r="Z540" s="14">
        <v>0</v>
      </c>
      <c r="AA540" s="14">
        <v>321.2</v>
      </c>
      <c r="AB540" s="14">
        <v>316.39999999999998</v>
      </c>
      <c r="AC540" s="14">
        <v>279.10000000000002</v>
      </c>
      <c r="AD540" s="14">
        <v>283.2</v>
      </c>
      <c r="AE540" s="14"/>
      <c r="AF540" s="14"/>
      <c r="AG540" s="14"/>
      <c r="AH540" s="14"/>
      <c r="AI540" s="14"/>
      <c r="AJ540" s="14"/>
      <c r="AK540" s="14">
        <v>0</v>
      </c>
      <c r="AL540" s="14">
        <v>0</v>
      </c>
      <c r="AM540" s="14">
        <v>0</v>
      </c>
      <c r="AN540" s="14">
        <v>0</v>
      </c>
      <c r="AO540" s="14">
        <v>0</v>
      </c>
      <c r="AP540" s="14">
        <v>0</v>
      </c>
      <c r="AQ540" s="14">
        <v>321.2</v>
      </c>
    </row>
    <row r="541" spans="2:43" x14ac:dyDescent="0.2">
      <c r="B541" t="s">
        <v>311</v>
      </c>
      <c r="L541" s="14">
        <v>67.5</v>
      </c>
      <c r="M541" s="14">
        <v>68.599999999999994</v>
      </c>
      <c r="N541" s="14">
        <v>91.3</v>
      </c>
      <c r="O541" s="14">
        <v>92.7</v>
      </c>
      <c r="P541" s="14">
        <v>127.9</v>
      </c>
      <c r="Q541" s="14">
        <v>177.2</v>
      </c>
      <c r="R541" s="14">
        <v>184.4</v>
      </c>
      <c r="S541" s="14">
        <v>205.9</v>
      </c>
      <c r="T541" s="14">
        <v>223</v>
      </c>
      <c r="U541" s="14">
        <v>251.3</v>
      </c>
      <c r="V541" s="14">
        <v>262.2</v>
      </c>
      <c r="W541" s="14">
        <v>195</v>
      </c>
      <c r="X541" s="14">
        <v>209.3</v>
      </c>
      <c r="Y541" s="14">
        <v>228.7</v>
      </c>
      <c r="Z541" s="14">
        <v>232.1</v>
      </c>
      <c r="AA541" s="14">
        <v>256.8</v>
      </c>
      <c r="AB541" s="14">
        <v>252.2</v>
      </c>
      <c r="AC541" s="14">
        <v>310.5</v>
      </c>
      <c r="AD541" s="14">
        <v>317.8</v>
      </c>
      <c r="AE541" s="14"/>
      <c r="AF541" s="14"/>
      <c r="AG541" s="14"/>
      <c r="AH541" s="14"/>
      <c r="AI541" s="14"/>
      <c r="AJ541" s="14"/>
      <c r="AK541" s="14">
        <v>0</v>
      </c>
      <c r="AL541" s="14">
        <v>55.5</v>
      </c>
      <c r="AM541" s="14">
        <v>78.599999999999994</v>
      </c>
      <c r="AN541" s="14">
        <v>92.7</v>
      </c>
      <c r="AO541" s="14">
        <v>205.9</v>
      </c>
      <c r="AP541" s="14">
        <v>195</v>
      </c>
      <c r="AQ541" s="14">
        <v>256.8</v>
      </c>
    </row>
    <row r="542" spans="2:43" x14ac:dyDescent="0.2">
      <c r="B542" t="s">
        <v>97</v>
      </c>
      <c r="L542" s="14">
        <v>6.8</v>
      </c>
      <c r="M542" s="14">
        <v>0</v>
      </c>
      <c r="N542" s="14">
        <v>0</v>
      </c>
      <c r="O542" s="14">
        <v>0</v>
      </c>
      <c r="P542" s="14">
        <v>0</v>
      </c>
      <c r="Q542" s="14">
        <v>0</v>
      </c>
      <c r="R542" s="14">
        <v>0</v>
      </c>
      <c r="S542" s="14">
        <v>0.3</v>
      </c>
      <c r="T542" s="14">
        <v>0.3</v>
      </c>
      <c r="U542" s="14">
        <v>0</v>
      </c>
      <c r="V542" s="14">
        <v>0</v>
      </c>
      <c r="W542" s="14">
        <v>0</v>
      </c>
      <c r="X542" s="14">
        <v>0</v>
      </c>
      <c r="Y542" s="14">
        <v>0</v>
      </c>
      <c r="Z542" s="14">
        <v>0</v>
      </c>
      <c r="AA542" s="14">
        <v>0</v>
      </c>
      <c r="AB542" s="14">
        <v>0</v>
      </c>
      <c r="AC542" s="14">
        <v>0</v>
      </c>
      <c r="AD542" s="14">
        <v>0</v>
      </c>
      <c r="AE542" s="14"/>
      <c r="AF542" s="14"/>
      <c r="AG542" s="14"/>
      <c r="AH542" s="14"/>
      <c r="AI542" s="14"/>
      <c r="AJ542" s="14"/>
      <c r="AK542" s="14">
        <v>0</v>
      </c>
      <c r="AL542" s="14">
        <v>0</v>
      </c>
      <c r="AM542" s="14">
        <v>6.8</v>
      </c>
      <c r="AN542" s="14">
        <v>0</v>
      </c>
      <c r="AO542" s="14">
        <v>0.3</v>
      </c>
      <c r="AP542" s="14">
        <v>0</v>
      </c>
      <c r="AQ542" s="14">
        <v>0</v>
      </c>
    </row>
    <row r="543" spans="2:43" x14ac:dyDescent="0.2">
      <c r="B543" t="s">
        <v>99</v>
      </c>
      <c r="L543" s="14">
        <v>8.8000000000000007</v>
      </c>
      <c r="M543" s="14">
        <v>8.4</v>
      </c>
      <c r="N543" s="14">
        <v>1.2</v>
      </c>
      <c r="O543" s="14">
        <v>1.5</v>
      </c>
      <c r="P543" s="14">
        <v>1.6</v>
      </c>
      <c r="Q543" s="14">
        <v>1.6</v>
      </c>
      <c r="R543" s="14">
        <v>2</v>
      </c>
      <c r="S543" s="14">
        <v>3.5</v>
      </c>
      <c r="T543" s="14">
        <v>2.9</v>
      </c>
      <c r="U543" s="14">
        <v>2.2999999999999998</v>
      </c>
      <c r="V543" s="14">
        <v>5.9</v>
      </c>
      <c r="W543" s="14">
        <v>4.8</v>
      </c>
      <c r="X543" s="14">
        <v>4.3</v>
      </c>
      <c r="Y543" s="14">
        <v>2.8</v>
      </c>
      <c r="Z543" s="14">
        <v>2.5</v>
      </c>
      <c r="AA543" s="14">
        <v>3.4</v>
      </c>
      <c r="AB543" s="14">
        <v>2.7</v>
      </c>
      <c r="AC543" s="14">
        <v>8.1</v>
      </c>
      <c r="AD543" s="14">
        <v>7.1</v>
      </c>
      <c r="AE543" s="14"/>
      <c r="AF543" s="14"/>
      <c r="AG543" s="14"/>
      <c r="AH543" s="14"/>
      <c r="AI543" s="14"/>
      <c r="AJ543" s="14"/>
      <c r="AK543" s="14">
        <v>0</v>
      </c>
      <c r="AL543" s="14">
        <v>5.0999999999999996</v>
      </c>
      <c r="AM543" s="14">
        <v>8.5</v>
      </c>
      <c r="AN543" s="14">
        <v>1.5</v>
      </c>
      <c r="AO543" s="14">
        <v>3.5</v>
      </c>
      <c r="AP543" s="14">
        <v>4.8</v>
      </c>
      <c r="AQ543" s="14">
        <v>3.4</v>
      </c>
    </row>
    <row r="544" spans="2:43" ht="13.5" x14ac:dyDescent="0.35">
      <c r="B544" t="s">
        <v>98</v>
      </c>
      <c r="L544" s="15">
        <v>12.7</v>
      </c>
      <c r="M544" s="15">
        <v>11</v>
      </c>
      <c r="N544" s="15">
        <v>12.3</v>
      </c>
      <c r="O544" s="15">
        <v>11.5</v>
      </c>
      <c r="P544" s="15">
        <v>11.8</v>
      </c>
      <c r="Q544" s="15">
        <v>14.8</v>
      </c>
      <c r="R544" s="15">
        <v>13.2</v>
      </c>
      <c r="S544" s="15">
        <v>12.4</v>
      </c>
      <c r="T544" s="15">
        <v>12.9</v>
      </c>
      <c r="U544" s="15">
        <v>12.1</v>
      </c>
      <c r="V544" s="15">
        <v>19.899999999999999</v>
      </c>
      <c r="W544" s="15">
        <v>15.4</v>
      </c>
      <c r="X544" s="15">
        <v>17.5</v>
      </c>
      <c r="Y544" s="15">
        <v>16.5</v>
      </c>
      <c r="Z544" s="15">
        <v>20.7</v>
      </c>
      <c r="AA544" s="15">
        <v>32.5</v>
      </c>
      <c r="AB544" s="15">
        <v>39.299999999999997</v>
      </c>
      <c r="AC544" s="15">
        <v>50.2</v>
      </c>
      <c r="AD544" s="15">
        <v>60.1</v>
      </c>
      <c r="AE544" s="15"/>
      <c r="AF544" s="15"/>
      <c r="AG544" s="15"/>
      <c r="AH544" s="15"/>
      <c r="AI544" s="15"/>
      <c r="AJ544" s="15"/>
      <c r="AK544" s="15">
        <v>0</v>
      </c>
      <c r="AL544" s="15">
        <v>4.8</v>
      </c>
      <c r="AM544" s="15">
        <v>8.8000000000000007</v>
      </c>
      <c r="AN544" s="15">
        <v>11.5</v>
      </c>
      <c r="AO544" s="15">
        <v>12.4</v>
      </c>
      <c r="AP544" s="15">
        <v>15.4</v>
      </c>
      <c r="AQ544" s="15">
        <v>32.5</v>
      </c>
    </row>
    <row r="545" spans="2:43" x14ac:dyDescent="0.2">
      <c r="B545" s="11" t="s">
        <v>312</v>
      </c>
      <c r="L545" s="17">
        <f t="shared" ref="L545:AC545" si="2006">SUM(L537:L544)</f>
        <v>166</v>
      </c>
      <c r="M545" s="17">
        <f t="shared" si="2006"/>
        <v>332</v>
      </c>
      <c r="N545" s="17">
        <f t="shared" si="2006"/>
        <v>433.7</v>
      </c>
      <c r="O545" s="17">
        <f t="shared" si="2006"/>
        <v>1033.5</v>
      </c>
      <c r="P545" s="17">
        <f t="shared" si="2006"/>
        <v>986.19999999999993</v>
      </c>
      <c r="Q545" s="17">
        <f t="shared" si="2006"/>
        <v>893.30000000000007</v>
      </c>
      <c r="R545" s="17">
        <f t="shared" si="2006"/>
        <v>1487.7</v>
      </c>
      <c r="S545" s="17">
        <f t="shared" si="2006"/>
        <v>1453.6000000000001</v>
      </c>
      <c r="T545" s="17">
        <f t="shared" si="2006"/>
        <v>1428.1000000000001</v>
      </c>
      <c r="U545" s="17">
        <f t="shared" si="2006"/>
        <v>1283.8999999999999</v>
      </c>
      <c r="V545" s="17">
        <f t="shared" si="2006"/>
        <v>960.7</v>
      </c>
      <c r="W545" s="17">
        <f t="shared" si="2006"/>
        <v>991.69999999999993</v>
      </c>
      <c r="X545" s="17">
        <f t="shared" si="2006"/>
        <v>1049</v>
      </c>
      <c r="Y545" s="17">
        <f t="shared" si="2006"/>
        <v>973.3</v>
      </c>
      <c r="Z545" s="17">
        <f t="shared" si="2006"/>
        <v>1038.5999999999999</v>
      </c>
      <c r="AA545" s="17">
        <f t="shared" si="2006"/>
        <v>1153.3</v>
      </c>
      <c r="AB545" s="17">
        <f t="shared" si="2006"/>
        <v>1190.8</v>
      </c>
      <c r="AC545" s="17">
        <f t="shared" si="2006"/>
        <v>927.70000000000016</v>
      </c>
      <c r="AD545" s="17">
        <f t="shared" ref="AD545" si="2007">SUM(AD537:AD544)</f>
        <v>2094.6</v>
      </c>
      <c r="AE545" s="14"/>
      <c r="AF545" s="14"/>
      <c r="AG545" s="14"/>
      <c r="AH545" s="14"/>
      <c r="AI545" s="14"/>
      <c r="AJ545" s="14"/>
      <c r="AK545" s="14">
        <v>0</v>
      </c>
      <c r="AL545" s="17">
        <f t="shared" ref="AL545:AQ545" si="2008">SUM(AL537:AL544)</f>
        <v>70.199999999999989</v>
      </c>
      <c r="AM545" s="17">
        <f t="shared" si="2008"/>
        <v>106.39999999999999</v>
      </c>
      <c r="AN545" s="17">
        <f t="shared" si="2008"/>
        <v>1033.5</v>
      </c>
      <c r="AO545" s="17">
        <f t="shared" si="2008"/>
        <v>1453.6000000000001</v>
      </c>
      <c r="AP545" s="17">
        <f t="shared" si="2008"/>
        <v>991.69999999999993</v>
      </c>
      <c r="AQ545" s="17">
        <f t="shared" si="2008"/>
        <v>1153.3</v>
      </c>
    </row>
    <row r="546" spans="2:43" x14ac:dyDescent="0.2">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row>
    <row r="547" spans="2:43" x14ac:dyDescent="0.2">
      <c r="B547" t="s">
        <v>313</v>
      </c>
      <c r="L547" s="14">
        <v>422</v>
      </c>
      <c r="M547" s="14">
        <v>422</v>
      </c>
      <c r="N547" s="14">
        <v>422</v>
      </c>
      <c r="O547" s="14">
        <v>477</v>
      </c>
      <c r="P547" s="14">
        <v>525</v>
      </c>
      <c r="Q547" s="14">
        <v>525.20000000000005</v>
      </c>
      <c r="R547" s="14">
        <v>537.6</v>
      </c>
      <c r="S547" s="14">
        <v>537.70000000000005</v>
      </c>
      <c r="T547" s="14">
        <v>627</v>
      </c>
      <c r="U547" s="14">
        <v>627.1</v>
      </c>
      <c r="V547" s="14">
        <v>777.3</v>
      </c>
      <c r="W547" s="14">
        <v>735</v>
      </c>
      <c r="X547" s="14">
        <v>737</v>
      </c>
      <c r="Y547" s="14">
        <v>757.1</v>
      </c>
      <c r="Z547" s="14">
        <v>755.4</v>
      </c>
      <c r="AA547" s="14">
        <v>1111.3</v>
      </c>
      <c r="AB547" s="14">
        <v>1107.4000000000001</v>
      </c>
      <c r="AC547" s="14">
        <v>1299.9000000000001</v>
      </c>
      <c r="AD547" s="14">
        <v>1324</v>
      </c>
      <c r="AE547" s="14"/>
      <c r="AF547" s="14"/>
      <c r="AG547" s="14"/>
      <c r="AH547" s="14"/>
      <c r="AI547" s="14"/>
      <c r="AJ547" s="14"/>
      <c r="AK547" s="14">
        <v>0</v>
      </c>
      <c r="AL547" s="14">
        <v>391.8</v>
      </c>
      <c r="AM547" s="14">
        <v>421.3</v>
      </c>
      <c r="AN547" s="14">
        <v>477</v>
      </c>
      <c r="AO547" s="14">
        <v>537.70000000000005</v>
      </c>
      <c r="AP547" s="14">
        <v>735</v>
      </c>
      <c r="AQ547" s="14">
        <v>1111.3</v>
      </c>
    </row>
    <row r="548" spans="2:43" x14ac:dyDescent="0.2">
      <c r="B548" t="s">
        <v>314</v>
      </c>
      <c r="L548" s="14">
        <v>202.7</v>
      </c>
      <c r="M548" s="14">
        <v>192.2</v>
      </c>
      <c r="N548" s="14">
        <v>183</v>
      </c>
      <c r="O548" s="14">
        <v>186.3</v>
      </c>
      <c r="P548" s="14">
        <v>194</v>
      </c>
      <c r="Q548" s="14">
        <v>185.1</v>
      </c>
      <c r="R548" s="14">
        <v>188.3</v>
      </c>
      <c r="S548" s="14">
        <v>188.5</v>
      </c>
      <c r="T548" s="14">
        <v>213</v>
      </c>
      <c r="U548" s="14">
        <v>219</v>
      </c>
      <c r="V548" s="14">
        <v>561.70000000000005</v>
      </c>
      <c r="W548" s="14">
        <v>306.8</v>
      </c>
      <c r="X548" s="14">
        <v>306</v>
      </c>
      <c r="Y548" s="14">
        <v>332.4</v>
      </c>
      <c r="Z548" s="14">
        <v>324.5</v>
      </c>
      <c r="AA548" s="14">
        <v>548.79999999999995</v>
      </c>
      <c r="AB548" s="14">
        <v>534.4</v>
      </c>
      <c r="AC548" s="14">
        <v>674</v>
      </c>
      <c r="AD548" s="14">
        <v>672.1</v>
      </c>
      <c r="AE548" s="14"/>
      <c r="AF548" s="14"/>
      <c r="AG548" s="14"/>
      <c r="AH548" s="14"/>
      <c r="AI548" s="14"/>
      <c r="AJ548" s="14"/>
      <c r="AK548" s="14">
        <v>0</v>
      </c>
      <c r="AL548" s="14">
        <v>230.7</v>
      </c>
      <c r="AM548" s="14">
        <v>213.2</v>
      </c>
      <c r="AN548" s="14">
        <v>186.3</v>
      </c>
      <c r="AO548" s="14">
        <v>188.5</v>
      </c>
      <c r="AP548" s="14">
        <v>306.8</v>
      </c>
      <c r="AQ548" s="14">
        <v>548.79999999999995</v>
      </c>
    </row>
    <row r="549" spans="2:43" x14ac:dyDescent="0.2">
      <c r="B549" t="s">
        <v>315</v>
      </c>
      <c r="L549" s="14">
        <v>28.7</v>
      </c>
      <c r="M549" s="14">
        <v>29.3</v>
      </c>
      <c r="N549" s="14">
        <v>29.7</v>
      </c>
      <c r="O549" s="14">
        <v>30.2</v>
      </c>
      <c r="P549" s="14">
        <v>31.3</v>
      </c>
      <c r="Q549" s="14">
        <v>32.799999999999997</v>
      </c>
      <c r="R549" s="14">
        <v>34.299999999999997</v>
      </c>
      <c r="S549" s="14">
        <v>35.1</v>
      </c>
      <c r="T549" s="14">
        <v>35.299999999999997</v>
      </c>
      <c r="U549" s="14">
        <v>36.6</v>
      </c>
      <c r="V549" s="14">
        <v>35.200000000000003</v>
      </c>
      <c r="W549" s="14">
        <v>36.1</v>
      </c>
      <c r="X549" s="14">
        <v>39.6</v>
      </c>
      <c r="Y549" s="14">
        <v>43.9</v>
      </c>
      <c r="Z549" s="14">
        <v>48.3</v>
      </c>
      <c r="AA549" s="14">
        <v>51.7</v>
      </c>
      <c r="AB549" s="14">
        <v>55.6</v>
      </c>
      <c r="AC549" s="14">
        <v>59</v>
      </c>
      <c r="AD549" s="14">
        <v>63.3</v>
      </c>
      <c r="AE549" s="14"/>
      <c r="AF549" s="14"/>
      <c r="AG549" s="14"/>
      <c r="AH549" s="14"/>
      <c r="AI549" s="14"/>
      <c r="AJ549" s="14"/>
      <c r="AK549" s="14">
        <v>0</v>
      </c>
      <c r="AL549" s="14">
        <v>36</v>
      </c>
      <c r="AM549" s="14">
        <v>26.4</v>
      </c>
      <c r="AN549" s="14">
        <v>30.2</v>
      </c>
      <c r="AO549" s="14">
        <v>35.1</v>
      </c>
      <c r="AP549" s="14">
        <v>36.1</v>
      </c>
      <c r="AQ549" s="14">
        <v>51.7</v>
      </c>
    </row>
    <row r="550" spans="2:43" x14ac:dyDescent="0.2">
      <c r="B550" t="s">
        <v>316</v>
      </c>
      <c r="L550" s="14">
        <v>0</v>
      </c>
      <c r="M550" s="14">
        <v>23.3</v>
      </c>
      <c r="N550" s="14">
        <v>32.700000000000003</v>
      </c>
      <c r="O550" s="14">
        <v>36.6</v>
      </c>
      <c r="P550" s="14">
        <v>41</v>
      </c>
      <c r="Q550" s="14">
        <v>47.2</v>
      </c>
      <c r="R550" s="14">
        <v>56.3</v>
      </c>
      <c r="S550" s="14">
        <v>58.4</v>
      </c>
      <c r="T550" s="14">
        <v>60</v>
      </c>
      <c r="U550" s="14">
        <v>65.2</v>
      </c>
      <c r="V550" s="14">
        <v>70.5</v>
      </c>
      <c r="W550" s="14">
        <v>80.7</v>
      </c>
      <c r="X550" s="14">
        <v>89.6</v>
      </c>
      <c r="Y550" s="14">
        <v>100.8</v>
      </c>
      <c r="Z550" s="14">
        <v>111.1</v>
      </c>
      <c r="AA550" s="14">
        <v>123.1</v>
      </c>
      <c r="AB550" s="14">
        <v>133</v>
      </c>
      <c r="AC550" s="14">
        <v>144.5</v>
      </c>
      <c r="AD550" s="14">
        <v>156.9</v>
      </c>
      <c r="AE550" s="14"/>
      <c r="AF550" s="14"/>
      <c r="AG550" s="14"/>
      <c r="AH550" s="14"/>
      <c r="AI550" s="14"/>
      <c r="AJ550" s="14"/>
      <c r="AK550" s="14">
        <v>0</v>
      </c>
      <c r="AL550" s="14">
        <v>0</v>
      </c>
      <c r="AM550" s="14">
        <v>0</v>
      </c>
      <c r="AN550" s="14">
        <v>36.6</v>
      </c>
      <c r="AO550" s="14">
        <v>58.4</v>
      </c>
      <c r="AP550" s="14">
        <v>80.7</v>
      </c>
      <c r="AQ550" s="14">
        <v>123.1</v>
      </c>
    </row>
    <row r="551" spans="2:43" x14ac:dyDescent="0.2">
      <c r="B551" t="s">
        <v>317</v>
      </c>
      <c r="L551" s="14">
        <v>15.4</v>
      </c>
      <c r="M551" s="14">
        <v>14.2</v>
      </c>
      <c r="N551" s="14">
        <v>14</v>
      </c>
      <c r="O551" s="14">
        <v>15.1</v>
      </c>
      <c r="P551" s="14">
        <v>14.5</v>
      </c>
      <c r="Q551" s="14">
        <v>17.5</v>
      </c>
      <c r="R551" s="14">
        <v>17.8</v>
      </c>
      <c r="S551" s="14">
        <v>18.399999999999999</v>
      </c>
      <c r="T551" s="14">
        <v>18.100000000000001</v>
      </c>
      <c r="U551" s="14">
        <v>17.7</v>
      </c>
      <c r="V551" s="14">
        <v>21.4</v>
      </c>
      <c r="W551" s="14">
        <v>22.3</v>
      </c>
      <c r="X551" s="14">
        <v>23.7</v>
      </c>
      <c r="Y551" s="14">
        <v>27</v>
      </c>
      <c r="Z551" s="14">
        <v>27.9</v>
      </c>
      <c r="AA551" s="14">
        <v>28.6</v>
      </c>
      <c r="AB551" s="14">
        <v>27.3</v>
      </c>
      <c r="AC551" s="14">
        <v>28.5</v>
      </c>
      <c r="AD551" s="14">
        <v>27.4</v>
      </c>
      <c r="AE551" s="14"/>
      <c r="AF551" s="14"/>
      <c r="AG551" s="14"/>
      <c r="AH551" s="14"/>
      <c r="AI551" s="14"/>
      <c r="AJ551" s="14"/>
      <c r="AK551" s="14">
        <v>0</v>
      </c>
      <c r="AL551" s="14">
        <v>8.6</v>
      </c>
      <c r="AM551" s="14">
        <v>15.4</v>
      </c>
      <c r="AN551" s="14">
        <v>15.1</v>
      </c>
      <c r="AO551" s="14">
        <v>18.399999999999999</v>
      </c>
      <c r="AP551" s="14">
        <v>22.3</v>
      </c>
      <c r="AQ551" s="14">
        <v>28.6</v>
      </c>
    </row>
    <row r="552" spans="2:43" x14ac:dyDescent="0.2">
      <c r="B552" t="s">
        <v>318</v>
      </c>
      <c r="L552" s="14">
        <v>0</v>
      </c>
      <c r="M552" s="14">
        <v>0</v>
      </c>
      <c r="N552" s="14">
        <v>0</v>
      </c>
      <c r="O552" s="14">
        <v>0</v>
      </c>
      <c r="P552" s="14">
        <v>0</v>
      </c>
      <c r="Q552" s="14">
        <v>0</v>
      </c>
      <c r="R552" s="14">
        <v>0</v>
      </c>
      <c r="S552" s="14">
        <v>0</v>
      </c>
      <c r="T552" s="14">
        <v>0</v>
      </c>
      <c r="U552" s="14">
        <v>0</v>
      </c>
      <c r="V552" s="14">
        <v>0</v>
      </c>
      <c r="W552" s="14">
        <v>303.89999999999998</v>
      </c>
      <c r="X552" s="14">
        <v>283</v>
      </c>
      <c r="Y552" s="14">
        <v>268.7</v>
      </c>
      <c r="Z552" s="14">
        <v>251.7</v>
      </c>
      <c r="AA552" s="14">
        <v>229.6</v>
      </c>
      <c r="AB552" s="14">
        <v>208.8</v>
      </c>
      <c r="AC552" s="14">
        <v>187.4</v>
      </c>
      <c r="AD552" s="14">
        <v>167.3</v>
      </c>
      <c r="AE552" s="14"/>
      <c r="AF552" s="14"/>
      <c r="AG552" s="14"/>
      <c r="AH552" s="14"/>
      <c r="AI552" s="14"/>
      <c r="AJ552" s="14"/>
      <c r="AK552" s="14">
        <v>0</v>
      </c>
      <c r="AL552" s="14">
        <v>0</v>
      </c>
      <c r="AM552" s="14">
        <v>0</v>
      </c>
      <c r="AN552" s="14">
        <v>0</v>
      </c>
      <c r="AO552" s="14">
        <v>0</v>
      </c>
      <c r="AP552" s="14">
        <v>303.89999999999998</v>
      </c>
      <c r="AQ552" s="14">
        <v>229.6</v>
      </c>
    </row>
    <row r="553" spans="2:43" x14ac:dyDescent="0.2">
      <c r="B553" t="s">
        <v>319</v>
      </c>
      <c r="L553" s="14">
        <v>0</v>
      </c>
      <c r="M553" s="14">
        <v>0</v>
      </c>
      <c r="N553" s="14">
        <v>0</v>
      </c>
      <c r="O553" s="14">
        <v>0</v>
      </c>
      <c r="P553" s="14">
        <v>0</v>
      </c>
      <c r="Q553" s="14">
        <v>0</v>
      </c>
      <c r="R553" s="14">
        <v>0</v>
      </c>
      <c r="S553" s="14">
        <v>18.5</v>
      </c>
      <c r="T553" s="14">
        <v>17</v>
      </c>
      <c r="U553" s="14">
        <v>16.2</v>
      </c>
      <c r="V553" s="14">
        <v>16.7</v>
      </c>
      <c r="W553" s="14">
        <v>19.5</v>
      </c>
      <c r="X553" s="14">
        <v>20.6</v>
      </c>
      <c r="Y553" s="14">
        <v>20.7</v>
      </c>
      <c r="Z553" s="14">
        <v>21.5</v>
      </c>
      <c r="AA553" s="14">
        <v>22.8</v>
      </c>
      <c r="AB553" s="14">
        <v>20.9</v>
      </c>
      <c r="AC553" s="14">
        <v>29.7</v>
      </c>
      <c r="AD553" s="14">
        <v>30.6</v>
      </c>
      <c r="AE553" s="14"/>
      <c r="AF553" s="14"/>
      <c r="AG553" s="14"/>
      <c r="AH553" s="14"/>
      <c r="AI553" s="14"/>
      <c r="AJ553" s="14"/>
      <c r="AK553" s="14">
        <v>0</v>
      </c>
      <c r="AL553" s="14">
        <v>0</v>
      </c>
      <c r="AM553" s="14">
        <v>0</v>
      </c>
      <c r="AN553" s="14">
        <v>0</v>
      </c>
      <c r="AO553" s="14">
        <v>18.5</v>
      </c>
      <c r="AP553" s="14">
        <v>19.5</v>
      </c>
      <c r="AQ553" s="14">
        <v>22.8</v>
      </c>
    </row>
    <row r="554" spans="2:43" x14ac:dyDescent="0.2">
      <c r="B554" t="s">
        <v>320</v>
      </c>
      <c r="L554" s="14">
        <v>0</v>
      </c>
      <c r="M554" s="14">
        <v>0</v>
      </c>
      <c r="N554" s="14">
        <v>0</v>
      </c>
      <c r="O554" s="14">
        <v>0</v>
      </c>
      <c r="P554" s="14">
        <v>16</v>
      </c>
      <c r="Q554" s="14">
        <v>29.5</v>
      </c>
      <c r="R554" s="14">
        <v>29.5</v>
      </c>
      <c r="S554" s="14">
        <v>30.5</v>
      </c>
      <c r="T554" s="14">
        <v>32</v>
      </c>
      <c r="U554" s="14">
        <v>32</v>
      </c>
      <c r="V554" s="14">
        <v>32</v>
      </c>
      <c r="W554" s="14">
        <v>47.1</v>
      </c>
      <c r="X554" s="14">
        <v>56</v>
      </c>
      <c r="Y554" s="14">
        <v>56</v>
      </c>
      <c r="Z554" s="14">
        <v>58.6</v>
      </c>
      <c r="AA554" s="14">
        <v>62.2</v>
      </c>
      <c r="AB554" s="14">
        <v>73.099999999999994</v>
      </c>
      <c r="AC554" s="14">
        <v>72.900000000000006</v>
      </c>
      <c r="AD554" s="14">
        <v>78.900000000000006</v>
      </c>
      <c r="AE554" s="14"/>
      <c r="AF554" s="14"/>
      <c r="AG554" s="14"/>
      <c r="AH554" s="14"/>
      <c r="AI554" s="14"/>
      <c r="AJ554" s="14"/>
      <c r="AK554" s="14">
        <v>0</v>
      </c>
      <c r="AL554" s="14">
        <v>0</v>
      </c>
      <c r="AM554" s="14">
        <v>0</v>
      </c>
      <c r="AN554" s="14">
        <v>0</v>
      </c>
      <c r="AO554" s="14">
        <v>30.5</v>
      </c>
      <c r="AP554" s="14">
        <v>47.1</v>
      </c>
      <c r="AQ554" s="14">
        <v>62.2</v>
      </c>
    </row>
    <row r="555" spans="2:43" x14ac:dyDescent="0.2">
      <c r="B555" t="s">
        <v>321</v>
      </c>
      <c r="L555" s="14">
        <v>0</v>
      </c>
      <c r="M555" s="14">
        <v>0</v>
      </c>
      <c r="N555" s="14">
        <v>0</v>
      </c>
      <c r="O555" s="14">
        <v>0</v>
      </c>
      <c r="P555" s="14">
        <v>0</v>
      </c>
      <c r="Q555" s="14">
        <v>0</v>
      </c>
      <c r="R555" s="14">
        <v>1.5</v>
      </c>
      <c r="S555" s="14">
        <v>0</v>
      </c>
      <c r="T555" s="14">
        <v>0</v>
      </c>
      <c r="U555" s="14">
        <v>0</v>
      </c>
      <c r="V555" s="14">
        <v>0</v>
      </c>
      <c r="W555" s="14">
        <v>0</v>
      </c>
      <c r="X555" s="14">
        <v>0</v>
      </c>
      <c r="Y555" s="14">
        <v>0</v>
      </c>
      <c r="Z555" s="14">
        <v>0</v>
      </c>
      <c r="AA555" s="14">
        <v>0</v>
      </c>
      <c r="AB555" s="14">
        <v>0</v>
      </c>
      <c r="AC555" s="14">
        <v>0</v>
      </c>
      <c r="AD555" s="14">
        <v>370.9</v>
      </c>
      <c r="AE555" s="14"/>
      <c r="AF555" s="14"/>
      <c r="AG555" s="14"/>
      <c r="AH555" s="14"/>
      <c r="AI555" s="14"/>
      <c r="AJ555" s="14"/>
      <c r="AK555" s="14">
        <v>0</v>
      </c>
      <c r="AL555" s="14">
        <v>0</v>
      </c>
      <c r="AM555" s="14">
        <v>0</v>
      </c>
      <c r="AN555" s="14">
        <v>0</v>
      </c>
      <c r="AO555" s="14">
        <v>0</v>
      </c>
      <c r="AP555" s="14">
        <v>0</v>
      </c>
      <c r="AQ555" s="14">
        <v>0</v>
      </c>
    </row>
    <row r="556" spans="2:43" x14ac:dyDescent="0.2">
      <c r="B556" t="s">
        <v>322</v>
      </c>
      <c r="L556" s="14">
        <v>0</v>
      </c>
      <c r="M556" s="14">
        <v>0</v>
      </c>
      <c r="N556" s="14">
        <v>0</v>
      </c>
      <c r="O556" s="14">
        <v>0</v>
      </c>
      <c r="P556" s="14">
        <v>0</v>
      </c>
      <c r="Q556" s="14">
        <v>0</v>
      </c>
      <c r="R556" s="14">
        <v>0</v>
      </c>
      <c r="S556" s="14">
        <v>0</v>
      </c>
      <c r="T556" s="14">
        <v>0</v>
      </c>
      <c r="U556" s="14">
        <v>0</v>
      </c>
      <c r="V556" s="14">
        <v>0</v>
      </c>
      <c r="W556" s="14">
        <v>0</v>
      </c>
      <c r="X556" s="14">
        <v>0</v>
      </c>
      <c r="Y556" s="14">
        <v>0</v>
      </c>
      <c r="Z556" s="14">
        <v>0</v>
      </c>
      <c r="AA556" s="14">
        <v>37.700000000000003</v>
      </c>
      <c r="AB556" s="14">
        <v>37.5</v>
      </c>
      <c r="AC556" s="14">
        <v>37.5</v>
      </c>
      <c r="AD556" s="14">
        <v>39.1</v>
      </c>
      <c r="AE556" s="14"/>
      <c r="AF556" s="14"/>
      <c r="AG556" s="14"/>
      <c r="AH556" s="14"/>
      <c r="AI556" s="14"/>
      <c r="AJ556" s="14"/>
      <c r="AK556" s="14">
        <v>0</v>
      </c>
      <c r="AL556" s="14">
        <v>0</v>
      </c>
      <c r="AM556" s="14">
        <v>0</v>
      </c>
      <c r="AN556" s="14">
        <v>0</v>
      </c>
      <c r="AO556" s="14">
        <v>0</v>
      </c>
      <c r="AP556" s="14">
        <v>0</v>
      </c>
      <c r="AQ556" s="14">
        <v>37.700000000000003</v>
      </c>
    </row>
    <row r="557" spans="2:43" x14ac:dyDescent="0.2">
      <c r="B557" t="s">
        <v>323</v>
      </c>
      <c r="L557" s="14">
        <v>3.5</v>
      </c>
      <c r="M557" s="14">
        <v>0</v>
      </c>
      <c r="N557" s="14">
        <v>0</v>
      </c>
      <c r="O557" s="14">
        <v>0</v>
      </c>
      <c r="P557" s="14">
        <v>0</v>
      </c>
      <c r="Q557" s="14">
        <v>0</v>
      </c>
      <c r="R557" s="14">
        <v>0</v>
      </c>
      <c r="S557" s="14">
        <v>0</v>
      </c>
      <c r="T557" s="14">
        <v>0</v>
      </c>
      <c r="U557" s="14">
        <v>0</v>
      </c>
      <c r="V557" s="14">
        <v>0</v>
      </c>
      <c r="W557" s="14">
        <v>0</v>
      </c>
      <c r="X557" s="14">
        <v>0</v>
      </c>
      <c r="Y557" s="14">
        <v>0</v>
      </c>
      <c r="Z557" s="14">
        <v>0</v>
      </c>
      <c r="AA557" s="14">
        <v>0</v>
      </c>
      <c r="AB557" s="14">
        <v>0</v>
      </c>
      <c r="AC557" s="14">
        <v>0</v>
      </c>
      <c r="AD557" s="14">
        <v>0</v>
      </c>
      <c r="AE557" s="14"/>
      <c r="AF557" s="14"/>
      <c r="AG557" s="14"/>
      <c r="AH557" s="14"/>
      <c r="AI557" s="14"/>
      <c r="AJ557" s="14"/>
      <c r="AK557" s="14">
        <v>0</v>
      </c>
      <c r="AL557" s="14">
        <v>0</v>
      </c>
      <c r="AM557" s="14">
        <v>3.9</v>
      </c>
      <c r="AN557" s="14">
        <v>0</v>
      </c>
      <c r="AO557" s="14">
        <v>0</v>
      </c>
      <c r="AP557" s="14">
        <v>0</v>
      </c>
      <c r="AQ557" s="14">
        <v>0</v>
      </c>
    </row>
    <row r="558" spans="2:43" ht="13.5" x14ac:dyDescent="0.35">
      <c r="B558" t="s">
        <v>324</v>
      </c>
      <c r="L558" s="15">
        <v>2.5</v>
      </c>
      <c r="M558" s="15">
        <v>1.3</v>
      </c>
      <c r="N558" s="15">
        <v>0.5</v>
      </c>
      <c r="O558" s="15">
        <v>0.6</v>
      </c>
      <c r="P558" s="15">
        <v>0.6</v>
      </c>
      <c r="Q558" s="15">
        <v>0.5</v>
      </c>
      <c r="R558" s="15">
        <v>2.1</v>
      </c>
      <c r="S558" s="15">
        <v>1.9</v>
      </c>
      <c r="T558" s="15">
        <v>1.6</v>
      </c>
      <c r="U558" s="15">
        <v>1.9</v>
      </c>
      <c r="V558" s="15">
        <v>10.199999999999999</v>
      </c>
      <c r="W558" s="15">
        <v>10.9</v>
      </c>
      <c r="X558" s="15">
        <v>10.4</v>
      </c>
      <c r="Y558" s="15">
        <v>10.7</v>
      </c>
      <c r="Z558" s="15">
        <v>12.3</v>
      </c>
      <c r="AA558" s="15">
        <v>18.7</v>
      </c>
      <c r="AB558" s="15">
        <v>19</v>
      </c>
      <c r="AC558" s="15">
        <v>33.1</v>
      </c>
      <c r="AD558" s="15">
        <v>23.8</v>
      </c>
      <c r="AE558" s="15"/>
      <c r="AF558" s="15"/>
      <c r="AG558" s="15"/>
      <c r="AH558" s="15"/>
      <c r="AI558" s="15"/>
      <c r="AJ558" s="15"/>
      <c r="AK558" s="15">
        <v>0</v>
      </c>
      <c r="AL558" s="15">
        <v>1.4</v>
      </c>
      <c r="AM558" s="15">
        <v>1.4</v>
      </c>
      <c r="AN558" s="15">
        <v>0.6</v>
      </c>
      <c r="AO558" s="15">
        <v>1.9</v>
      </c>
      <c r="AP558" s="15">
        <v>10.9</v>
      </c>
      <c r="AQ558" s="15">
        <v>18.7</v>
      </c>
    </row>
    <row r="559" spans="2:43" x14ac:dyDescent="0.2">
      <c r="B559" s="11" t="s">
        <v>325</v>
      </c>
      <c r="L559" s="17">
        <f>SUM(L547:L558)</f>
        <v>674.80000000000007</v>
      </c>
      <c r="M559" s="17">
        <f t="shared" ref="M559:AC559" si="2009">SUM(M547:M558)</f>
        <v>682.3</v>
      </c>
      <c r="N559" s="17">
        <f t="shared" si="2009"/>
        <v>681.90000000000009</v>
      </c>
      <c r="O559" s="17">
        <f t="shared" si="2009"/>
        <v>745.80000000000007</v>
      </c>
      <c r="P559" s="17">
        <f t="shared" si="2009"/>
        <v>822.4</v>
      </c>
      <c r="Q559" s="17">
        <f t="shared" si="2009"/>
        <v>837.80000000000007</v>
      </c>
      <c r="R559" s="17">
        <f t="shared" si="2009"/>
        <v>867.4</v>
      </c>
      <c r="S559" s="17">
        <f t="shared" si="2009"/>
        <v>889</v>
      </c>
      <c r="T559" s="17">
        <f t="shared" si="2009"/>
        <v>1004</v>
      </c>
      <c r="U559" s="17">
        <f t="shared" si="2009"/>
        <v>1015.7000000000002</v>
      </c>
      <c r="V559" s="17">
        <f t="shared" si="2009"/>
        <v>1525.0000000000002</v>
      </c>
      <c r="W559" s="17">
        <f t="shared" si="2009"/>
        <v>1562.2999999999997</v>
      </c>
      <c r="X559" s="17">
        <f t="shared" si="2009"/>
        <v>1565.8999999999999</v>
      </c>
      <c r="Y559" s="17">
        <f t="shared" si="2009"/>
        <v>1617.3000000000002</v>
      </c>
      <c r="Z559" s="17">
        <f t="shared" si="2009"/>
        <v>1611.3</v>
      </c>
      <c r="AA559" s="17">
        <f t="shared" si="2009"/>
        <v>2234.4999999999995</v>
      </c>
      <c r="AB559" s="17">
        <f t="shared" si="2009"/>
        <v>2217</v>
      </c>
      <c r="AC559" s="17">
        <f t="shared" si="2009"/>
        <v>2566.5</v>
      </c>
      <c r="AD559" s="17">
        <f t="shared" ref="AD559" si="2010">SUM(AD547:AD558)</f>
        <v>2954.3000000000006</v>
      </c>
      <c r="AE559" s="14"/>
      <c r="AF559" s="14"/>
      <c r="AG559" s="14"/>
      <c r="AH559" s="14"/>
      <c r="AI559" s="14"/>
      <c r="AJ559" s="14"/>
      <c r="AK559" s="14">
        <v>0</v>
      </c>
      <c r="AL559" s="17">
        <f t="shared" ref="AL559" si="2011">SUM(AL547:AL558)</f>
        <v>668.5</v>
      </c>
      <c r="AM559" s="17">
        <f t="shared" ref="AM559" si="2012">SUM(AM547:AM558)</f>
        <v>681.59999999999991</v>
      </c>
      <c r="AN559" s="17">
        <f t="shared" ref="AN559" si="2013">SUM(AN547:AN558)</f>
        <v>745.80000000000007</v>
      </c>
      <c r="AO559" s="17">
        <f t="shared" ref="AO559" si="2014">SUM(AO547:AO558)</f>
        <v>889</v>
      </c>
      <c r="AP559" s="17">
        <f t="shared" ref="AP559" si="2015">SUM(AP547:AP558)</f>
        <v>1562.2999999999997</v>
      </c>
      <c r="AQ559" s="17">
        <f t="shared" ref="AQ559" si="2016">SUM(AQ547:AQ558)</f>
        <v>2234.4999999999995</v>
      </c>
    </row>
    <row r="560" spans="2:43" x14ac:dyDescent="0.2">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row>
    <row r="561" spans="2:43" s="1" customFormat="1" x14ac:dyDescent="0.2">
      <c r="B561" s="1" t="s">
        <v>326</v>
      </c>
      <c r="L561" s="34">
        <f>+L545+L559</f>
        <v>840.80000000000007</v>
      </c>
      <c r="M561" s="34">
        <f t="shared" ref="M561:AC561" si="2017">+M545+M559</f>
        <v>1014.3</v>
      </c>
      <c r="N561" s="34">
        <f t="shared" si="2017"/>
        <v>1115.6000000000001</v>
      </c>
      <c r="O561" s="34">
        <f t="shared" si="2017"/>
        <v>1779.3000000000002</v>
      </c>
      <c r="P561" s="34">
        <f t="shared" si="2017"/>
        <v>1808.6</v>
      </c>
      <c r="Q561" s="34">
        <f t="shared" si="2017"/>
        <v>1731.1000000000001</v>
      </c>
      <c r="R561" s="34">
        <f t="shared" si="2017"/>
        <v>2355.1</v>
      </c>
      <c r="S561" s="34">
        <f t="shared" si="2017"/>
        <v>2342.6000000000004</v>
      </c>
      <c r="T561" s="34">
        <f t="shared" si="2017"/>
        <v>2432.1000000000004</v>
      </c>
      <c r="U561" s="34">
        <f t="shared" si="2017"/>
        <v>2299.6</v>
      </c>
      <c r="V561" s="34">
        <f t="shared" si="2017"/>
        <v>2485.7000000000003</v>
      </c>
      <c r="W561" s="34">
        <f t="shared" si="2017"/>
        <v>2553.9999999999995</v>
      </c>
      <c r="X561" s="34">
        <f t="shared" si="2017"/>
        <v>2614.8999999999996</v>
      </c>
      <c r="Y561" s="34">
        <f t="shared" si="2017"/>
        <v>2590.6000000000004</v>
      </c>
      <c r="Z561" s="34">
        <f t="shared" si="2017"/>
        <v>2649.8999999999996</v>
      </c>
      <c r="AA561" s="34">
        <f t="shared" si="2017"/>
        <v>3387.7999999999993</v>
      </c>
      <c r="AB561" s="34">
        <f t="shared" si="2017"/>
        <v>3407.8</v>
      </c>
      <c r="AC561" s="34">
        <f t="shared" si="2017"/>
        <v>3494.2000000000003</v>
      </c>
      <c r="AD561" s="34">
        <f t="shared" ref="AD561" si="2018">+AD545+AD559</f>
        <v>5048.9000000000005</v>
      </c>
      <c r="AE561" s="33"/>
      <c r="AF561" s="33"/>
      <c r="AG561" s="33"/>
      <c r="AH561" s="33"/>
      <c r="AI561" s="33"/>
      <c r="AJ561" s="33"/>
      <c r="AK561" s="33">
        <v>0</v>
      </c>
      <c r="AL561" s="34">
        <f t="shared" ref="AL561:AQ561" si="2019">+AL545+AL559</f>
        <v>738.7</v>
      </c>
      <c r="AM561" s="34">
        <f t="shared" si="2019"/>
        <v>787.99999999999989</v>
      </c>
      <c r="AN561" s="34">
        <f t="shared" si="2019"/>
        <v>1779.3000000000002</v>
      </c>
      <c r="AO561" s="34">
        <f t="shared" si="2019"/>
        <v>2342.6000000000004</v>
      </c>
      <c r="AP561" s="34">
        <f t="shared" si="2019"/>
        <v>2553.9999999999995</v>
      </c>
      <c r="AQ561" s="34">
        <f t="shared" si="2019"/>
        <v>3387.7999999999993</v>
      </c>
    </row>
    <row r="562" spans="2:43" x14ac:dyDescent="0.2">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row>
    <row r="563" spans="2:43" x14ac:dyDescent="0.2">
      <c r="B563" s="1" t="s">
        <v>346</v>
      </c>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row>
    <row r="564" spans="2:43" x14ac:dyDescent="0.2">
      <c r="B564" t="s">
        <v>327</v>
      </c>
      <c r="L564" s="14">
        <v>5.2</v>
      </c>
      <c r="M564" s="14">
        <v>2.6</v>
      </c>
      <c r="N564" s="14">
        <v>1.8</v>
      </c>
      <c r="O564" s="14">
        <v>0.9</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c r="AF564" s="14"/>
      <c r="AG564" s="14"/>
      <c r="AH564" s="14"/>
      <c r="AI564" s="14"/>
      <c r="AJ564" s="14"/>
      <c r="AK564" s="14">
        <v>0</v>
      </c>
      <c r="AL564" s="14">
        <v>4.8</v>
      </c>
      <c r="AM564" s="14">
        <v>5.3</v>
      </c>
      <c r="AN564" s="14">
        <v>0.9</v>
      </c>
      <c r="AO564" s="14">
        <v>0</v>
      </c>
      <c r="AP564" s="14">
        <v>0</v>
      </c>
      <c r="AQ564" s="14">
        <v>0</v>
      </c>
    </row>
    <row r="565" spans="2:43" x14ac:dyDescent="0.2">
      <c r="B565" t="s">
        <v>328</v>
      </c>
      <c r="L565" s="14">
        <v>0</v>
      </c>
      <c r="M565" s="14">
        <v>0</v>
      </c>
      <c r="N565" s="14">
        <v>0</v>
      </c>
      <c r="O565" s="14">
        <v>0</v>
      </c>
      <c r="P565" s="14">
        <v>0</v>
      </c>
      <c r="Q565" s="14">
        <v>0</v>
      </c>
      <c r="R565" s="14">
        <v>0</v>
      </c>
      <c r="S565" s="14">
        <v>0</v>
      </c>
      <c r="T565" s="14">
        <v>0</v>
      </c>
      <c r="U565" s="14">
        <v>0</v>
      </c>
      <c r="V565" s="14">
        <v>0</v>
      </c>
      <c r="W565" s="14">
        <v>0</v>
      </c>
      <c r="X565" s="14">
        <v>0</v>
      </c>
      <c r="Y565" s="14">
        <v>0</v>
      </c>
      <c r="Z565" s="14">
        <v>0</v>
      </c>
      <c r="AA565" s="14">
        <v>72.3</v>
      </c>
      <c r="AB565" s="14">
        <v>50.5</v>
      </c>
      <c r="AC565" s="14">
        <v>0</v>
      </c>
      <c r="AD565" s="14">
        <v>0</v>
      </c>
      <c r="AE565" s="14"/>
      <c r="AF565" s="14"/>
      <c r="AG565" s="14"/>
      <c r="AH565" s="14"/>
      <c r="AI565" s="14"/>
      <c r="AJ565" s="14"/>
      <c r="AK565" s="14">
        <v>0</v>
      </c>
      <c r="AL565" s="14">
        <v>0</v>
      </c>
      <c r="AM565" s="14">
        <v>0</v>
      </c>
      <c r="AN565" s="14">
        <v>0</v>
      </c>
      <c r="AO565" s="14">
        <v>0</v>
      </c>
      <c r="AP565" s="14">
        <v>0</v>
      </c>
      <c r="AQ565" s="14">
        <v>72.3</v>
      </c>
    </row>
    <row r="566" spans="2:43" x14ac:dyDescent="0.2">
      <c r="B566" t="s">
        <v>329</v>
      </c>
      <c r="L566" s="14">
        <v>0</v>
      </c>
      <c r="M566" s="14">
        <v>0</v>
      </c>
      <c r="N566" s="14">
        <v>0</v>
      </c>
      <c r="O566" s="14">
        <v>0</v>
      </c>
      <c r="P566" s="14">
        <v>0</v>
      </c>
      <c r="Q566" s="14">
        <v>0</v>
      </c>
      <c r="R566" s="14">
        <v>0</v>
      </c>
      <c r="S566" s="14">
        <v>0</v>
      </c>
      <c r="T566" s="14">
        <v>0</v>
      </c>
      <c r="U566" s="14">
        <v>0</v>
      </c>
      <c r="V566" s="14">
        <v>0</v>
      </c>
      <c r="W566" s="14">
        <v>0</v>
      </c>
      <c r="X566" s="14">
        <v>0</v>
      </c>
      <c r="Y566" s="14">
        <v>0</v>
      </c>
      <c r="Z566" s="14">
        <v>0</v>
      </c>
      <c r="AA566" s="14">
        <v>315.2</v>
      </c>
      <c r="AB566" s="14">
        <v>308.7</v>
      </c>
      <c r="AC566" s="14">
        <v>274.39999999999998</v>
      </c>
      <c r="AD566" s="14">
        <v>278.3</v>
      </c>
      <c r="AE566" s="14"/>
      <c r="AF566" s="14"/>
      <c r="AG566" s="14"/>
      <c r="AH566" s="14"/>
      <c r="AI566" s="14"/>
      <c r="AJ566" s="14"/>
      <c r="AK566" s="14">
        <v>0</v>
      </c>
      <c r="AL566" s="14">
        <v>0</v>
      </c>
      <c r="AM566" s="14">
        <v>0</v>
      </c>
      <c r="AN566" s="14">
        <v>0</v>
      </c>
      <c r="AO566" s="14">
        <v>0</v>
      </c>
      <c r="AP566" s="14">
        <v>0</v>
      </c>
      <c r="AQ566" s="14">
        <v>315.2</v>
      </c>
    </row>
    <row r="567" spans="2:43" x14ac:dyDescent="0.2">
      <c r="B567" t="s">
        <v>100</v>
      </c>
      <c r="L567" s="14">
        <v>55.4</v>
      </c>
      <c r="M567" s="14">
        <v>64.8</v>
      </c>
      <c r="N567" s="14">
        <v>76.7</v>
      </c>
      <c r="O567" s="14">
        <v>60.6</v>
      </c>
      <c r="P567" s="14">
        <v>87.5</v>
      </c>
      <c r="Q567" s="14">
        <v>116.4</v>
      </c>
      <c r="R567" s="14">
        <v>125.8</v>
      </c>
      <c r="S567" s="14">
        <v>121.1</v>
      </c>
      <c r="T567" s="14">
        <v>137.30000000000001</v>
      </c>
      <c r="U567" s="14">
        <v>155.19999999999999</v>
      </c>
      <c r="V567" s="14">
        <v>177.1</v>
      </c>
      <c r="W567" s="14">
        <v>166.7</v>
      </c>
      <c r="X567" s="14">
        <v>173.8</v>
      </c>
      <c r="Y567" s="14">
        <v>189.3</v>
      </c>
      <c r="Z567" s="14">
        <v>181.3</v>
      </c>
      <c r="AA567" s="14">
        <v>204.6</v>
      </c>
      <c r="AB567" s="14">
        <v>224.4</v>
      </c>
      <c r="AC567" s="14">
        <v>263.89999999999998</v>
      </c>
      <c r="AD567" s="14">
        <v>252</v>
      </c>
      <c r="AE567" s="14"/>
      <c r="AF567" s="14"/>
      <c r="AG567" s="14"/>
      <c r="AH567" s="14"/>
      <c r="AI567" s="14"/>
      <c r="AJ567" s="14"/>
      <c r="AK567" s="14">
        <v>0</v>
      </c>
      <c r="AL567" s="14">
        <v>44.2</v>
      </c>
      <c r="AM567" s="14">
        <v>58.1</v>
      </c>
      <c r="AN567" s="14">
        <v>60.6</v>
      </c>
      <c r="AO567" s="14">
        <v>121.1</v>
      </c>
      <c r="AP567" s="14">
        <v>166.7</v>
      </c>
      <c r="AQ567" s="14">
        <v>204.6</v>
      </c>
    </row>
    <row r="568" spans="2:43" x14ac:dyDescent="0.2">
      <c r="B568" t="s">
        <v>330</v>
      </c>
      <c r="L568" s="14">
        <v>0</v>
      </c>
      <c r="M568" s="14">
        <v>0</v>
      </c>
      <c r="N568" s="14">
        <v>0</v>
      </c>
      <c r="O568" s="14">
        <v>0</v>
      </c>
      <c r="P568" s="14">
        <v>0</v>
      </c>
      <c r="Q568" s="14">
        <v>0</v>
      </c>
      <c r="R568" s="14">
        <v>0</v>
      </c>
      <c r="S568" s="14">
        <v>4.8</v>
      </c>
      <c r="T568" s="14">
        <v>4.4000000000000004</v>
      </c>
      <c r="U568" s="14">
        <v>4.0999999999999996</v>
      </c>
      <c r="V568" s="14">
        <v>4.5999999999999996</v>
      </c>
      <c r="W568" s="14">
        <v>5.3</v>
      </c>
      <c r="X568" s="14">
        <v>5.8</v>
      </c>
      <c r="Y568" s="14">
        <v>6.1</v>
      </c>
      <c r="Z568" s="14">
        <v>6.7</v>
      </c>
      <c r="AA568" s="14">
        <v>7.8</v>
      </c>
      <c r="AB568" s="14">
        <v>7.4</v>
      </c>
      <c r="AC568" s="14">
        <v>8.9</v>
      </c>
      <c r="AD568" s="14">
        <v>8.6999999999999993</v>
      </c>
      <c r="AE568" s="14"/>
      <c r="AF568" s="14"/>
      <c r="AG568" s="14"/>
      <c r="AH568" s="14"/>
      <c r="AI568" s="14"/>
      <c r="AJ568" s="14"/>
      <c r="AK568" s="14">
        <v>0</v>
      </c>
      <c r="AL568" s="14">
        <v>0</v>
      </c>
      <c r="AM568" s="14">
        <v>0</v>
      </c>
      <c r="AN568" s="14">
        <v>0</v>
      </c>
      <c r="AO568" s="14">
        <v>4.8</v>
      </c>
      <c r="AP568" s="14">
        <v>5.3</v>
      </c>
      <c r="AQ568" s="14">
        <v>7.8</v>
      </c>
    </row>
    <row r="569" spans="2:43" x14ac:dyDescent="0.2">
      <c r="B569" t="s">
        <v>101</v>
      </c>
      <c r="L569" s="14">
        <v>50.9</v>
      </c>
      <c r="M569" s="14">
        <v>24.4</v>
      </c>
      <c r="N569" s="14">
        <v>26.5</v>
      </c>
      <c r="O569" s="14">
        <v>30.1</v>
      </c>
      <c r="P569" s="14">
        <v>37</v>
      </c>
      <c r="Q569" s="14">
        <v>36.200000000000003</v>
      </c>
      <c r="R569" s="14">
        <v>37.4</v>
      </c>
      <c r="S569" s="14">
        <v>42.9</v>
      </c>
      <c r="T569" s="14">
        <v>95.2</v>
      </c>
      <c r="U569" s="14">
        <v>97.3</v>
      </c>
      <c r="V569" s="14">
        <v>86.6</v>
      </c>
      <c r="W569" s="14">
        <v>80</v>
      </c>
      <c r="X569" s="14">
        <v>82.5</v>
      </c>
      <c r="Y569" s="14">
        <v>89.2</v>
      </c>
      <c r="Z569" s="14">
        <v>110.1</v>
      </c>
      <c r="AA569" s="14">
        <v>83.9</v>
      </c>
      <c r="AB569" s="14">
        <v>94.6</v>
      </c>
      <c r="AC569" s="14">
        <v>120.5</v>
      </c>
      <c r="AD569" s="14">
        <v>138.1</v>
      </c>
      <c r="AE569" s="14"/>
      <c r="AF569" s="14"/>
      <c r="AG569" s="14"/>
      <c r="AH569" s="14"/>
      <c r="AI569" s="14"/>
      <c r="AJ569" s="14"/>
      <c r="AK569" s="14">
        <v>0</v>
      </c>
      <c r="AL569" s="14">
        <v>44.2</v>
      </c>
      <c r="AM569" s="14">
        <v>60.9</v>
      </c>
      <c r="AN569" s="14">
        <v>30.1</v>
      </c>
      <c r="AO569" s="14">
        <v>42.9</v>
      </c>
      <c r="AP569" s="14">
        <v>80</v>
      </c>
      <c r="AQ569" s="14">
        <v>83.9</v>
      </c>
    </row>
    <row r="570" spans="2:43" x14ac:dyDescent="0.2">
      <c r="B570" t="s">
        <v>440</v>
      </c>
      <c r="L570" s="14">
        <v>0</v>
      </c>
      <c r="M570" s="14">
        <v>0</v>
      </c>
      <c r="N570" s="14">
        <v>0</v>
      </c>
      <c r="O570" s="14">
        <v>0</v>
      </c>
      <c r="P570" s="14">
        <v>0</v>
      </c>
      <c r="Q570" s="14">
        <v>0</v>
      </c>
      <c r="R570" s="14">
        <v>0</v>
      </c>
      <c r="S570" s="14">
        <v>0</v>
      </c>
      <c r="T570" s="14">
        <v>0</v>
      </c>
      <c r="U570" s="14">
        <v>0</v>
      </c>
      <c r="V570" s="14">
        <v>0</v>
      </c>
      <c r="W570" s="14">
        <v>0</v>
      </c>
      <c r="X570" s="14">
        <v>0</v>
      </c>
      <c r="Y570" s="14">
        <v>0</v>
      </c>
      <c r="Z570" s="14">
        <v>0</v>
      </c>
      <c r="AA570" s="14">
        <v>0</v>
      </c>
      <c r="AB570" s="14">
        <v>0</v>
      </c>
      <c r="AC570" s="14">
        <v>0</v>
      </c>
      <c r="AD570" s="14">
        <v>4.2</v>
      </c>
      <c r="AE570" s="14"/>
      <c r="AF570" s="14"/>
      <c r="AG570" s="14"/>
      <c r="AH570" s="14"/>
      <c r="AI570" s="14"/>
      <c r="AJ570" s="14"/>
      <c r="AK570" s="14">
        <v>0</v>
      </c>
      <c r="AL570" s="14">
        <v>0</v>
      </c>
      <c r="AM570" s="14">
        <v>0</v>
      </c>
      <c r="AN570" s="14">
        <v>0</v>
      </c>
      <c r="AO570" s="14">
        <v>0</v>
      </c>
      <c r="AP570" s="14">
        <v>0</v>
      </c>
      <c r="AQ570" s="14">
        <v>0</v>
      </c>
    </row>
    <row r="571" spans="2:43" ht="13.5" x14ac:dyDescent="0.35">
      <c r="B571" t="s">
        <v>103</v>
      </c>
      <c r="L571" s="15">
        <v>10.3</v>
      </c>
      <c r="M571" s="15">
        <v>8.1999999999999993</v>
      </c>
      <c r="N571" s="15">
        <v>8.1</v>
      </c>
      <c r="O571" s="15">
        <v>7.8</v>
      </c>
      <c r="P571" s="15">
        <v>14.5</v>
      </c>
      <c r="Q571" s="15">
        <v>12</v>
      </c>
      <c r="R571" s="15">
        <v>16.8</v>
      </c>
      <c r="S571" s="15">
        <v>15</v>
      </c>
      <c r="T571" s="15">
        <v>21.9</v>
      </c>
      <c r="U571" s="15">
        <v>18.7</v>
      </c>
      <c r="V571" s="15">
        <v>20.3</v>
      </c>
      <c r="W571" s="15">
        <v>16.3</v>
      </c>
      <c r="X571" s="15">
        <v>21</v>
      </c>
      <c r="Y571" s="15">
        <v>15.8</v>
      </c>
      <c r="Z571" s="15">
        <v>14.9</v>
      </c>
      <c r="AA571" s="15">
        <v>20.6</v>
      </c>
      <c r="AB571" s="15">
        <v>14.7</v>
      </c>
      <c r="AC571" s="15">
        <v>18.600000000000001</v>
      </c>
      <c r="AD571" s="15">
        <v>22.1</v>
      </c>
      <c r="AE571" s="15"/>
      <c r="AF571" s="15"/>
      <c r="AG571" s="15"/>
      <c r="AH571" s="15"/>
      <c r="AI571" s="15"/>
      <c r="AJ571" s="15"/>
      <c r="AK571" s="15">
        <v>0</v>
      </c>
      <c r="AL571" s="15">
        <v>4.5999999999999996</v>
      </c>
      <c r="AM571" s="15">
        <v>5.6</v>
      </c>
      <c r="AN571" s="15">
        <v>7.8</v>
      </c>
      <c r="AO571" s="15">
        <v>15</v>
      </c>
      <c r="AP571" s="15">
        <v>16.3</v>
      </c>
      <c r="AQ571" s="15">
        <v>20.6</v>
      </c>
    </row>
    <row r="572" spans="2:43" x14ac:dyDescent="0.2">
      <c r="B572" s="11" t="s">
        <v>331</v>
      </c>
      <c r="L572" s="17">
        <f t="shared" ref="L572:AD572" si="2020">SUM(L564:L571)</f>
        <v>121.8</v>
      </c>
      <c r="M572" s="17">
        <f t="shared" si="2020"/>
        <v>99.999999999999986</v>
      </c>
      <c r="N572" s="17">
        <f t="shared" si="2020"/>
        <v>113.1</v>
      </c>
      <c r="O572" s="17">
        <f t="shared" si="2020"/>
        <v>99.399999999999991</v>
      </c>
      <c r="P572" s="17">
        <f t="shared" si="2020"/>
        <v>139</v>
      </c>
      <c r="Q572" s="17">
        <f t="shared" si="2020"/>
        <v>164.60000000000002</v>
      </c>
      <c r="R572" s="17">
        <f t="shared" si="2020"/>
        <v>180</v>
      </c>
      <c r="S572" s="17">
        <f t="shared" si="2020"/>
        <v>183.79999999999998</v>
      </c>
      <c r="T572" s="17">
        <f t="shared" si="2020"/>
        <v>258.8</v>
      </c>
      <c r="U572" s="17">
        <f t="shared" si="2020"/>
        <v>275.29999999999995</v>
      </c>
      <c r="V572" s="17">
        <f t="shared" si="2020"/>
        <v>288.59999999999997</v>
      </c>
      <c r="W572" s="17">
        <f t="shared" si="2020"/>
        <v>268.3</v>
      </c>
      <c r="X572" s="17">
        <f t="shared" si="2020"/>
        <v>283.10000000000002</v>
      </c>
      <c r="Y572" s="17">
        <f t="shared" si="2020"/>
        <v>300.40000000000003</v>
      </c>
      <c r="Z572" s="17">
        <f t="shared" si="2020"/>
        <v>313</v>
      </c>
      <c r="AA572" s="17">
        <f t="shared" si="2020"/>
        <v>704.4</v>
      </c>
      <c r="AB572" s="17">
        <f t="shared" si="2020"/>
        <v>700.30000000000007</v>
      </c>
      <c r="AC572" s="17">
        <f t="shared" si="2020"/>
        <v>686.3</v>
      </c>
      <c r="AD572" s="17">
        <f t="shared" si="2020"/>
        <v>703.40000000000009</v>
      </c>
      <c r="AE572" s="14"/>
      <c r="AF572" s="14"/>
      <c r="AG572" s="14"/>
      <c r="AH572" s="14"/>
      <c r="AI572" s="14"/>
      <c r="AJ572" s="14"/>
      <c r="AK572" s="14">
        <v>0</v>
      </c>
      <c r="AL572" s="17">
        <f t="shared" ref="AL572:AQ572" si="2021">SUM(AL564:AL571)</f>
        <v>97.8</v>
      </c>
      <c r="AM572" s="17">
        <f t="shared" si="2021"/>
        <v>129.9</v>
      </c>
      <c r="AN572" s="17">
        <f t="shared" si="2021"/>
        <v>99.399999999999991</v>
      </c>
      <c r="AO572" s="17">
        <f t="shared" si="2021"/>
        <v>183.79999999999998</v>
      </c>
      <c r="AP572" s="17">
        <f t="shared" si="2021"/>
        <v>268.3</v>
      </c>
      <c r="AQ572" s="17">
        <f t="shared" si="2021"/>
        <v>704.4</v>
      </c>
    </row>
    <row r="573" spans="2:43" x14ac:dyDescent="0.2">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row>
    <row r="574" spans="2:43" x14ac:dyDescent="0.2">
      <c r="B574" t="s">
        <v>332</v>
      </c>
      <c r="L574" s="14">
        <v>703.4</v>
      </c>
      <c r="M574" s="14">
        <v>437.4</v>
      </c>
      <c r="N574" s="14">
        <v>437.7</v>
      </c>
      <c r="O574" s="14">
        <v>1005.4</v>
      </c>
      <c r="P574" s="14">
        <v>1116.4000000000001</v>
      </c>
      <c r="Q574" s="14">
        <v>1117.5999999999999</v>
      </c>
      <c r="R574" s="14">
        <v>1736.8</v>
      </c>
      <c r="S574" s="14">
        <v>1738.5</v>
      </c>
      <c r="T574" s="14">
        <v>1735.9</v>
      </c>
      <c r="U574" s="14">
        <v>1737.8</v>
      </c>
      <c r="V574" s="14">
        <v>1739.8</v>
      </c>
      <c r="W574" s="14">
        <v>1741.9</v>
      </c>
      <c r="X574" s="14">
        <v>1744</v>
      </c>
      <c r="Y574" s="14">
        <v>1746</v>
      </c>
      <c r="Z574" s="14">
        <v>1748.1</v>
      </c>
      <c r="AA574" s="14">
        <v>1750.2</v>
      </c>
      <c r="AB574" s="14">
        <v>1752.3</v>
      </c>
      <c r="AC574" s="14">
        <v>1754.3</v>
      </c>
      <c r="AD574" s="14">
        <v>2838</v>
      </c>
      <c r="AE574" s="14"/>
      <c r="AF574" s="14"/>
      <c r="AG574" s="14"/>
      <c r="AH574" s="14"/>
      <c r="AI574" s="14"/>
      <c r="AJ574" s="14"/>
      <c r="AK574" s="14">
        <v>0</v>
      </c>
      <c r="AL574" s="14">
        <v>548.70000000000005</v>
      </c>
      <c r="AM574" s="14">
        <v>635.1</v>
      </c>
      <c r="AN574" s="14">
        <v>1005.4</v>
      </c>
      <c r="AO574" s="14">
        <v>1738.5</v>
      </c>
      <c r="AP574" s="14">
        <v>1741.9</v>
      </c>
      <c r="AQ574" s="14">
        <v>1750.2</v>
      </c>
    </row>
    <row r="575" spans="2:43" x14ac:dyDescent="0.2">
      <c r="B575" t="s">
        <v>441</v>
      </c>
      <c r="L575" s="14">
        <v>0</v>
      </c>
      <c r="M575" s="14">
        <v>0</v>
      </c>
      <c r="N575" s="14">
        <v>0</v>
      </c>
      <c r="O575" s="14">
        <v>0</v>
      </c>
      <c r="P575" s="14">
        <v>0</v>
      </c>
      <c r="Q575" s="14">
        <v>0</v>
      </c>
      <c r="R575" s="14">
        <v>0</v>
      </c>
      <c r="S575" s="14">
        <v>0</v>
      </c>
      <c r="T575" s="14">
        <v>0</v>
      </c>
      <c r="U575" s="14">
        <v>0</v>
      </c>
      <c r="V575" s="14">
        <v>0</v>
      </c>
      <c r="W575" s="14">
        <v>0</v>
      </c>
      <c r="X575" s="14">
        <v>0</v>
      </c>
      <c r="Y575" s="14">
        <v>0</v>
      </c>
      <c r="Z575" s="14">
        <v>0</v>
      </c>
      <c r="AA575" s="14">
        <v>0</v>
      </c>
      <c r="AB575" s="14">
        <v>0</v>
      </c>
      <c r="AC575" s="14">
        <v>0</v>
      </c>
      <c r="AD575" s="14">
        <v>365.9</v>
      </c>
      <c r="AE575" s="14"/>
      <c r="AF575" s="14"/>
      <c r="AG575" s="14"/>
      <c r="AH575" s="14"/>
      <c r="AI575" s="14"/>
      <c r="AJ575" s="14"/>
      <c r="AK575" s="14">
        <v>0</v>
      </c>
      <c r="AL575" s="14">
        <v>0</v>
      </c>
      <c r="AM575" s="14">
        <v>0</v>
      </c>
      <c r="AN575" s="14">
        <v>0</v>
      </c>
      <c r="AO575" s="14">
        <v>0</v>
      </c>
      <c r="AP575" s="14">
        <v>0</v>
      </c>
      <c r="AQ575" s="14">
        <v>0</v>
      </c>
    </row>
    <row r="576" spans="2:43" x14ac:dyDescent="0.2">
      <c r="B576" t="s">
        <v>333</v>
      </c>
      <c r="L576" s="14">
        <v>0</v>
      </c>
      <c r="M576" s="14">
        <v>0</v>
      </c>
      <c r="N576" s="14">
        <v>0</v>
      </c>
      <c r="O576" s="14">
        <v>0</v>
      </c>
      <c r="P576" s="14">
        <v>0</v>
      </c>
      <c r="Q576" s="14">
        <v>0</v>
      </c>
      <c r="R576" s="14">
        <v>0</v>
      </c>
      <c r="S576" s="14">
        <v>17.899999999999999</v>
      </c>
      <c r="T576" s="14">
        <v>16.600000000000001</v>
      </c>
      <c r="U576" s="14">
        <v>16</v>
      </c>
      <c r="V576" s="14">
        <v>15.9</v>
      </c>
      <c r="W576" s="14">
        <v>18.100000000000001</v>
      </c>
      <c r="X576" s="14">
        <v>18.8</v>
      </c>
      <c r="Y576" s="14">
        <v>18.5</v>
      </c>
      <c r="Z576" s="14">
        <v>18.8</v>
      </c>
      <c r="AA576" s="14">
        <v>18.8</v>
      </c>
      <c r="AB576" s="14">
        <v>17</v>
      </c>
      <c r="AC576" s="14">
        <v>24.4</v>
      </c>
      <c r="AD576" s="14">
        <v>25.4</v>
      </c>
      <c r="AE576" s="14"/>
      <c r="AF576" s="14"/>
      <c r="AG576" s="14"/>
      <c r="AH576" s="14"/>
      <c r="AI576" s="14"/>
      <c r="AJ576" s="14"/>
      <c r="AK576" s="14">
        <v>0</v>
      </c>
      <c r="AL576" s="14">
        <v>0</v>
      </c>
      <c r="AM576" s="14">
        <v>0</v>
      </c>
      <c r="AN576" s="14">
        <v>0</v>
      </c>
      <c r="AO576" s="14">
        <v>17.899999999999999</v>
      </c>
      <c r="AP576" s="14">
        <v>18.100000000000001</v>
      </c>
      <c r="AQ576" s="14">
        <v>18.8</v>
      </c>
    </row>
    <row r="577" spans="2:43" x14ac:dyDescent="0.2">
      <c r="B577" t="s">
        <v>334</v>
      </c>
      <c r="L577" s="14">
        <v>3.4</v>
      </c>
      <c r="M577" s="14">
        <v>3.7</v>
      </c>
      <c r="N577" s="14">
        <v>5.2</v>
      </c>
      <c r="O577" s="14">
        <v>2.8</v>
      </c>
      <c r="P577" s="14">
        <v>2.7</v>
      </c>
      <c r="Q577" s="14">
        <v>0.6</v>
      </c>
      <c r="R577" s="14">
        <v>0</v>
      </c>
      <c r="S577" s="14">
        <v>0.3</v>
      </c>
      <c r="T577" s="14">
        <v>0.4</v>
      </c>
      <c r="U577" s="14">
        <v>1.2</v>
      </c>
      <c r="V577" s="14">
        <v>9.3000000000000007</v>
      </c>
      <c r="W577" s="14">
        <v>18.600000000000001</v>
      </c>
      <c r="X577" s="14">
        <v>13.1</v>
      </c>
      <c r="Y577" s="14">
        <v>17.8</v>
      </c>
      <c r="Z577" s="14">
        <v>17.399999999999999</v>
      </c>
      <c r="AA577" s="14">
        <v>28.7</v>
      </c>
      <c r="AB577" s="14">
        <v>27.6</v>
      </c>
      <c r="AC577" s="14">
        <v>31.1</v>
      </c>
      <c r="AD577" s="14">
        <v>32.700000000000003</v>
      </c>
      <c r="AE577" s="14"/>
      <c r="AF577" s="14"/>
      <c r="AG577" s="14"/>
      <c r="AH577" s="14"/>
      <c r="AI577" s="14"/>
      <c r="AJ577" s="14"/>
      <c r="AK577" s="14">
        <v>0</v>
      </c>
      <c r="AL577" s="14">
        <v>4.0999999999999996</v>
      </c>
      <c r="AM577" s="14">
        <v>4.0999999999999996</v>
      </c>
      <c r="AN577" s="14">
        <v>2.8</v>
      </c>
      <c r="AO577" s="14">
        <v>0.3</v>
      </c>
      <c r="AP577" s="14">
        <v>18.600000000000001</v>
      </c>
      <c r="AQ577" s="14">
        <v>28.7</v>
      </c>
    </row>
    <row r="578" spans="2:43" ht="13.5" x14ac:dyDescent="0.35">
      <c r="B578" t="s">
        <v>335</v>
      </c>
      <c r="L578" s="15">
        <v>4.5999999999999996</v>
      </c>
      <c r="M578" s="15">
        <v>2.6</v>
      </c>
      <c r="N578" s="15">
        <v>2.1</v>
      </c>
      <c r="O578" s="15">
        <v>1.7</v>
      </c>
      <c r="P578" s="15">
        <v>1.4</v>
      </c>
      <c r="Q578" s="15">
        <v>2.1</v>
      </c>
      <c r="R578" s="15">
        <v>2.9</v>
      </c>
      <c r="S578" s="15">
        <v>2.4</v>
      </c>
      <c r="T578" s="15">
        <v>2.2000000000000002</v>
      </c>
      <c r="U578" s="15">
        <v>1.9</v>
      </c>
      <c r="V578" s="15">
        <v>11.3</v>
      </c>
      <c r="W578" s="15">
        <v>26.5</v>
      </c>
      <c r="X578" s="15">
        <v>29.5</v>
      </c>
      <c r="Y578" s="15">
        <v>28.7</v>
      </c>
      <c r="Z578" s="15">
        <v>11.6</v>
      </c>
      <c r="AA578" s="15">
        <v>17.3</v>
      </c>
      <c r="AB578" s="15">
        <v>14.8</v>
      </c>
      <c r="AC578" s="15">
        <v>39.299999999999997</v>
      </c>
      <c r="AD578" s="15">
        <v>35.700000000000003</v>
      </c>
      <c r="AE578" s="15"/>
      <c r="AF578" s="15"/>
      <c r="AG578" s="15"/>
      <c r="AH578" s="15"/>
      <c r="AI578" s="15"/>
      <c r="AJ578" s="15"/>
      <c r="AK578" s="15">
        <v>0</v>
      </c>
      <c r="AL578" s="15">
        <v>3.7</v>
      </c>
      <c r="AM578" s="15">
        <v>4.8</v>
      </c>
      <c r="AN578" s="15">
        <v>1.7</v>
      </c>
      <c r="AO578" s="15">
        <v>2.4</v>
      </c>
      <c r="AP578" s="15">
        <v>26.5</v>
      </c>
      <c r="AQ578" s="15">
        <v>17.3</v>
      </c>
    </row>
    <row r="579" spans="2:43" x14ac:dyDescent="0.2">
      <c r="B579" s="11" t="s">
        <v>336</v>
      </c>
      <c r="L579" s="17">
        <f>SUM(L574:L578)</f>
        <v>711.4</v>
      </c>
      <c r="M579" s="17">
        <f t="shared" ref="M579:AC579" si="2022">SUM(M574:M578)</f>
        <v>443.7</v>
      </c>
      <c r="N579" s="17">
        <f t="shared" si="2022"/>
        <v>445</v>
      </c>
      <c r="O579" s="17">
        <f t="shared" si="2022"/>
        <v>1009.9</v>
      </c>
      <c r="P579" s="17">
        <f t="shared" si="2022"/>
        <v>1120.5000000000002</v>
      </c>
      <c r="Q579" s="17">
        <f t="shared" si="2022"/>
        <v>1120.2999999999997</v>
      </c>
      <c r="R579" s="17">
        <f t="shared" si="2022"/>
        <v>1739.7</v>
      </c>
      <c r="S579" s="17">
        <f t="shared" si="2022"/>
        <v>1759.1000000000001</v>
      </c>
      <c r="T579" s="17">
        <f t="shared" si="2022"/>
        <v>1755.1000000000001</v>
      </c>
      <c r="U579" s="17">
        <f t="shared" si="2022"/>
        <v>1756.9</v>
      </c>
      <c r="V579" s="17">
        <f t="shared" si="2022"/>
        <v>1776.3</v>
      </c>
      <c r="W579" s="17">
        <f t="shared" si="2022"/>
        <v>1805.1</v>
      </c>
      <c r="X579" s="17">
        <f t="shared" si="2022"/>
        <v>1805.3999999999999</v>
      </c>
      <c r="Y579" s="17">
        <f t="shared" si="2022"/>
        <v>1811</v>
      </c>
      <c r="Z579" s="17">
        <f t="shared" si="2022"/>
        <v>1795.8999999999999</v>
      </c>
      <c r="AA579" s="17">
        <f t="shared" si="2022"/>
        <v>1815</v>
      </c>
      <c r="AB579" s="17">
        <f t="shared" si="2022"/>
        <v>1811.6999999999998</v>
      </c>
      <c r="AC579" s="17">
        <f t="shared" si="2022"/>
        <v>1849.1</v>
      </c>
      <c r="AD579" s="17">
        <f t="shared" ref="AD579" si="2023">SUM(AD574:AD578)</f>
        <v>3297.7</v>
      </c>
      <c r="AE579" s="14"/>
      <c r="AF579" s="14"/>
      <c r="AG579" s="14"/>
      <c r="AH579" s="14"/>
      <c r="AI579" s="14"/>
      <c r="AJ579" s="14"/>
      <c r="AK579" s="14">
        <v>0</v>
      </c>
      <c r="AL579" s="17">
        <f t="shared" ref="AL579" si="2024">SUM(AL574:AL578)</f>
        <v>556.50000000000011</v>
      </c>
      <c r="AM579" s="17">
        <f t="shared" ref="AM579" si="2025">SUM(AM574:AM578)</f>
        <v>644</v>
      </c>
      <c r="AN579" s="17">
        <f t="shared" ref="AN579" si="2026">SUM(AN574:AN578)</f>
        <v>1009.9</v>
      </c>
      <c r="AO579" s="17">
        <f t="shared" ref="AO579" si="2027">SUM(AO574:AO578)</f>
        <v>1759.1000000000001</v>
      </c>
      <c r="AP579" s="17">
        <f t="shared" ref="AP579" si="2028">SUM(AP574:AP578)</f>
        <v>1805.1</v>
      </c>
      <c r="AQ579" s="17">
        <f t="shared" ref="AQ579" si="2029">SUM(AQ574:AQ578)</f>
        <v>1815</v>
      </c>
    </row>
    <row r="580" spans="2:43" x14ac:dyDescent="0.2">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row>
    <row r="581" spans="2:43" s="1" customFormat="1" x14ac:dyDescent="0.2">
      <c r="B581" s="1" t="s">
        <v>337</v>
      </c>
      <c r="L581" s="34">
        <f>+L572+L579</f>
        <v>833.19999999999993</v>
      </c>
      <c r="M581" s="34">
        <f t="shared" ref="M581:AC581" si="2030">+M572+M579</f>
        <v>543.69999999999993</v>
      </c>
      <c r="N581" s="34">
        <f t="shared" si="2030"/>
        <v>558.1</v>
      </c>
      <c r="O581" s="34">
        <f t="shared" si="2030"/>
        <v>1109.3</v>
      </c>
      <c r="P581" s="34">
        <f t="shared" si="2030"/>
        <v>1259.5000000000002</v>
      </c>
      <c r="Q581" s="34">
        <f t="shared" si="2030"/>
        <v>1284.8999999999996</v>
      </c>
      <c r="R581" s="34">
        <f t="shared" si="2030"/>
        <v>1919.7</v>
      </c>
      <c r="S581" s="34">
        <f t="shared" si="2030"/>
        <v>1942.9</v>
      </c>
      <c r="T581" s="34">
        <f t="shared" si="2030"/>
        <v>2013.9</v>
      </c>
      <c r="U581" s="34">
        <f t="shared" si="2030"/>
        <v>2032.2</v>
      </c>
      <c r="V581" s="34">
        <f t="shared" si="2030"/>
        <v>2064.9</v>
      </c>
      <c r="W581" s="34">
        <f t="shared" si="2030"/>
        <v>2073.4</v>
      </c>
      <c r="X581" s="34">
        <f t="shared" si="2030"/>
        <v>2088.5</v>
      </c>
      <c r="Y581" s="34">
        <f t="shared" si="2030"/>
        <v>2111.4</v>
      </c>
      <c r="Z581" s="34">
        <f t="shared" si="2030"/>
        <v>2108.8999999999996</v>
      </c>
      <c r="AA581" s="34">
        <f t="shared" si="2030"/>
        <v>2519.4</v>
      </c>
      <c r="AB581" s="34">
        <f t="shared" si="2030"/>
        <v>2512</v>
      </c>
      <c r="AC581" s="34">
        <f t="shared" si="2030"/>
        <v>2535.3999999999996</v>
      </c>
      <c r="AD581" s="34">
        <f t="shared" ref="AD581" si="2031">+AD572+AD579</f>
        <v>4001.1</v>
      </c>
      <c r="AE581" s="33"/>
      <c r="AF581" s="33"/>
      <c r="AG581" s="33"/>
      <c r="AH581" s="33"/>
      <c r="AI581" s="33"/>
      <c r="AJ581" s="33"/>
      <c r="AK581" s="33">
        <v>0</v>
      </c>
      <c r="AL581" s="34">
        <f t="shared" ref="AL581:AQ581" si="2032">+AL572+AL579</f>
        <v>654.30000000000007</v>
      </c>
      <c r="AM581" s="34">
        <f t="shared" si="2032"/>
        <v>773.9</v>
      </c>
      <c r="AN581" s="34">
        <f t="shared" si="2032"/>
        <v>1109.3</v>
      </c>
      <c r="AO581" s="34">
        <f t="shared" si="2032"/>
        <v>1942.9</v>
      </c>
      <c r="AP581" s="34">
        <f t="shared" si="2032"/>
        <v>2073.4</v>
      </c>
      <c r="AQ581" s="34">
        <f t="shared" si="2032"/>
        <v>2519.4</v>
      </c>
    </row>
    <row r="582" spans="2:43" s="1" customFormat="1" x14ac:dyDescent="0.2">
      <c r="L582" s="34"/>
      <c r="M582" s="34"/>
      <c r="N582" s="34"/>
      <c r="O582" s="34"/>
      <c r="P582" s="34"/>
      <c r="Q582" s="34"/>
      <c r="R582" s="34"/>
      <c r="S582" s="34"/>
      <c r="T582" s="34"/>
      <c r="U582" s="34"/>
      <c r="V582" s="34"/>
      <c r="W582" s="34"/>
      <c r="X582" s="34"/>
      <c r="Y582" s="34"/>
      <c r="Z582" s="34"/>
      <c r="AA582" s="34"/>
      <c r="AB582" s="34"/>
      <c r="AC582" s="34"/>
      <c r="AD582" s="34"/>
      <c r="AE582" s="33"/>
      <c r="AF582" s="33"/>
      <c r="AG582" s="33"/>
      <c r="AH582" s="33"/>
      <c r="AI582" s="33"/>
      <c r="AJ582" s="33"/>
      <c r="AK582" s="33"/>
      <c r="AL582" s="34"/>
      <c r="AM582" s="34"/>
      <c r="AN582" s="34"/>
      <c r="AO582" s="34"/>
      <c r="AP582" s="34"/>
      <c r="AQ582" s="34"/>
    </row>
    <row r="583" spans="2:43" x14ac:dyDescent="0.2">
      <c r="B583" t="s">
        <v>338</v>
      </c>
      <c r="L583" s="14">
        <v>43</v>
      </c>
      <c r="M583" s="14">
        <v>0</v>
      </c>
      <c r="N583" s="14">
        <v>0</v>
      </c>
      <c r="O583" s="14">
        <v>0</v>
      </c>
      <c r="P583" s="14">
        <v>0</v>
      </c>
      <c r="Q583" s="14">
        <v>0</v>
      </c>
      <c r="R583" s="14">
        <v>0</v>
      </c>
      <c r="S583" s="14">
        <v>0</v>
      </c>
      <c r="T583" s="14">
        <v>0</v>
      </c>
      <c r="U583" s="14">
        <v>0</v>
      </c>
      <c r="V583" s="14">
        <v>0</v>
      </c>
      <c r="W583" s="14">
        <v>0</v>
      </c>
      <c r="X583" s="14">
        <v>0</v>
      </c>
      <c r="Y583" s="14">
        <v>0</v>
      </c>
      <c r="Z583" s="14">
        <v>0</v>
      </c>
      <c r="AA583" s="14">
        <v>0</v>
      </c>
      <c r="AB583" s="14">
        <v>0</v>
      </c>
      <c r="AC583" s="14">
        <v>0</v>
      </c>
      <c r="AD583" s="14">
        <v>0</v>
      </c>
      <c r="AE583" s="14"/>
      <c r="AF583" s="14"/>
      <c r="AG583" s="14"/>
      <c r="AH583" s="14"/>
      <c r="AI583" s="14"/>
      <c r="AJ583" s="14"/>
      <c r="AK583" s="14">
        <v>0</v>
      </c>
      <c r="AL583" s="14">
        <v>43</v>
      </c>
      <c r="AM583" s="14">
        <v>43</v>
      </c>
      <c r="AN583" s="14">
        <v>0</v>
      </c>
      <c r="AO583" s="14">
        <v>0</v>
      </c>
      <c r="AP583" s="14">
        <v>0</v>
      </c>
      <c r="AQ583" s="14">
        <v>0</v>
      </c>
    </row>
    <row r="584" spans="2:43" x14ac:dyDescent="0.2">
      <c r="B584" t="s">
        <v>339</v>
      </c>
      <c r="L584" s="14">
        <v>0.3</v>
      </c>
      <c r="M584" s="14">
        <v>0</v>
      </c>
      <c r="N584" s="14">
        <v>0</v>
      </c>
      <c r="O584" s="14">
        <v>0</v>
      </c>
      <c r="P584" s="14">
        <v>0</v>
      </c>
      <c r="Q584" s="14">
        <v>0</v>
      </c>
      <c r="R584" s="14">
        <v>0</v>
      </c>
      <c r="S584" s="14">
        <v>0</v>
      </c>
      <c r="T584" s="14">
        <v>0</v>
      </c>
      <c r="U584" s="14">
        <v>0</v>
      </c>
      <c r="V584" s="14">
        <v>0</v>
      </c>
      <c r="W584" s="14">
        <v>0</v>
      </c>
      <c r="X584" s="14">
        <v>0</v>
      </c>
      <c r="Y584" s="14">
        <v>0</v>
      </c>
      <c r="Z584" s="14">
        <v>0</v>
      </c>
      <c r="AA584" s="14">
        <v>0</v>
      </c>
      <c r="AB584" s="14">
        <v>0</v>
      </c>
      <c r="AC584" s="14">
        <v>0</v>
      </c>
      <c r="AD584" s="14">
        <v>0</v>
      </c>
      <c r="AE584" s="14"/>
      <c r="AF584" s="14"/>
      <c r="AG584" s="14"/>
      <c r="AH584" s="14"/>
      <c r="AI584" s="14"/>
      <c r="AJ584" s="14"/>
      <c r="AK584" s="14">
        <v>0</v>
      </c>
      <c r="AL584" s="14">
        <v>0.3</v>
      </c>
      <c r="AM584" s="14">
        <v>0.3</v>
      </c>
      <c r="AN584" s="14">
        <v>0</v>
      </c>
      <c r="AO584" s="14">
        <v>0</v>
      </c>
      <c r="AP584" s="14">
        <v>0</v>
      </c>
      <c r="AQ584" s="14">
        <v>0</v>
      </c>
    </row>
    <row r="585" spans="2:43" x14ac:dyDescent="0.2">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row>
    <row r="586" spans="2:43" x14ac:dyDescent="0.2">
      <c r="B586" s="1" t="s">
        <v>349</v>
      </c>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row>
    <row r="587" spans="2:43" x14ac:dyDescent="0.2">
      <c r="B587" t="s">
        <v>351</v>
      </c>
      <c r="L587" s="14">
        <v>147.9</v>
      </c>
      <c r="M587" s="14">
        <v>0</v>
      </c>
      <c r="N587" s="14">
        <v>0</v>
      </c>
      <c r="O587" s="14">
        <v>0</v>
      </c>
      <c r="P587" s="14">
        <v>0</v>
      </c>
      <c r="Q587" s="14">
        <v>0</v>
      </c>
      <c r="R587" s="14">
        <v>0</v>
      </c>
      <c r="S587" s="14">
        <v>0</v>
      </c>
      <c r="T587" s="14">
        <v>0</v>
      </c>
      <c r="U587" s="14">
        <v>0</v>
      </c>
      <c r="V587" s="14">
        <v>0</v>
      </c>
      <c r="W587" s="14">
        <v>0</v>
      </c>
      <c r="X587" s="14">
        <v>0</v>
      </c>
      <c r="Y587" s="14">
        <v>0</v>
      </c>
      <c r="Z587" s="14">
        <v>0</v>
      </c>
      <c r="AA587" s="14">
        <v>0</v>
      </c>
      <c r="AB587" s="14">
        <v>0</v>
      </c>
      <c r="AC587" s="14">
        <v>0</v>
      </c>
      <c r="AD587" s="14">
        <v>0</v>
      </c>
      <c r="AE587" s="14"/>
      <c r="AF587" s="14"/>
      <c r="AG587" s="14"/>
      <c r="AH587" s="14"/>
      <c r="AI587" s="14"/>
      <c r="AJ587" s="14"/>
      <c r="AK587" s="14">
        <v>0</v>
      </c>
      <c r="AL587" s="14">
        <v>154.4</v>
      </c>
      <c r="AM587" s="14">
        <v>149.19999999999999</v>
      </c>
      <c r="AN587" s="14">
        <v>0</v>
      </c>
      <c r="AO587" s="14">
        <v>0</v>
      </c>
      <c r="AP587" s="14">
        <v>0</v>
      </c>
      <c r="AQ587" s="14">
        <v>0</v>
      </c>
    </row>
    <row r="588" spans="2:43" x14ac:dyDescent="0.2">
      <c r="B588" t="s">
        <v>340</v>
      </c>
      <c r="L588" s="14">
        <v>0</v>
      </c>
      <c r="M588" s="14">
        <v>517.70000000000005</v>
      </c>
      <c r="N588" s="14">
        <v>572.6</v>
      </c>
      <c r="O588" s="14">
        <v>738.3</v>
      </c>
      <c r="P588" s="14">
        <v>660.5</v>
      </c>
      <c r="Q588" s="14">
        <v>601.29999999999995</v>
      </c>
      <c r="R588" s="14">
        <v>614.29999999999995</v>
      </c>
      <c r="S588" s="14">
        <v>619.20000000000005</v>
      </c>
      <c r="T588" s="14">
        <v>659.6</v>
      </c>
      <c r="U588" s="14">
        <v>635.5</v>
      </c>
      <c r="V588" s="14">
        <v>696</v>
      </c>
      <c r="W588" s="14">
        <v>702.6</v>
      </c>
      <c r="X588" s="14">
        <v>730.2</v>
      </c>
      <c r="Y588" s="14">
        <v>733.8</v>
      </c>
      <c r="Z588" s="14">
        <v>748.9</v>
      </c>
      <c r="AA588" s="14">
        <v>985.9</v>
      </c>
      <c r="AB588" s="14">
        <v>997.1</v>
      </c>
      <c r="AC588" s="14">
        <v>1005.7</v>
      </c>
      <c r="AD588" s="14">
        <v>1048.7</v>
      </c>
      <c r="AE588" s="14"/>
      <c r="AF588" s="14"/>
      <c r="AG588" s="14"/>
      <c r="AH588" s="14"/>
      <c r="AI588" s="14"/>
      <c r="AJ588" s="14"/>
      <c r="AK588" s="14">
        <v>0</v>
      </c>
      <c r="AL588" s="14">
        <v>0</v>
      </c>
      <c r="AM588" s="14">
        <v>0</v>
      </c>
      <c r="AN588" s="14">
        <v>738.3</v>
      </c>
      <c r="AO588" s="14">
        <v>619.20000000000005</v>
      </c>
      <c r="AP588" s="14">
        <v>702.6</v>
      </c>
      <c r="AQ588" s="14">
        <v>985.9</v>
      </c>
    </row>
    <row r="589" spans="2:43" x14ac:dyDescent="0.2">
      <c r="B589" t="s">
        <v>341</v>
      </c>
      <c r="L589" s="14">
        <v>0</v>
      </c>
      <c r="M589" s="14">
        <v>0</v>
      </c>
      <c r="N589" s="14">
        <v>0</v>
      </c>
      <c r="O589" s="14">
        <v>0</v>
      </c>
      <c r="P589" s="14">
        <v>0</v>
      </c>
      <c r="Q589" s="14">
        <v>0</v>
      </c>
      <c r="R589" s="14">
        <v>0</v>
      </c>
      <c r="S589" s="14">
        <v>0</v>
      </c>
      <c r="T589" s="14">
        <v>0</v>
      </c>
      <c r="U589" s="14">
        <v>-0.4</v>
      </c>
      <c r="V589" s="14">
        <v>-0.7</v>
      </c>
      <c r="W589" s="14">
        <v>8.3000000000000007</v>
      </c>
      <c r="X589" s="14">
        <v>10.4</v>
      </c>
      <c r="Y589" s="14">
        <v>10.3</v>
      </c>
      <c r="Z589" s="14">
        <v>6.3</v>
      </c>
      <c r="AA589" s="14">
        <v>14.1</v>
      </c>
      <c r="AB589" s="14">
        <v>3.5</v>
      </c>
      <c r="AC589" s="14">
        <v>-7.1</v>
      </c>
      <c r="AD589" s="14">
        <v>20.6</v>
      </c>
      <c r="AE589" s="14"/>
      <c r="AF589" s="14"/>
      <c r="AG589" s="14"/>
      <c r="AH589" s="14"/>
      <c r="AI589" s="14"/>
      <c r="AJ589" s="14"/>
      <c r="AK589" s="14">
        <v>0</v>
      </c>
      <c r="AL589" s="14">
        <v>0</v>
      </c>
      <c r="AM589" s="14">
        <v>0</v>
      </c>
      <c r="AN589" s="14">
        <v>0</v>
      </c>
      <c r="AO589" s="14">
        <v>0</v>
      </c>
      <c r="AP589" s="14">
        <v>8.3000000000000007</v>
      </c>
      <c r="AQ589" s="14">
        <v>14.1</v>
      </c>
    </row>
    <row r="590" spans="2:43" x14ac:dyDescent="0.2">
      <c r="B590" t="s">
        <v>342</v>
      </c>
      <c r="L590" s="14">
        <v>0</v>
      </c>
      <c r="M590" s="14">
        <v>0</v>
      </c>
      <c r="N590" s="14">
        <v>0</v>
      </c>
      <c r="O590" s="14">
        <v>0</v>
      </c>
      <c r="P590" s="14">
        <v>0</v>
      </c>
      <c r="Q590" s="14">
        <v>0</v>
      </c>
      <c r="R590" s="14">
        <v>0</v>
      </c>
      <c r="S590" s="14">
        <v>-21.1</v>
      </c>
      <c r="T590" s="14">
        <v>-38.299999999999997</v>
      </c>
      <c r="U590" s="14">
        <v>-28.8</v>
      </c>
      <c r="V590" s="14">
        <v>0</v>
      </c>
      <c r="W590" s="14">
        <v>0</v>
      </c>
      <c r="X590" s="14">
        <v>0</v>
      </c>
      <c r="Y590" s="14">
        <v>0</v>
      </c>
      <c r="Z590" s="14">
        <v>0</v>
      </c>
      <c r="AA590" s="14">
        <v>0</v>
      </c>
      <c r="AB590" s="14">
        <v>0</v>
      </c>
      <c r="AC590" s="14">
        <v>0</v>
      </c>
      <c r="AD590" s="14">
        <v>0</v>
      </c>
      <c r="AE590" s="14"/>
      <c r="AF590" s="14"/>
      <c r="AG590" s="14"/>
      <c r="AH590" s="14"/>
      <c r="AI590" s="14"/>
      <c r="AJ590" s="14"/>
      <c r="AK590" s="14">
        <v>0</v>
      </c>
      <c r="AL590" s="14">
        <v>0</v>
      </c>
      <c r="AM590" s="14">
        <v>0</v>
      </c>
      <c r="AN590" s="14">
        <v>0</v>
      </c>
      <c r="AO590" s="14">
        <v>-21.1</v>
      </c>
      <c r="AP590" s="14">
        <v>0</v>
      </c>
      <c r="AQ590" s="14">
        <v>0</v>
      </c>
    </row>
    <row r="591" spans="2:43" ht="13.5" x14ac:dyDescent="0.35">
      <c r="B591" t="s">
        <v>343</v>
      </c>
      <c r="L591" s="15">
        <v>-183.6</v>
      </c>
      <c r="M591" s="15">
        <v>-257.60000000000002</v>
      </c>
      <c r="N591" s="15">
        <v>-262.60000000000002</v>
      </c>
      <c r="O591" s="15">
        <v>-278.7</v>
      </c>
      <c r="P591" s="15">
        <v>-309.89999999999998</v>
      </c>
      <c r="Q591" s="15">
        <v>-306.7</v>
      </c>
      <c r="R591" s="15">
        <v>-315.89999999999998</v>
      </c>
      <c r="S591" s="15">
        <v>-325.3</v>
      </c>
      <c r="T591" s="15">
        <v>-332.8</v>
      </c>
      <c r="U591" s="15">
        <v>-422.8</v>
      </c>
      <c r="V591" s="15">
        <v>-392.8</v>
      </c>
      <c r="W591" s="15">
        <v>-363.6</v>
      </c>
      <c r="X591" s="15">
        <v>-348.8</v>
      </c>
      <c r="Y591" s="15">
        <v>-387.6</v>
      </c>
      <c r="Z591" s="15">
        <v>-355</v>
      </c>
      <c r="AA591" s="15">
        <v>-346.7</v>
      </c>
      <c r="AB591" s="15">
        <v>-326.10000000000002</v>
      </c>
      <c r="AC591" s="15">
        <v>-297.8</v>
      </c>
      <c r="AD591" s="15">
        <v>-257.5</v>
      </c>
      <c r="AE591" s="15"/>
      <c r="AF591" s="15"/>
      <c r="AG591" s="15"/>
      <c r="AH591" s="15"/>
      <c r="AI591" s="15"/>
      <c r="AJ591" s="15"/>
      <c r="AK591" s="15">
        <v>0</v>
      </c>
      <c r="AL591" s="15">
        <v>-113.3</v>
      </c>
      <c r="AM591" s="15">
        <v>-178.4</v>
      </c>
      <c r="AN591" s="15">
        <v>-278.7</v>
      </c>
      <c r="AO591" s="15">
        <v>-325.3</v>
      </c>
      <c r="AP591" s="15">
        <v>-363.6</v>
      </c>
      <c r="AQ591" s="15">
        <v>-346.7</v>
      </c>
    </row>
    <row r="592" spans="2:43" x14ac:dyDescent="0.2">
      <c r="B592" s="11" t="s">
        <v>348</v>
      </c>
      <c r="L592" s="17">
        <f>SUM(L587:L591)</f>
        <v>-35.699999999999989</v>
      </c>
      <c r="M592" s="17">
        <f t="shared" ref="M592:AC592" si="2033">SUM(M587:M591)</f>
        <v>260.10000000000002</v>
      </c>
      <c r="N592" s="17">
        <f t="shared" si="2033"/>
        <v>310</v>
      </c>
      <c r="O592" s="17">
        <f t="shared" si="2033"/>
        <v>459.59999999999997</v>
      </c>
      <c r="P592" s="17">
        <f t="shared" si="2033"/>
        <v>350.6</v>
      </c>
      <c r="Q592" s="17">
        <f t="shared" si="2033"/>
        <v>294.59999999999997</v>
      </c>
      <c r="R592" s="17">
        <f t="shared" si="2033"/>
        <v>298.39999999999998</v>
      </c>
      <c r="S592" s="17">
        <f t="shared" si="2033"/>
        <v>272.8</v>
      </c>
      <c r="T592" s="17">
        <f t="shared" si="2033"/>
        <v>288.50000000000006</v>
      </c>
      <c r="U592" s="17">
        <f t="shared" si="2033"/>
        <v>183.50000000000006</v>
      </c>
      <c r="V592" s="17">
        <f t="shared" si="2033"/>
        <v>302.49999999999994</v>
      </c>
      <c r="W592" s="17">
        <f t="shared" si="2033"/>
        <v>347.29999999999995</v>
      </c>
      <c r="X592" s="17">
        <f t="shared" si="2033"/>
        <v>391.8</v>
      </c>
      <c r="Y592" s="17">
        <f t="shared" si="2033"/>
        <v>356.49999999999989</v>
      </c>
      <c r="Z592" s="17">
        <f t="shared" si="2033"/>
        <v>400.19999999999993</v>
      </c>
      <c r="AA592" s="17">
        <f t="shared" si="2033"/>
        <v>653.29999999999995</v>
      </c>
      <c r="AB592" s="17">
        <f t="shared" si="2033"/>
        <v>674.5</v>
      </c>
      <c r="AC592" s="17">
        <f t="shared" si="2033"/>
        <v>700.8</v>
      </c>
      <c r="AD592" s="17">
        <f t="shared" ref="AD592" si="2034">SUM(AD587:AD591)</f>
        <v>811.8</v>
      </c>
      <c r="AE592" s="14"/>
      <c r="AF592" s="14"/>
      <c r="AG592" s="14"/>
      <c r="AH592" s="14"/>
      <c r="AI592" s="14"/>
      <c r="AJ592" s="14"/>
      <c r="AK592" s="14">
        <v>0</v>
      </c>
      <c r="AL592" s="17">
        <f>SUM(AL587:AL591)</f>
        <v>41.100000000000009</v>
      </c>
      <c r="AM592" s="17">
        <f t="shared" ref="AM592:AQ592" si="2035">SUM(AM587:AM591)</f>
        <v>-29.200000000000017</v>
      </c>
      <c r="AN592" s="17">
        <f t="shared" si="2035"/>
        <v>459.59999999999997</v>
      </c>
      <c r="AO592" s="17">
        <f t="shared" si="2035"/>
        <v>272.8</v>
      </c>
      <c r="AP592" s="17">
        <f t="shared" si="2035"/>
        <v>347.29999999999995</v>
      </c>
      <c r="AQ592" s="17">
        <f t="shared" si="2035"/>
        <v>653.29999999999995</v>
      </c>
    </row>
    <row r="593" spans="2:43" ht="13.5" x14ac:dyDescent="0.35">
      <c r="B593" t="s">
        <v>344</v>
      </c>
      <c r="L593" s="15">
        <v>0</v>
      </c>
      <c r="M593" s="15">
        <v>210.5</v>
      </c>
      <c r="N593" s="15">
        <v>247.5</v>
      </c>
      <c r="O593" s="15">
        <v>210.4</v>
      </c>
      <c r="P593" s="15">
        <v>198.5</v>
      </c>
      <c r="Q593" s="15">
        <v>151.6</v>
      </c>
      <c r="R593" s="15">
        <v>137</v>
      </c>
      <c r="S593" s="15">
        <v>126.9</v>
      </c>
      <c r="T593" s="15">
        <v>129.69999999999999</v>
      </c>
      <c r="U593" s="15">
        <v>83.9</v>
      </c>
      <c r="V593" s="15">
        <v>118.3</v>
      </c>
      <c r="W593" s="15">
        <v>133.30000000000001</v>
      </c>
      <c r="X593" s="15">
        <v>134.6</v>
      </c>
      <c r="Y593" s="15">
        <v>122.7</v>
      </c>
      <c r="Z593" s="15">
        <v>140.80000000000001</v>
      </c>
      <c r="AA593" s="15">
        <v>215.1</v>
      </c>
      <c r="AB593" s="15">
        <v>221.3</v>
      </c>
      <c r="AC593" s="15">
        <v>258</v>
      </c>
      <c r="AD593" s="15">
        <v>236</v>
      </c>
      <c r="AE593" s="15"/>
      <c r="AF593" s="15"/>
      <c r="AG593" s="15"/>
      <c r="AH593" s="15"/>
      <c r="AI593" s="15"/>
      <c r="AJ593" s="15"/>
      <c r="AK593" s="15">
        <v>0</v>
      </c>
      <c r="AL593" s="15">
        <v>0</v>
      </c>
      <c r="AM593" s="15">
        <v>0</v>
      </c>
      <c r="AN593" s="15">
        <v>210.4</v>
      </c>
      <c r="AO593" s="15">
        <v>126.9</v>
      </c>
      <c r="AP593" s="15">
        <v>133.30000000000001</v>
      </c>
      <c r="AQ593" s="15">
        <v>215.1</v>
      </c>
    </row>
    <row r="594" spans="2:43" x14ac:dyDescent="0.2">
      <c r="B594" s="11" t="s">
        <v>347</v>
      </c>
      <c r="L594" s="17">
        <f>+SUM(L592:L593)</f>
        <v>-35.699999999999989</v>
      </c>
      <c r="M594" s="17">
        <f t="shared" ref="M594:AC594" si="2036">+SUM(M592:M593)</f>
        <v>470.6</v>
      </c>
      <c r="N594" s="17">
        <f t="shared" si="2036"/>
        <v>557.5</v>
      </c>
      <c r="O594" s="17">
        <f t="shared" si="2036"/>
        <v>670</v>
      </c>
      <c r="P594" s="17">
        <f t="shared" si="2036"/>
        <v>549.1</v>
      </c>
      <c r="Q594" s="17">
        <f t="shared" si="2036"/>
        <v>446.19999999999993</v>
      </c>
      <c r="R594" s="17">
        <f t="shared" si="2036"/>
        <v>435.4</v>
      </c>
      <c r="S594" s="17">
        <f t="shared" si="2036"/>
        <v>399.70000000000005</v>
      </c>
      <c r="T594" s="17">
        <f t="shared" si="2036"/>
        <v>418.20000000000005</v>
      </c>
      <c r="U594" s="17">
        <f t="shared" si="2036"/>
        <v>267.40000000000009</v>
      </c>
      <c r="V594" s="17">
        <f t="shared" si="2036"/>
        <v>420.79999999999995</v>
      </c>
      <c r="W594" s="17">
        <f t="shared" si="2036"/>
        <v>480.59999999999997</v>
      </c>
      <c r="X594" s="17">
        <f t="shared" si="2036"/>
        <v>526.4</v>
      </c>
      <c r="Y594" s="17">
        <f t="shared" si="2036"/>
        <v>479.19999999999987</v>
      </c>
      <c r="Z594" s="17">
        <f t="shared" si="2036"/>
        <v>541</v>
      </c>
      <c r="AA594" s="17">
        <f t="shared" si="2036"/>
        <v>868.4</v>
      </c>
      <c r="AB594" s="17">
        <f t="shared" si="2036"/>
        <v>895.8</v>
      </c>
      <c r="AC594" s="17">
        <f t="shared" si="2036"/>
        <v>958.8</v>
      </c>
      <c r="AD594" s="17">
        <f t="shared" ref="AD594" si="2037">+SUM(AD592:AD593)</f>
        <v>1047.8</v>
      </c>
      <c r="AE594" s="14"/>
      <c r="AF594" s="14"/>
      <c r="AG594" s="14"/>
      <c r="AH594" s="14"/>
      <c r="AI594" s="14"/>
      <c r="AJ594" s="14"/>
      <c r="AK594" s="14">
        <v>0</v>
      </c>
      <c r="AL594" s="17">
        <f t="shared" ref="AL594" si="2038">+SUM(AL592:AL593)</f>
        <v>41.100000000000009</v>
      </c>
      <c r="AM594" s="17">
        <f t="shared" ref="AM594" si="2039">+SUM(AM592:AM593)</f>
        <v>-29.200000000000017</v>
      </c>
      <c r="AN594" s="17">
        <f t="shared" ref="AN594" si="2040">+SUM(AN592:AN593)</f>
        <v>670</v>
      </c>
      <c r="AO594" s="17">
        <f t="shared" ref="AO594" si="2041">+SUM(AO592:AO593)</f>
        <v>399.70000000000005</v>
      </c>
      <c r="AP594" s="17">
        <f t="shared" ref="AP594" si="2042">+SUM(AP592:AP593)</f>
        <v>480.59999999999997</v>
      </c>
      <c r="AQ594" s="17">
        <f t="shared" ref="AQ594" si="2043">+SUM(AQ592:AQ593)</f>
        <v>868.4</v>
      </c>
    </row>
    <row r="595" spans="2:43" x14ac:dyDescent="0.2">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row>
    <row r="596" spans="2:43" s="1" customFormat="1" x14ac:dyDescent="0.2">
      <c r="B596" s="1" t="s">
        <v>345</v>
      </c>
      <c r="L596" s="34">
        <f>+L594+L581+SUM(L583:L584)</f>
        <v>840.8</v>
      </c>
      <c r="M596" s="34">
        <f t="shared" ref="M596:AC596" si="2044">+M594+M581+SUM(M583:M584)</f>
        <v>1014.3</v>
      </c>
      <c r="N596" s="34">
        <f t="shared" si="2044"/>
        <v>1115.5999999999999</v>
      </c>
      <c r="O596" s="34">
        <f t="shared" si="2044"/>
        <v>1779.3</v>
      </c>
      <c r="P596" s="34">
        <f t="shared" si="2044"/>
        <v>1808.6000000000004</v>
      </c>
      <c r="Q596" s="34">
        <f t="shared" si="2044"/>
        <v>1731.0999999999995</v>
      </c>
      <c r="R596" s="34">
        <f t="shared" si="2044"/>
        <v>2355.1</v>
      </c>
      <c r="S596" s="34">
        <f t="shared" si="2044"/>
        <v>2342.6000000000004</v>
      </c>
      <c r="T596" s="34">
        <f t="shared" si="2044"/>
        <v>2432.1000000000004</v>
      </c>
      <c r="U596" s="34">
        <f t="shared" si="2044"/>
        <v>2299.6000000000004</v>
      </c>
      <c r="V596" s="34">
        <f t="shared" si="2044"/>
        <v>2485.6999999999998</v>
      </c>
      <c r="W596" s="34">
        <f t="shared" si="2044"/>
        <v>2554</v>
      </c>
      <c r="X596" s="34">
        <f t="shared" si="2044"/>
        <v>2614.9</v>
      </c>
      <c r="Y596" s="34">
        <f t="shared" si="2044"/>
        <v>2590.6</v>
      </c>
      <c r="Z596" s="34">
        <f t="shared" si="2044"/>
        <v>2649.8999999999996</v>
      </c>
      <c r="AA596" s="34">
        <f t="shared" si="2044"/>
        <v>3387.8</v>
      </c>
      <c r="AB596" s="34">
        <f t="shared" si="2044"/>
        <v>3407.8</v>
      </c>
      <c r="AC596" s="34">
        <f t="shared" si="2044"/>
        <v>3494.2</v>
      </c>
      <c r="AD596" s="34">
        <f t="shared" ref="AD596" si="2045">+AD594+AD581+SUM(AD583:AD584)</f>
        <v>5048.8999999999996</v>
      </c>
      <c r="AE596" s="33"/>
      <c r="AF596" s="33"/>
      <c r="AG596" s="33"/>
      <c r="AH596" s="33"/>
      <c r="AI596" s="33"/>
      <c r="AJ596" s="33"/>
      <c r="AK596" s="33">
        <v>0</v>
      </c>
      <c r="AL596" s="34">
        <f t="shared" ref="AL596:AQ596" si="2046">+AL594+AL581+SUM(AL583:AL584)</f>
        <v>738.7</v>
      </c>
      <c r="AM596" s="34">
        <f t="shared" si="2046"/>
        <v>787.99999999999989</v>
      </c>
      <c r="AN596" s="34">
        <f t="shared" si="2046"/>
        <v>1779.3</v>
      </c>
      <c r="AO596" s="34">
        <f t="shared" si="2046"/>
        <v>2342.6000000000004</v>
      </c>
      <c r="AP596" s="34">
        <f t="shared" si="2046"/>
        <v>2554</v>
      </c>
      <c r="AQ596" s="34">
        <f t="shared" si="2046"/>
        <v>3387.8</v>
      </c>
    </row>
    <row r="598" spans="2:43" x14ac:dyDescent="0.2">
      <c r="B598" s="10" t="s">
        <v>391</v>
      </c>
      <c r="C598" s="9"/>
    </row>
    <row r="600" spans="2:43" x14ac:dyDescent="0.2">
      <c r="B600" s="23" t="s">
        <v>305</v>
      </c>
      <c r="AD600" s="216"/>
      <c r="AE600" s="216"/>
      <c r="AF600" s="216"/>
      <c r="AG600" s="216"/>
    </row>
    <row r="601" spans="2:43" x14ac:dyDescent="0.2">
      <c r="B601" t="s">
        <v>357</v>
      </c>
      <c r="K601" s="14"/>
      <c r="L601" s="14">
        <v>89.5</v>
      </c>
      <c r="M601" s="14">
        <v>0</v>
      </c>
      <c r="N601" s="14">
        <v>0</v>
      </c>
      <c r="O601" s="14">
        <v>0</v>
      </c>
      <c r="P601" s="14">
        <v>0</v>
      </c>
      <c r="Q601" s="14">
        <v>0</v>
      </c>
      <c r="R601" s="14">
        <v>0</v>
      </c>
      <c r="S601" s="14">
        <v>0</v>
      </c>
      <c r="T601" s="14">
        <v>0</v>
      </c>
      <c r="U601" s="14">
        <v>0</v>
      </c>
      <c r="V601" s="14">
        <v>0</v>
      </c>
      <c r="W601" s="14">
        <v>0</v>
      </c>
      <c r="X601" s="14">
        <v>0</v>
      </c>
      <c r="Y601" s="14">
        <v>0</v>
      </c>
      <c r="Z601" s="14">
        <v>0</v>
      </c>
      <c r="AA601" s="14">
        <v>0</v>
      </c>
      <c r="AB601" s="14">
        <v>0</v>
      </c>
      <c r="AC601" s="14">
        <v>0</v>
      </c>
      <c r="AD601" s="14">
        <v>0</v>
      </c>
      <c r="AE601" s="49">
        <v>0</v>
      </c>
      <c r="AF601" s="49">
        <v>0</v>
      </c>
      <c r="AG601" s="49">
        <v>0</v>
      </c>
      <c r="AH601" s="49">
        <v>0</v>
      </c>
      <c r="AI601" s="49">
        <v>0</v>
      </c>
    </row>
    <row r="602" spans="2:43" x14ac:dyDescent="0.2">
      <c r="B602" t="s">
        <v>355</v>
      </c>
      <c r="K602" s="14"/>
      <c r="L602" s="14">
        <v>509.8</v>
      </c>
      <c r="M602" s="14">
        <v>450</v>
      </c>
      <c r="N602" s="14">
        <v>450</v>
      </c>
      <c r="O602" s="14">
        <v>0</v>
      </c>
      <c r="P602" s="14">
        <v>0</v>
      </c>
      <c r="Q602" s="14">
        <v>0</v>
      </c>
      <c r="R602" s="14">
        <v>0</v>
      </c>
      <c r="S602" s="14">
        <v>0</v>
      </c>
      <c r="T602" s="14">
        <v>0</v>
      </c>
      <c r="U602" s="14">
        <v>0</v>
      </c>
      <c r="V602" s="14">
        <v>0</v>
      </c>
      <c r="W602" s="14">
        <v>0</v>
      </c>
      <c r="X602" s="14">
        <v>0</v>
      </c>
      <c r="Y602" s="14">
        <v>0</v>
      </c>
      <c r="Z602" s="14">
        <v>0</v>
      </c>
      <c r="AA602" s="14">
        <v>0</v>
      </c>
      <c r="AB602" s="14">
        <v>0</v>
      </c>
      <c r="AC602" s="14">
        <v>0</v>
      </c>
      <c r="AD602" s="14">
        <v>0</v>
      </c>
      <c r="AE602" s="49">
        <v>0</v>
      </c>
      <c r="AF602" s="49">
        <v>0</v>
      </c>
      <c r="AG602" s="49">
        <v>0</v>
      </c>
      <c r="AH602" s="49">
        <v>0</v>
      </c>
      <c r="AI602" s="49">
        <v>0</v>
      </c>
    </row>
    <row r="603" spans="2:43" x14ac:dyDescent="0.2">
      <c r="B603" t="s">
        <v>356</v>
      </c>
      <c r="K603" s="14"/>
      <c r="L603" s="14">
        <v>130</v>
      </c>
      <c r="M603" s="14">
        <v>0</v>
      </c>
      <c r="N603" s="14">
        <v>0</v>
      </c>
      <c r="O603" s="14">
        <v>0</v>
      </c>
      <c r="P603" s="14">
        <v>0</v>
      </c>
      <c r="Q603" s="14">
        <v>0</v>
      </c>
      <c r="R603" s="14">
        <v>0</v>
      </c>
      <c r="S603" s="14">
        <v>0</v>
      </c>
      <c r="T603" s="14">
        <v>0</v>
      </c>
      <c r="U603" s="14">
        <v>0</v>
      </c>
      <c r="V603" s="14">
        <v>0</v>
      </c>
      <c r="W603" s="14">
        <v>0</v>
      </c>
      <c r="X603" s="14">
        <v>0</v>
      </c>
      <c r="Y603" s="14">
        <v>0</v>
      </c>
      <c r="Z603" s="14">
        <v>0</v>
      </c>
      <c r="AA603" s="14">
        <v>0</v>
      </c>
      <c r="AB603" s="14">
        <v>0</v>
      </c>
      <c r="AC603" s="14">
        <v>0</v>
      </c>
      <c r="AD603" s="14">
        <v>0</v>
      </c>
      <c r="AE603" s="49">
        <v>0</v>
      </c>
      <c r="AF603" s="49">
        <v>0</v>
      </c>
      <c r="AG603" s="49">
        <v>0</v>
      </c>
      <c r="AH603" s="49">
        <v>0</v>
      </c>
      <c r="AI603" s="49">
        <v>0</v>
      </c>
    </row>
    <row r="604" spans="2:43" x14ac:dyDescent="0.2">
      <c r="B604" t="s">
        <v>352</v>
      </c>
      <c r="K604" s="14"/>
      <c r="L604" s="14">
        <v>0</v>
      </c>
      <c r="M604" s="14">
        <v>0</v>
      </c>
      <c r="N604" s="14">
        <v>0</v>
      </c>
      <c r="O604" s="14">
        <v>450</v>
      </c>
      <c r="P604" s="14">
        <v>450</v>
      </c>
      <c r="Q604" s="14">
        <v>450</v>
      </c>
      <c r="R604" s="14">
        <v>450</v>
      </c>
      <c r="S604" s="14">
        <v>450</v>
      </c>
      <c r="T604" s="14">
        <v>450</v>
      </c>
      <c r="U604" s="14">
        <v>450</v>
      </c>
      <c r="V604" s="14">
        <v>450</v>
      </c>
      <c r="W604" s="14">
        <v>450</v>
      </c>
      <c r="X604" s="14">
        <v>450</v>
      </c>
      <c r="Y604" s="14">
        <v>450</v>
      </c>
      <c r="Z604" s="14">
        <v>450</v>
      </c>
      <c r="AA604" s="14">
        <v>450</v>
      </c>
      <c r="AB604" s="14">
        <v>450</v>
      </c>
      <c r="AC604" s="14">
        <v>450</v>
      </c>
      <c r="AD604" s="14">
        <v>450</v>
      </c>
      <c r="AE604" s="49">
        <v>450</v>
      </c>
      <c r="AF604" s="49">
        <v>450</v>
      </c>
      <c r="AG604" s="49">
        <v>450</v>
      </c>
      <c r="AH604" s="49">
        <v>450</v>
      </c>
      <c r="AI604" s="49">
        <v>450</v>
      </c>
    </row>
    <row r="605" spans="2:43" x14ac:dyDescent="0.2">
      <c r="B605" t="s">
        <v>365</v>
      </c>
      <c r="K605" s="14"/>
      <c r="L605" s="14">
        <v>0</v>
      </c>
      <c r="M605" s="14">
        <v>0</v>
      </c>
      <c r="N605" s="14">
        <v>0</v>
      </c>
      <c r="O605" s="14">
        <v>0</v>
      </c>
      <c r="P605" s="14">
        <v>0</v>
      </c>
      <c r="Q605" s="14">
        <v>0</v>
      </c>
      <c r="R605" s="14">
        <v>0</v>
      </c>
      <c r="S605" s="14">
        <v>0</v>
      </c>
      <c r="T605" s="14">
        <v>0</v>
      </c>
      <c r="U605" s="14">
        <v>0</v>
      </c>
      <c r="V605" s="14">
        <v>0</v>
      </c>
      <c r="W605" s="14">
        <v>0</v>
      </c>
      <c r="X605" s="14">
        <v>0</v>
      </c>
      <c r="Y605" s="14">
        <v>0</v>
      </c>
      <c r="Z605" s="14">
        <v>0</v>
      </c>
      <c r="AA605" s="14">
        <v>0</v>
      </c>
      <c r="AB605" s="14">
        <v>0</v>
      </c>
      <c r="AC605" s="14">
        <v>0</v>
      </c>
      <c r="AD605" s="14">
        <v>1100</v>
      </c>
      <c r="AE605" s="49">
        <v>1100</v>
      </c>
      <c r="AF605" s="49">
        <v>1100</v>
      </c>
      <c r="AG605" s="49">
        <v>1100</v>
      </c>
      <c r="AH605" s="49">
        <v>1100</v>
      </c>
      <c r="AI605" s="49">
        <v>1100</v>
      </c>
    </row>
    <row r="606" spans="2:43" x14ac:dyDescent="0.2">
      <c r="B606" t="s">
        <v>367</v>
      </c>
      <c r="K606" s="14"/>
      <c r="L606" s="14">
        <v>0</v>
      </c>
      <c r="M606" s="14">
        <v>0</v>
      </c>
      <c r="N606" s="14">
        <v>0</v>
      </c>
      <c r="O606" s="14">
        <v>577.5</v>
      </c>
      <c r="P606" s="14">
        <v>690</v>
      </c>
      <c r="Q606" s="14">
        <v>690</v>
      </c>
      <c r="R606" s="14">
        <v>690</v>
      </c>
      <c r="S606" s="14">
        <v>690</v>
      </c>
      <c r="T606" s="14">
        <v>690</v>
      </c>
      <c r="U606" s="14">
        <v>690</v>
      </c>
      <c r="V606" s="14">
        <v>690</v>
      </c>
      <c r="W606" s="14">
        <v>690</v>
      </c>
      <c r="X606" s="14">
        <v>690</v>
      </c>
      <c r="Y606" s="14">
        <v>690</v>
      </c>
      <c r="Z606" s="14">
        <v>690</v>
      </c>
      <c r="AA606" s="14">
        <v>690</v>
      </c>
      <c r="AB606" s="14">
        <v>690</v>
      </c>
      <c r="AC606" s="14">
        <v>690</v>
      </c>
      <c r="AD606" s="14">
        <v>690</v>
      </c>
      <c r="AE606" s="49">
        <v>690</v>
      </c>
      <c r="AF606" s="49">
        <v>690</v>
      </c>
      <c r="AG606" s="49">
        <v>690</v>
      </c>
      <c r="AH606" s="49">
        <v>690</v>
      </c>
      <c r="AI606" s="49">
        <v>0</v>
      </c>
    </row>
    <row r="607" spans="2:43" x14ac:dyDescent="0.2">
      <c r="B607" t="s">
        <v>366</v>
      </c>
      <c r="K607" s="14"/>
      <c r="L607" s="14">
        <v>0</v>
      </c>
      <c r="M607" s="14">
        <v>0</v>
      </c>
      <c r="N607" s="14">
        <v>0</v>
      </c>
      <c r="O607" s="14">
        <v>0</v>
      </c>
      <c r="P607" s="14">
        <v>0</v>
      </c>
      <c r="Q607" s="14">
        <v>0</v>
      </c>
      <c r="R607" s="14">
        <v>632.5</v>
      </c>
      <c r="S607" s="14">
        <v>632.5</v>
      </c>
      <c r="T607" s="14">
        <v>632.5</v>
      </c>
      <c r="U607" s="14">
        <v>632.5</v>
      </c>
      <c r="V607" s="14">
        <v>632.5</v>
      </c>
      <c r="W607" s="14">
        <v>632.5</v>
      </c>
      <c r="X607" s="14">
        <v>632.5</v>
      </c>
      <c r="Y607" s="14">
        <v>632.5</v>
      </c>
      <c r="Z607" s="14">
        <v>632.5</v>
      </c>
      <c r="AA607" s="14">
        <v>632.5</v>
      </c>
      <c r="AB607" s="14">
        <v>632.5</v>
      </c>
      <c r="AC607" s="14">
        <v>632.5</v>
      </c>
      <c r="AD607" s="14">
        <v>632.5</v>
      </c>
      <c r="AE607" s="49">
        <v>632.5</v>
      </c>
      <c r="AF607" s="49">
        <v>632.5</v>
      </c>
      <c r="AG607" s="49">
        <v>632.5</v>
      </c>
      <c r="AH607" s="49">
        <v>632.5</v>
      </c>
      <c r="AI607" s="49">
        <v>632.5</v>
      </c>
    </row>
    <row r="608" spans="2:43" ht="13.5" x14ac:dyDescent="0.35">
      <c r="B608" t="s">
        <v>170</v>
      </c>
      <c r="K608" s="15"/>
      <c r="L608" s="15">
        <v>0</v>
      </c>
      <c r="M608" s="15">
        <v>2.6</v>
      </c>
      <c r="N608" s="15">
        <v>1.8</v>
      </c>
      <c r="O608" s="15">
        <v>0.9</v>
      </c>
      <c r="P608" s="15">
        <v>0</v>
      </c>
      <c r="Q608" s="15">
        <v>0</v>
      </c>
      <c r="R608" s="15">
        <v>0</v>
      </c>
      <c r="S608" s="15">
        <v>0</v>
      </c>
      <c r="T608" s="15">
        <v>0</v>
      </c>
      <c r="U608" s="15">
        <v>0</v>
      </c>
      <c r="V608" s="15">
        <v>0</v>
      </c>
      <c r="W608" s="15">
        <v>0</v>
      </c>
      <c r="X608" s="15">
        <v>0</v>
      </c>
      <c r="Y608" s="15">
        <v>0</v>
      </c>
      <c r="Z608" s="15">
        <v>0</v>
      </c>
      <c r="AA608" s="15">
        <v>0</v>
      </c>
      <c r="AB608" s="15">
        <v>0</v>
      </c>
      <c r="AC608" s="15">
        <v>0</v>
      </c>
      <c r="AD608" s="15">
        <v>0</v>
      </c>
      <c r="AE608" s="22">
        <v>0</v>
      </c>
      <c r="AF608" s="22">
        <v>0</v>
      </c>
      <c r="AG608" s="22">
        <v>0</v>
      </c>
      <c r="AH608" s="22">
        <v>0</v>
      </c>
      <c r="AI608" s="22">
        <v>0</v>
      </c>
    </row>
    <row r="609" spans="2:35" s="1" customFormat="1" x14ac:dyDescent="0.2">
      <c r="B609" s="31" t="s">
        <v>180</v>
      </c>
      <c r="K609" s="56"/>
      <c r="L609" s="56">
        <f t="shared" ref="L609:AE609" si="2047">SUM(L601:L608)</f>
        <v>729.3</v>
      </c>
      <c r="M609" s="56">
        <f t="shared" si="2047"/>
        <v>452.6</v>
      </c>
      <c r="N609" s="56">
        <f t="shared" si="2047"/>
        <v>451.8</v>
      </c>
      <c r="O609" s="56">
        <f t="shared" si="2047"/>
        <v>1028.4000000000001</v>
      </c>
      <c r="P609" s="56">
        <f t="shared" si="2047"/>
        <v>1140</v>
      </c>
      <c r="Q609" s="56">
        <f t="shared" si="2047"/>
        <v>1140</v>
      </c>
      <c r="R609" s="56">
        <f t="shared" si="2047"/>
        <v>1772.5</v>
      </c>
      <c r="S609" s="56">
        <f t="shared" si="2047"/>
        <v>1772.5</v>
      </c>
      <c r="T609" s="56">
        <f t="shared" si="2047"/>
        <v>1772.5</v>
      </c>
      <c r="U609" s="56">
        <f t="shared" si="2047"/>
        <v>1772.5</v>
      </c>
      <c r="V609" s="56">
        <f t="shared" si="2047"/>
        <v>1772.5</v>
      </c>
      <c r="W609" s="56">
        <f t="shared" si="2047"/>
        <v>1772.5</v>
      </c>
      <c r="X609" s="56">
        <f t="shared" si="2047"/>
        <v>1772.5</v>
      </c>
      <c r="Y609" s="56">
        <f t="shared" si="2047"/>
        <v>1772.5</v>
      </c>
      <c r="Z609" s="56">
        <f t="shared" si="2047"/>
        <v>1772.5</v>
      </c>
      <c r="AA609" s="56">
        <f t="shared" si="2047"/>
        <v>1772.5</v>
      </c>
      <c r="AB609" s="56">
        <f t="shared" si="2047"/>
        <v>1772.5</v>
      </c>
      <c r="AC609" s="56">
        <f t="shared" si="2047"/>
        <v>1772.5</v>
      </c>
      <c r="AD609" s="56">
        <f t="shared" si="2047"/>
        <v>2872.5</v>
      </c>
      <c r="AE609" s="56">
        <f t="shared" si="2047"/>
        <v>2872.5</v>
      </c>
      <c r="AF609" s="56">
        <f t="shared" ref="AF609" si="2048">SUM(AF601:AF608)</f>
        <v>2872.5</v>
      </c>
      <c r="AG609" s="56">
        <f t="shared" ref="AG609" si="2049">SUM(AG601:AG608)</f>
        <v>2872.5</v>
      </c>
      <c r="AH609" s="56">
        <f t="shared" ref="AH609" si="2050">SUM(AH601:AH608)</f>
        <v>2872.5</v>
      </c>
      <c r="AI609" s="56">
        <f t="shared" ref="AI609" si="2051">SUM(AI601:AI608)</f>
        <v>2182.5</v>
      </c>
    </row>
    <row r="610" spans="2:35" ht="13.5" x14ac:dyDescent="0.35">
      <c r="B610" t="s">
        <v>358</v>
      </c>
      <c r="K610" s="15"/>
      <c r="L610" s="15">
        <v>-20.7</v>
      </c>
      <c r="M610" s="15">
        <v>-12.6</v>
      </c>
      <c r="N610" s="15">
        <v>-12.3</v>
      </c>
      <c r="O610" s="15">
        <v>-22.1</v>
      </c>
      <c r="P610" s="15">
        <v>-23.6</v>
      </c>
      <c r="Q610" s="15">
        <v>-22.4</v>
      </c>
      <c r="R610" s="15">
        <v>-35.700000000000003</v>
      </c>
      <c r="S610" s="15">
        <v>-34</v>
      </c>
      <c r="T610" s="15">
        <v>-36.6</v>
      </c>
      <c r="U610" s="15">
        <v>-34.700000000000003</v>
      </c>
      <c r="V610" s="15">
        <v>-32.700000000000003</v>
      </c>
      <c r="W610" s="15">
        <v>-30.6</v>
      </c>
      <c r="X610" s="15">
        <v>-28.5</v>
      </c>
      <c r="Y610" s="15">
        <v>-26.5</v>
      </c>
      <c r="Z610" s="15">
        <v>-24.4</v>
      </c>
      <c r="AA610" s="15">
        <v>-22.3</v>
      </c>
      <c r="AB610" s="15">
        <v>-20.2</v>
      </c>
      <c r="AC610" s="15">
        <v>-18.2</v>
      </c>
      <c r="AD610" s="15">
        <v>-34.5</v>
      </c>
      <c r="AE610" s="22">
        <f>+AD610+AE638</f>
        <v>-32</v>
      </c>
      <c r="AF610" s="22">
        <f t="shared" ref="AF610:AI610" si="2052">+AE610+AF638</f>
        <v>-29.5</v>
      </c>
      <c r="AG610" s="22">
        <f t="shared" si="2052"/>
        <v>-27</v>
      </c>
      <c r="AH610" s="22">
        <f t="shared" si="2052"/>
        <v>-24.5</v>
      </c>
      <c r="AI610" s="22">
        <f t="shared" si="2052"/>
        <v>-22</v>
      </c>
    </row>
    <row r="611" spans="2:35" x14ac:dyDescent="0.2">
      <c r="B611" s="31" t="s">
        <v>359</v>
      </c>
      <c r="K611" s="56"/>
      <c r="L611" s="56">
        <f t="shared" ref="L611:AE611" si="2053">+SUM(L609:L610)</f>
        <v>708.59999999999991</v>
      </c>
      <c r="M611" s="56">
        <f t="shared" si="2053"/>
        <v>440</v>
      </c>
      <c r="N611" s="56">
        <f t="shared" si="2053"/>
        <v>439.5</v>
      </c>
      <c r="O611" s="56">
        <f t="shared" si="2053"/>
        <v>1006.3000000000001</v>
      </c>
      <c r="P611" s="56">
        <f t="shared" si="2053"/>
        <v>1116.4000000000001</v>
      </c>
      <c r="Q611" s="56">
        <f t="shared" si="2053"/>
        <v>1117.5999999999999</v>
      </c>
      <c r="R611" s="56">
        <f t="shared" si="2053"/>
        <v>1736.8</v>
      </c>
      <c r="S611" s="56">
        <f t="shared" si="2053"/>
        <v>1738.5</v>
      </c>
      <c r="T611" s="56">
        <f t="shared" si="2053"/>
        <v>1735.9</v>
      </c>
      <c r="U611" s="56">
        <f t="shared" si="2053"/>
        <v>1737.8</v>
      </c>
      <c r="V611" s="56">
        <f t="shared" si="2053"/>
        <v>1739.8</v>
      </c>
      <c r="W611" s="56">
        <f t="shared" si="2053"/>
        <v>1741.9</v>
      </c>
      <c r="X611" s="56">
        <f t="shared" si="2053"/>
        <v>1744</v>
      </c>
      <c r="Y611" s="56">
        <f t="shared" si="2053"/>
        <v>1746</v>
      </c>
      <c r="Z611" s="56">
        <f t="shared" si="2053"/>
        <v>1748.1</v>
      </c>
      <c r="AA611" s="56">
        <f t="shared" si="2053"/>
        <v>1750.2</v>
      </c>
      <c r="AB611" s="56">
        <f t="shared" si="2053"/>
        <v>1752.3</v>
      </c>
      <c r="AC611" s="56">
        <f t="shared" si="2053"/>
        <v>1754.3</v>
      </c>
      <c r="AD611" s="56">
        <f t="shared" si="2053"/>
        <v>2838</v>
      </c>
      <c r="AE611" s="56">
        <f t="shared" si="2053"/>
        <v>2840.5</v>
      </c>
      <c r="AF611" s="56">
        <f t="shared" ref="AF611" si="2054">+SUM(AF609:AF610)</f>
        <v>2843</v>
      </c>
      <c r="AG611" s="56">
        <f t="shared" ref="AG611" si="2055">+SUM(AG609:AG610)</f>
        <v>2845.5</v>
      </c>
      <c r="AH611" s="56">
        <f t="shared" ref="AH611" si="2056">+SUM(AH609:AH610)</f>
        <v>2848</v>
      </c>
      <c r="AI611" s="56">
        <f t="shared" ref="AI611" si="2057">+SUM(AI609:AI610)</f>
        <v>2160.5</v>
      </c>
    </row>
    <row r="613" spans="2:35" x14ac:dyDescent="0.2">
      <c r="B613" s="23" t="s">
        <v>360</v>
      </c>
    </row>
    <row r="614" spans="2:35" x14ac:dyDescent="0.2">
      <c r="B614" t="s">
        <v>357</v>
      </c>
      <c r="P614" s="184">
        <v>0</v>
      </c>
      <c r="Q614" s="184">
        <v>0</v>
      </c>
      <c r="R614" s="184">
        <v>0</v>
      </c>
      <c r="S614" s="184">
        <v>0</v>
      </c>
      <c r="T614" s="184">
        <v>0</v>
      </c>
      <c r="U614" s="184">
        <v>0</v>
      </c>
      <c r="V614" s="184">
        <v>0</v>
      </c>
      <c r="W614" s="184">
        <v>0</v>
      </c>
      <c r="X614" s="184">
        <v>0</v>
      </c>
      <c r="Y614" s="184">
        <v>0</v>
      </c>
      <c r="Z614" s="184">
        <v>0</v>
      </c>
      <c r="AA614" s="184">
        <v>0</v>
      </c>
      <c r="AB614" s="184">
        <v>0</v>
      </c>
      <c r="AC614" s="184">
        <v>0</v>
      </c>
      <c r="AD614" s="189">
        <v>0</v>
      </c>
      <c r="AE614" s="189">
        <v>0</v>
      </c>
      <c r="AF614" s="189">
        <v>0</v>
      </c>
      <c r="AG614" s="189">
        <v>0</v>
      </c>
      <c r="AH614" s="189">
        <v>0</v>
      </c>
      <c r="AI614" s="189">
        <v>0</v>
      </c>
    </row>
    <row r="615" spans="2:35" x14ac:dyDescent="0.2">
      <c r="B615" t="s">
        <v>355</v>
      </c>
      <c r="P615" s="184">
        <v>0</v>
      </c>
      <c r="Q615" s="184">
        <v>0</v>
      </c>
      <c r="R615" s="184">
        <v>0</v>
      </c>
      <c r="S615" s="184">
        <v>0</v>
      </c>
      <c r="T615" s="184">
        <v>0</v>
      </c>
      <c r="U615" s="184">
        <v>0</v>
      </c>
      <c r="V615" s="184">
        <v>0</v>
      </c>
      <c r="W615" s="184">
        <v>0</v>
      </c>
      <c r="X615" s="184">
        <v>0</v>
      </c>
      <c r="Y615" s="184">
        <v>0</v>
      </c>
      <c r="Z615" s="184">
        <v>0</v>
      </c>
      <c r="AA615" s="184">
        <v>0</v>
      </c>
      <c r="AB615" s="184">
        <v>0</v>
      </c>
      <c r="AC615" s="184">
        <v>0</v>
      </c>
      <c r="AD615" s="189">
        <v>0</v>
      </c>
      <c r="AE615" s="189">
        <v>0</v>
      </c>
      <c r="AF615" s="189">
        <v>0</v>
      </c>
      <c r="AG615" s="189">
        <v>0</v>
      </c>
      <c r="AH615" s="189">
        <v>0</v>
      </c>
      <c r="AI615" s="189">
        <v>0</v>
      </c>
    </row>
    <row r="616" spans="2:35" x14ac:dyDescent="0.2">
      <c r="B616" t="s">
        <v>356</v>
      </c>
      <c r="P616" s="184">
        <v>0</v>
      </c>
      <c r="Q616" s="184">
        <v>0</v>
      </c>
      <c r="R616" s="184">
        <v>0</v>
      </c>
      <c r="S616" s="184">
        <v>0</v>
      </c>
      <c r="T616" s="184">
        <v>0</v>
      </c>
      <c r="U616" s="184">
        <v>0</v>
      </c>
      <c r="V616" s="184">
        <v>0</v>
      </c>
      <c r="W616" s="184">
        <v>0</v>
      </c>
      <c r="X616" s="184">
        <v>0</v>
      </c>
      <c r="Y616" s="184">
        <v>0</v>
      </c>
      <c r="Z616" s="184">
        <v>0</v>
      </c>
      <c r="AA616" s="184">
        <v>0</v>
      </c>
      <c r="AB616" s="184">
        <v>0</v>
      </c>
      <c r="AC616" s="184">
        <v>0</v>
      </c>
      <c r="AD616" s="189">
        <v>0</v>
      </c>
      <c r="AE616" s="189">
        <v>0</v>
      </c>
      <c r="AF616" s="189">
        <v>0</v>
      </c>
      <c r="AG616" s="189">
        <v>0</v>
      </c>
      <c r="AH616" s="189">
        <v>0</v>
      </c>
      <c r="AI616" s="189">
        <v>0</v>
      </c>
    </row>
    <row r="617" spans="2:35" x14ac:dyDescent="0.2">
      <c r="B617" t="s">
        <v>352</v>
      </c>
      <c r="P617" s="184">
        <v>4.6249999999999999E-2</v>
      </c>
      <c r="Q617" s="184">
        <v>4.6249999999999999E-2</v>
      </c>
      <c r="R617" s="184">
        <v>4.6249999999999999E-2</v>
      </c>
      <c r="S617" s="184">
        <v>4.6249999999999999E-2</v>
      </c>
      <c r="T617" s="184">
        <v>4.6249999999999999E-2</v>
      </c>
      <c r="U617" s="184">
        <v>4.6249999999999999E-2</v>
      </c>
      <c r="V617" s="184">
        <v>4.6249999999999999E-2</v>
      </c>
      <c r="W617" s="184">
        <v>4.6249999999999999E-2</v>
      </c>
      <c r="X617" s="184">
        <v>4.6249999999999999E-2</v>
      </c>
      <c r="Y617" s="184">
        <v>4.6249999999999999E-2</v>
      </c>
      <c r="Z617" s="184">
        <v>4.6249999999999999E-2</v>
      </c>
      <c r="AA617" s="184">
        <v>4.6249999999999999E-2</v>
      </c>
      <c r="AB617" s="184">
        <v>4.6249999999999999E-2</v>
      </c>
      <c r="AC617" s="184">
        <v>4.6249999999999999E-2</v>
      </c>
      <c r="AD617" s="184">
        <v>4.6249999999999999E-2</v>
      </c>
      <c r="AE617" s="189">
        <v>4.6249999999999999E-2</v>
      </c>
      <c r="AF617" s="189">
        <v>4.6249999999999999E-2</v>
      </c>
      <c r="AG617" s="189">
        <v>4.6249999999999999E-2</v>
      </c>
      <c r="AH617" s="189">
        <v>4.6249999999999999E-2</v>
      </c>
      <c r="AI617" s="189">
        <v>4.6249999999999999E-2</v>
      </c>
    </row>
    <row r="618" spans="2:35" x14ac:dyDescent="0.2">
      <c r="B618" t="s">
        <v>365</v>
      </c>
      <c r="P618" s="184">
        <v>0</v>
      </c>
      <c r="Q618" s="184">
        <v>0</v>
      </c>
      <c r="R618" s="184">
        <v>0</v>
      </c>
      <c r="S618" s="184">
        <v>0</v>
      </c>
      <c r="T618" s="184">
        <v>0</v>
      </c>
      <c r="U618" s="184">
        <v>0</v>
      </c>
      <c r="V618" s="184">
        <v>0</v>
      </c>
      <c r="W618" s="184">
        <v>0</v>
      </c>
      <c r="X618" s="184">
        <v>0</v>
      </c>
      <c r="Y618" s="184">
        <v>0</v>
      </c>
      <c r="Z618" s="184">
        <v>0</v>
      </c>
      <c r="AA618" s="184">
        <v>0</v>
      </c>
      <c r="AB618" s="184">
        <v>0</v>
      </c>
      <c r="AC618" s="184">
        <v>0</v>
      </c>
      <c r="AD618" s="184">
        <v>6.7500000000000004E-2</v>
      </c>
      <c r="AE618" s="189">
        <v>6.7500000000000004E-2</v>
      </c>
      <c r="AF618" s="189">
        <v>6.7500000000000004E-2</v>
      </c>
      <c r="AG618" s="189">
        <v>6.7500000000000004E-2</v>
      </c>
      <c r="AH618" s="189">
        <v>6.7500000000000004E-2</v>
      </c>
      <c r="AI618" s="189">
        <v>6.7500000000000004E-2</v>
      </c>
    </row>
    <row r="619" spans="2:35" x14ac:dyDescent="0.2">
      <c r="B619" t="s">
        <v>367</v>
      </c>
      <c r="P619" s="184">
        <v>0</v>
      </c>
      <c r="Q619" s="184">
        <v>0</v>
      </c>
      <c r="R619" s="184">
        <v>0</v>
      </c>
      <c r="S619" s="184">
        <v>0</v>
      </c>
      <c r="T619" s="184">
        <v>0</v>
      </c>
      <c r="U619" s="184">
        <v>0</v>
      </c>
      <c r="V619" s="184">
        <v>0</v>
      </c>
      <c r="W619" s="184">
        <v>0</v>
      </c>
      <c r="X619" s="184">
        <v>0</v>
      </c>
      <c r="Y619" s="184">
        <v>0</v>
      </c>
      <c r="Z619" s="184">
        <v>0</v>
      </c>
      <c r="AA619" s="184">
        <v>0</v>
      </c>
      <c r="AB619" s="184">
        <v>0</v>
      </c>
      <c r="AC619" s="184">
        <v>0</v>
      </c>
      <c r="AD619" s="184">
        <v>0</v>
      </c>
      <c r="AE619" s="189">
        <v>0</v>
      </c>
      <c r="AF619" s="189">
        <v>0</v>
      </c>
      <c r="AG619" s="189">
        <v>0</v>
      </c>
      <c r="AH619" s="189">
        <v>0</v>
      </c>
      <c r="AI619" s="189">
        <v>0</v>
      </c>
    </row>
    <row r="620" spans="2:35" x14ac:dyDescent="0.2">
      <c r="B620" t="s">
        <v>366</v>
      </c>
      <c r="P620" s="184">
        <v>0</v>
      </c>
      <c r="Q620" s="184">
        <v>0</v>
      </c>
      <c r="R620" s="184">
        <v>5.0000000000000001E-3</v>
      </c>
      <c r="S620" s="184">
        <v>5.0000000000000001E-3</v>
      </c>
      <c r="T620" s="184">
        <v>5.0000000000000001E-3</v>
      </c>
      <c r="U620" s="184">
        <v>5.0000000000000001E-3</v>
      </c>
      <c r="V620" s="184">
        <v>5.0000000000000001E-3</v>
      </c>
      <c r="W620" s="184">
        <v>5.0000000000000001E-3</v>
      </c>
      <c r="X620" s="184">
        <v>5.0000000000000001E-3</v>
      </c>
      <c r="Y620" s="184">
        <v>5.0000000000000001E-3</v>
      </c>
      <c r="Z620" s="184">
        <v>5.0000000000000001E-3</v>
      </c>
      <c r="AA620" s="184">
        <v>5.0000000000000001E-3</v>
      </c>
      <c r="AB620" s="184">
        <v>5.0000000000000001E-3</v>
      </c>
      <c r="AC620" s="184">
        <v>5.0000000000000001E-3</v>
      </c>
      <c r="AD620" s="184">
        <v>5.0000000000000001E-3</v>
      </c>
      <c r="AE620" s="189">
        <v>5.0000000000000001E-3</v>
      </c>
      <c r="AF620" s="189">
        <v>5.0000000000000001E-3</v>
      </c>
      <c r="AG620" s="189">
        <v>5.0000000000000001E-3</v>
      </c>
      <c r="AH620" s="189">
        <v>5.0000000000000001E-3</v>
      </c>
      <c r="AI620" s="189">
        <v>5.0000000000000001E-3</v>
      </c>
    </row>
    <row r="621" spans="2:35" x14ac:dyDescent="0.2">
      <c r="B621" t="s">
        <v>170</v>
      </c>
      <c r="P621" s="185">
        <v>0</v>
      </c>
      <c r="Q621" s="185">
        <v>0</v>
      </c>
      <c r="R621" s="185">
        <v>0</v>
      </c>
      <c r="S621" s="185">
        <v>0</v>
      </c>
      <c r="T621" s="185">
        <v>0</v>
      </c>
      <c r="U621" s="185">
        <v>0</v>
      </c>
      <c r="V621" s="185">
        <v>0</v>
      </c>
      <c r="W621" s="185">
        <v>0</v>
      </c>
      <c r="X621" s="185">
        <v>0</v>
      </c>
      <c r="Y621" s="185">
        <v>0</v>
      </c>
      <c r="Z621" s="185">
        <v>0</v>
      </c>
      <c r="AA621" s="185">
        <v>0</v>
      </c>
      <c r="AB621" s="185">
        <v>0</v>
      </c>
      <c r="AC621" s="185">
        <v>0</v>
      </c>
      <c r="AD621" s="185">
        <v>0</v>
      </c>
      <c r="AE621" s="190">
        <v>0</v>
      </c>
      <c r="AF621" s="190">
        <v>0</v>
      </c>
      <c r="AG621" s="190">
        <v>0</v>
      </c>
      <c r="AH621" s="190">
        <v>0</v>
      </c>
      <c r="AI621" s="190">
        <v>0</v>
      </c>
    </row>
    <row r="622" spans="2:35" x14ac:dyDescent="0.2">
      <c r="B622" s="31" t="s">
        <v>180</v>
      </c>
      <c r="P622" s="188">
        <f t="shared" ref="P622:AE622" si="2058">+SUMPRODUCT(P614:P621,P601:P608)/P609</f>
        <v>1.8256578947368422E-2</v>
      </c>
      <c r="Q622" s="186">
        <f t="shared" si="2058"/>
        <v>1.8256578947368422E-2</v>
      </c>
      <c r="R622" s="186">
        <f t="shared" si="2058"/>
        <v>1.3526093088857548E-2</v>
      </c>
      <c r="S622" s="186">
        <f t="shared" si="2058"/>
        <v>1.3526093088857548E-2</v>
      </c>
      <c r="T622" s="186">
        <f t="shared" si="2058"/>
        <v>1.3526093088857548E-2</v>
      </c>
      <c r="U622" s="186">
        <f t="shared" si="2058"/>
        <v>1.3526093088857548E-2</v>
      </c>
      <c r="V622" s="186">
        <f t="shared" si="2058"/>
        <v>1.3526093088857548E-2</v>
      </c>
      <c r="W622" s="186">
        <f t="shared" si="2058"/>
        <v>1.3526093088857548E-2</v>
      </c>
      <c r="X622" s="186">
        <f t="shared" si="2058"/>
        <v>1.3526093088857548E-2</v>
      </c>
      <c r="Y622" s="186">
        <f t="shared" si="2058"/>
        <v>1.3526093088857548E-2</v>
      </c>
      <c r="Z622" s="186">
        <f t="shared" si="2058"/>
        <v>1.3526093088857548E-2</v>
      </c>
      <c r="AA622" s="186">
        <f t="shared" si="2058"/>
        <v>1.3526093088857548E-2</v>
      </c>
      <c r="AB622" s="186">
        <f t="shared" si="2058"/>
        <v>1.3526093088857548E-2</v>
      </c>
      <c r="AC622" s="186">
        <f t="shared" si="2058"/>
        <v>1.3526093088857548E-2</v>
      </c>
      <c r="AD622" s="186">
        <f t="shared" ref="AD622" si="2059">+SUMPRODUCT(AD614:AD621,AD601:AD608)/AD609</f>
        <v>3.4194952132288944E-2</v>
      </c>
      <c r="AE622" s="186">
        <f t="shared" si="2058"/>
        <v>3.4194952132288944E-2</v>
      </c>
      <c r="AF622" s="186">
        <f t="shared" ref="AF622:AI622" si="2060">+SUMPRODUCT(AF614:AF621,AF601:AF608)/AF609</f>
        <v>3.4194952132288944E-2</v>
      </c>
      <c r="AG622" s="186">
        <f t="shared" si="2060"/>
        <v>3.4194952132288944E-2</v>
      </c>
      <c r="AH622" s="186">
        <f t="shared" si="2060"/>
        <v>3.4194952132288944E-2</v>
      </c>
      <c r="AI622" s="186">
        <f t="shared" si="2060"/>
        <v>4.5005727376861392E-2</v>
      </c>
    </row>
    <row r="623" spans="2:35" x14ac:dyDescent="0.2">
      <c r="B623" t="s">
        <v>358</v>
      </c>
      <c r="P623" s="187">
        <f>+P624-P622</f>
        <v>6.2405237991336703E-3</v>
      </c>
      <c r="Q623" s="187">
        <f t="shared" ref="Q623:AE623" si="2061">+Q624-Q622</f>
        <v>4.3038507751024802E-3</v>
      </c>
      <c r="R623" s="187">
        <f t="shared" si="2061"/>
        <v>7.2138172250438021E-3</v>
      </c>
      <c r="S623" s="187">
        <f t="shared" si="2061"/>
        <v>4.4291913470184911E-3</v>
      </c>
      <c r="T623" s="187">
        <f t="shared" si="2061"/>
        <v>4.6640980232769223E-3</v>
      </c>
      <c r="U623" s="187">
        <f t="shared" si="2061"/>
        <v>5.8192735231123987E-3</v>
      </c>
      <c r="V623" s="187">
        <f t="shared" si="2061"/>
        <v>5.5675347004224187E-3</v>
      </c>
      <c r="W623" s="187">
        <f t="shared" si="2061"/>
        <v>4.6259590695708081E-3</v>
      </c>
      <c r="X623" s="187">
        <f t="shared" si="2061"/>
        <v>5.0630804387823709E-3</v>
      </c>
      <c r="Y623" s="187">
        <f t="shared" si="2061"/>
        <v>4.8120157936639412E-3</v>
      </c>
      <c r="Z623" s="187">
        <f t="shared" si="2061"/>
        <v>4.7904977356752355E-3</v>
      </c>
      <c r="AA623" s="187">
        <f t="shared" si="2061"/>
        <v>4.7685071455420159E-3</v>
      </c>
      <c r="AB623" s="187">
        <f t="shared" si="2061"/>
        <v>4.9749775749540152E-3</v>
      </c>
      <c r="AC623" s="187">
        <f t="shared" si="2061"/>
        <v>4.9533456837426906E-3</v>
      </c>
      <c r="AD623" s="187">
        <f t="shared" ref="AD623" si="2062">+AD624-AD622</f>
        <v>-2.3155017479499426E-3</v>
      </c>
      <c r="AE623" s="187">
        <f t="shared" si="2061"/>
        <v>3.9225084646996936E-3</v>
      </c>
      <c r="AF623" s="187">
        <f t="shared" ref="AF623" si="2063">+AF624-AF622</f>
        <v>3.888975025272412E-3</v>
      </c>
      <c r="AG623" s="187">
        <f t="shared" ref="AG623" si="2064">+AG624-AG622</f>
        <v>3.8555005353738819E-3</v>
      </c>
      <c r="AH623" s="187">
        <f t="shared" ref="AH623" si="2065">+AH624-AH622</f>
        <v>3.8220848396966489E-3</v>
      </c>
      <c r="AI623" s="187">
        <f t="shared" ref="AI623" si="2066">+AI624-AI622</f>
        <v>-1.7891954810842145E-3</v>
      </c>
    </row>
    <row r="624" spans="2:35" x14ac:dyDescent="0.2">
      <c r="B624" s="31" t="s">
        <v>359</v>
      </c>
      <c r="P624" s="186">
        <f t="shared" ref="P624:AE624" si="2067">+P639*4/AVERAGE(O611:P611)</f>
        <v>2.4497102746502093E-2</v>
      </c>
      <c r="Q624" s="186">
        <f t="shared" si="2067"/>
        <v>2.2560429722470902E-2</v>
      </c>
      <c r="R624" s="186">
        <f t="shared" si="2067"/>
        <v>2.073991031390135E-2</v>
      </c>
      <c r="S624" s="186">
        <f t="shared" si="2067"/>
        <v>1.7955284435876039E-2</v>
      </c>
      <c r="T624" s="186">
        <f t="shared" si="2067"/>
        <v>1.819019111213447E-2</v>
      </c>
      <c r="U624" s="186">
        <f t="shared" si="2067"/>
        <v>1.9345366611969946E-2</v>
      </c>
      <c r="V624" s="186">
        <f t="shared" si="2067"/>
        <v>1.9093627789279966E-2</v>
      </c>
      <c r="W624" s="186">
        <f t="shared" si="2067"/>
        <v>1.8152052158428356E-2</v>
      </c>
      <c r="X624" s="186">
        <f t="shared" si="2067"/>
        <v>1.8589173527639918E-2</v>
      </c>
      <c r="Y624" s="186">
        <f t="shared" si="2067"/>
        <v>1.8338108882521489E-2</v>
      </c>
      <c r="Z624" s="186">
        <f t="shared" si="2067"/>
        <v>1.8316590824532783E-2</v>
      </c>
      <c r="AA624" s="186">
        <f t="shared" si="2067"/>
        <v>1.8294600234399563E-2</v>
      </c>
      <c r="AB624" s="186">
        <f t="shared" si="2067"/>
        <v>1.8501070663811563E-2</v>
      </c>
      <c r="AC624" s="186">
        <f t="shared" si="2067"/>
        <v>1.8479438772600238E-2</v>
      </c>
      <c r="AD624" s="186">
        <f t="shared" si="2067"/>
        <v>3.1879450384339002E-2</v>
      </c>
      <c r="AE624" s="186">
        <f t="shared" si="2067"/>
        <v>3.8117460596988638E-2</v>
      </c>
      <c r="AF624" s="186">
        <f t="shared" ref="AF624:AI624" si="2068">+AF639*4/AVERAGE(AE611:AF611)</f>
        <v>3.8083927157561356E-2</v>
      </c>
      <c r="AG624" s="186">
        <f t="shared" si="2068"/>
        <v>3.8050452667662826E-2</v>
      </c>
      <c r="AH624" s="186">
        <f t="shared" si="2068"/>
        <v>3.8017036971985593E-2</v>
      </c>
      <c r="AI624" s="186">
        <f t="shared" si="2068"/>
        <v>4.3216531895777177E-2</v>
      </c>
    </row>
    <row r="625" spans="2:35" x14ac:dyDescent="0.2">
      <c r="B625" s="31"/>
      <c r="P625" s="186"/>
      <c r="Q625" s="186"/>
      <c r="R625" s="186"/>
      <c r="S625" s="186"/>
      <c r="T625" s="186"/>
      <c r="U625" s="186"/>
      <c r="V625" s="186"/>
      <c r="W625" s="186"/>
      <c r="X625" s="186"/>
      <c r="Y625" s="186"/>
      <c r="Z625" s="186"/>
      <c r="AA625" s="186"/>
      <c r="AB625" s="186"/>
      <c r="AC625" s="186"/>
    </row>
    <row r="626" spans="2:35" x14ac:dyDescent="0.2">
      <c r="B626" t="s">
        <v>363</v>
      </c>
      <c r="P626" s="186"/>
      <c r="Q626" s="186"/>
      <c r="R626" s="186"/>
      <c r="S626" s="186"/>
      <c r="T626" s="186"/>
      <c r="U626" s="186"/>
      <c r="V626" s="186"/>
      <c r="W626" s="186"/>
      <c r="X626" s="186"/>
      <c r="Y626" s="186"/>
      <c r="Z626" s="186"/>
      <c r="AA626" s="186"/>
      <c r="AB626" s="186"/>
      <c r="AC626" s="186"/>
    </row>
    <row r="628" spans="2:35" x14ac:dyDescent="0.2">
      <c r="B628" s="23" t="s">
        <v>361</v>
      </c>
    </row>
    <row r="629" spans="2:35" x14ac:dyDescent="0.2">
      <c r="B629" t="s">
        <v>357</v>
      </c>
      <c r="P629" s="17">
        <f t="shared" ref="P629:AE629" si="2069">+P614*AVERAGE(O601:P601)/4</f>
        <v>0</v>
      </c>
      <c r="Q629" s="17">
        <f t="shared" si="2069"/>
        <v>0</v>
      </c>
      <c r="R629" s="17">
        <f t="shared" si="2069"/>
        <v>0</v>
      </c>
      <c r="S629" s="17">
        <f t="shared" si="2069"/>
        <v>0</v>
      </c>
      <c r="T629" s="17">
        <f t="shared" si="2069"/>
        <v>0</v>
      </c>
      <c r="U629" s="17">
        <f t="shared" si="2069"/>
        <v>0</v>
      </c>
      <c r="V629" s="17">
        <f t="shared" si="2069"/>
        <v>0</v>
      </c>
      <c r="W629" s="17">
        <f t="shared" si="2069"/>
        <v>0</v>
      </c>
      <c r="X629" s="17">
        <f t="shared" si="2069"/>
        <v>0</v>
      </c>
      <c r="Y629" s="17">
        <f t="shared" si="2069"/>
        <v>0</v>
      </c>
      <c r="Z629" s="17">
        <f t="shared" si="2069"/>
        <v>0</v>
      </c>
      <c r="AA629" s="17">
        <f t="shared" si="2069"/>
        <v>0</v>
      </c>
      <c r="AB629" s="17">
        <f t="shared" si="2069"/>
        <v>0</v>
      </c>
      <c r="AC629" s="17">
        <f t="shared" si="2069"/>
        <v>0</v>
      </c>
      <c r="AD629" s="17">
        <f t="shared" si="2069"/>
        <v>0</v>
      </c>
      <c r="AE629" s="17">
        <f t="shared" si="2069"/>
        <v>0</v>
      </c>
      <c r="AF629" s="17">
        <f t="shared" ref="AF629:AI629" si="2070">+AF614*AVERAGE(AE601:AF601)/4</f>
        <v>0</v>
      </c>
      <c r="AG629" s="17">
        <f t="shared" si="2070"/>
        <v>0</v>
      </c>
      <c r="AH629" s="17">
        <f t="shared" si="2070"/>
        <v>0</v>
      </c>
      <c r="AI629" s="17">
        <f t="shared" si="2070"/>
        <v>0</v>
      </c>
    </row>
    <row r="630" spans="2:35" x14ac:dyDescent="0.2">
      <c r="B630" t="s">
        <v>355</v>
      </c>
      <c r="P630" s="17">
        <f t="shared" ref="P630:AE630" si="2071">+P615*AVERAGE(O602:P602)/4</f>
        <v>0</v>
      </c>
      <c r="Q630" s="17">
        <f t="shared" si="2071"/>
        <v>0</v>
      </c>
      <c r="R630" s="17">
        <f t="shared" si="2071"/>
        <v>0</v>
      </c>
      <c r="S630" s="17">
        <f t="shared" si="2071"/>
        <v>0</v>
      </c>
      <c r="T630" s="17">
        <f t="shared" si="2071"/>
        <v>0</v>
      </c>
      <c r="U630" s="17">
        <f t="shared" si="2071"/>
        <v>0</v>
      </c>
      <c r="V630" s="17">
        <f t="shared" si="2071"/>
        <v>0</v>
      </c>
      <c r="W630" s="17">
        <f t="shared" si="2071"/>
        <v>0</v>
      </c>
      <c r="X630" s="17">
        <f t="shared" si="2071"/>
        <v>0</v>
      </c>
      <c r="Y630" s="17">
        <f t="shared" si="2071"/>
        <v>0</v>
      </c>
      <c r="Z630" s="17">
        <f t="shared" si="2071"/>
        <v>0</v>
      </c>
      <c r="AA630" s="17">
        <f t="shared" si="2071"/>
        <v>0</v>
      </c>
      <c r="AB630" s="17">
        <f t="shared" si="2071"/>
        <v>0</v>
      </c>
      <c r="AC630" s="17">
        <f t="shared" si="2071"/>
        <v>0</v>
      </c>
      <c r="AD630" s="17">
        <f t="shared" si="2071"/>
        <v>0</v>
      </c>
      <c r="AE630" s="17">
        <f t="shared" si="2071"/>
        <v>0</v>
      </c>
      <c r="AF630" s="17">
        <f t="shared" ref="AF630:AI630" si="2072">+AF615*AVERAGE(AE602:AF602)/4</f>
        <v>0</v>
      </c>
      <c r="AG630" s="17">
        <f t="shared" si="2072"/>
        <v>0</v>
      </c>
      <c r="AH630" s="17">
        <f t="shared" si="2072"/>
        <v>0</v>
      </c>
      <c r="AI630" s="17">
        <f t="shared" si="2072"/>
        <v>0</v>
      </c>
    </row>
    <row r="631" spans="2:35" x14ac:dyDescent="0.2">
      <c r="B631" t="s">
        <v>356</v>
      </c>
      <c r="P631" s="17">
        <f t="shared" ref="P631:AE631" si="2073">+P616*AVERAGE(O603:P603)/4</f>
        <v>0</v>
      </c>
      <c r="Q631" s="17">
        <f t="shared" si="2073"/>
        <v>0</v>
      </c>
      <c r="R631" s="17">
        <f t="shared" si="2073"/>
        <v>0</v>
      </c>
      <c r="S631" s="17">
        <f t="shared" si="2073"/>
        <v>0</v>
      </c>
      <c r="T631" s="17">
        <f t="shared" si="2073"/>
        <v>0</v>
      </c>
      <c r="U631" s="17">
        <f t="shared" si="2073"/>
        <v>0</v>
      </c>
      <c r="V631" s="17">
        <f t="shared" si="2073"/>
        <v>0</v>
      </c>
      <c r="W631" s="17">
        <f t="shared" si="2073"/>
        <v>0</v>
      </c>
      <c r="X631" s="17">
        <f t="shared" si="2073"/>
        <v>0</v>
      </c>
      <c r="Y631" s="17">
        <f t="shared" si="2073"/>
        <v>0</v>
      </c>
      <c r="Z631" s="17">
        <f t="shared" si="2073"/>
        <v>0</v>
      </c>
      <c r="AA631" s="17">
        <f t="shared" si="2073"/>
        <v>0</v>
      </c>
      <c r="AB631" s="17">
        <f t="shared" si="2073"/>
        <v>0</v>
      </c>
      <c r="AC631" s="17">
        <f t="shared" si="2073"/>
        <v>0</v>
      </c>
      <c r="AD631" s="17">
        <f t="shared" si="2073"/>
        <v>0</v>
      </c>
      <c r="AE631" s="17">
        <f t="shared" si="2073"/>
        <v>0</v>
      </c>
      <c r="AF631" s="17">
        <f t="shared" ref="AF631:AI631" si="2074">+AF616*AVERAGE(AE603:AF603)/4</f>
        <v>0</v>
      </c>
      <c r="AG631" s="17">
        <f t="shared" si="2074"/>
        <v>0</v>
      </c>
      <c r="AH631" s="17">
        <f t="shared" si="2074"/>
        <v>0</v>
      </c>
      <c r="AI631" s="17">
        <f t="shared" si="2074"/>
        <v>0</v>
      </c>
    </row>
    <row r="632" spans="2:35" x14ac:dyDescent="0.2">
      <c r="B632" t="s">
        <v>352</v>
      </c>
      <c r="P632" s="17">
        <f t="shared" ref="P632:AE632" si="2075">+P617*AVERAGE(O604:P604)/4</f>
        <v>5.203125</v>
      </c>
      <c r="Q632" s="17">
        <f t="shared" si="2075"/>
        <v>5.203125</v>
      </c>
      <c r="R632" s="17">
        <f t="shared" si="2075"/>
        <v>5.203125</v>
      </c>
      <c r="S632" s="17">
        <f t="shared" si="2075"/>
        <v>5.203125</v>
      </c>
      <c r="T632" s="17">
        <f t="shared" si="2075"/>
        <v>5.203125</v>
      </c>
      <c r="U632" s="17">
        <f t="shared" si="2075"/>
        <v>5.203125</v>
      </c>
      <c r="V632" s="17">
        <f t="shared" si="2075"/>
        <v>5.203125</v>
      </c>
      <c r="W632" s="17">
        <f t="shared" si="2075"/>
        <v>5.203125</v>
      </c>
      <c r="X632" s="17">
        <f t="shared" si="2075"/>
        <v>5.203125</v>
      </c>
      <c r="Y632" s="17">
        <f t="shared" si="2075"/>
        <v>5.203125</v>
      </c>
      <c r="Z632" s="17">
        <f t="shared" si="2075"/>
        <v>5.203125</v>
      </c>
      <c r="AA632" s="17">
        <f t="shared" si="2075"/>
        <v>5.203125</v>
      </c>
      <c r="AB632" s="17">
        <f t="shared" si="2075"/>
        <v>5.203125</v>
      </c>
      <c r="AC632" s="17">
        <f t="shared" si="2075"/>
        <v>5.203125</v>
      </c>
      <c r="AD632" s="17">
        <f t="shared" si="2075"/>
        <v>5.203125</v>
      </c>
      <c r="AE632" s="17">
        <f t="shared" si="2075"/>
        <v>5.203125</v>
      </c>
      <c r="AF632" s="17">
        <f t="shared" ref="AF632:AI632" si="2076">+AF617*AVERAGE(AE604:AF604)/4</f>
        <v>5.203125</v>
      </c>
      <c r="AG632" s="17">
        <f t="shared" si="2076"/>
        <v>5.203125</v>
      </c>
      <c r="AH632" s="17">
        <f t="shared" si="2076"/>
        <v>5.203125</v>
      </c>
      <c r="AI632" s="17">
        <f t="shared" si="2076"/>
        <v>5.203125</v>
      </c>
    </row>
    <row r="633" spans="2:35" x14ac:dyDescent="0.2">
      <c r="B633" t="s">
        <v>365</v>
      </c>
      <c r="P633" s="17">
        <f t="shared" ref="P633:AE633" si="2077">+P618*AVERAGE(O605:P605)/4</f>
        <v>0</v>
      </c>
      <c r="Q633" s="17">
        <f t="shared" si="2077"/>
        <v>0</v>
      </c>
      <c r="R633" s="17">
        <f t="shared" si="2077"/>
        <v>0</v>
      </c>
      <c r="S633" s="17">
        <f t="shared" si="2077"/>
        <v>0</v>
      </c>
      <c r="T633" s="17">
        <f t="shared" si="2077"/>
        <v>0</v>
      </c>
      <c r="U633" s="17">
        <f t="shared" si="2077"/>
        <v>0</v>
      </c>
      <c r="V633" s="17">
        <f t="shared" si="2077"/>
        <v>0</v>
      </c>
      <c r="W633" s="17">
        <f t="shared" si="2077"/>
        <v>0</v>
      </c>
      <c r="X633" s="17">
        <f t="shared" si="2077"/>
        <v>0</v>
      </c>
      <c r="Y633" s="17">
        <f t="shared" si="2077"/>
        <v>0</v>
      </c>
      <c r="Z633" s="17">
        <f t="shared" si="2077"/>
        <v>0</v>
      </c>
      <c r="AA633" s="17">
        <f t="shared" si="2077"/>
        <v>0</v>
      </c>
      <c r="AB633" s="17">
        <f t="shared" si="2077"/>
        <v>0</v>
      </c>
      <c r="AC633" s="17">
        <f t="shared" si="2077"/>
        <v>0</v>
      </c>
      <c r="AD633" s="17">
        <f t="shared" si="2077"/>
        <v>9.28125</v>
      </c>
      <c r="AE633" s="17">
        <f t="shared" si="2077"/>
        <v>18.5625</v>
      </c>
      <c r="AF633" s="17">
        <f t="shared" ref="AF633:AI633" si="2078">+AF618*AVERAGE(AE605:AF605)/4</f>
        <v>18.5625</v>
      </c>
      <c r="AG633" s="17">
        <f t="shared" si="2078"/>
        <v>18.5625</v>
      </c>
      <c r="AH633" s="17">
        <f t="shared" si="2078"/>
        <v>18.5625</v>
      </c>
      <c r="AI633" s="17">
        <f t="shared" si="2078"/>
        <v>18.5625</v>
      </c>
    </row>
    <row r="634" spans="2:35" x14ac:dyDescent="0.2">
      <c r="B634" t="s">
        <v>354</v>
      </c>
      <c r="P634" s="17">
        <f t="shared" ref="P634:AE634" si="2079">+P619*AVERAGE(O606:P606)/4</f>
        <v>0</v>
      </c>
      <c r="Q634" s="17">
        <f t="shared" si="2079"/>
        <v>0</v>
      </c>
      <c r="R634" s="17">
        <f t="shared" si="2079"/>
        <v>0</v>
      </c>
      <c r="S634" s="17">
        <f t="shared" si="2079"/>
        <v>0</v>
      </c>
      <c r="T634" s="17">
        <f t="shared" si="2079"/>
        <v>0</v>
      </c>
      <c r="U634" s="17">
        <f t="shared" si="2079"/>
        <v>0</v>
      </c>
      <c r="V634" s="17">
        <f t="shared" si="2079"/>
        <v>0</v>
      </c>
      <c r="W634" s="17">
        <f t="shared" si="2079"/>
        <v>0</v>
      </c>
      <c r="X634" s="17">
        <f t="shared" si="2079"/>
        <v>0</v>
      </c>
      <c r="Y634" s="17">
        <f t="shared" si="2079"/>
        <v>0</v>
      </c>
      <c r="Z634" s="17">
        <f t="shared" si="2079"/>
        <v>0</v>
      </c>
      <c r="AA634" s="17">
        <f t="shared" si="2079"/>
        <v>0</v>
      </c>
      <c r="AB634" s="17">
        <f t="shared" si="2079"/>
        <v>0</v>
      </c>
      <c r="AC634" s="17">
        <f t="shared" si="2079"/>
        <v>0</v>
      </c>
      <c r="AD634" s="17">
        <f t="shared" si="2079"/>
        <v>0</v>
      </c>
      <c r="AE634" s="17">
        <f t="shared" si="2079"/>
        <v>0</v>
      </c>
      <c r="AF634" s="17">
        <f t="shared" ref="AF634:AI634" si="2080">+AF619*AVERAGE(AE606:AF606)/4</f>
        <v>0</v>
      </c>
      <c r="AG634" s="17">
        <f t="shared" si="2080"/>
        <v>0</v>
      </c>
      <c r="AH634" s="17">
        <f t="shared" si="2080"/>
        <v>0</v>
      </c>
      <c r="AI634" s="17">
        <f t="shared" si="2080"/>
        <v>0</v>
      </c>
    </row>
    <row r="635" spans="2:35" x14ac:dyDescent="0.2">
      <c r="B635" t="s">
        <v>353</v>
      </c>
      <c r="P635" s="17">
        <f t="shared" ref="P635:AE635" si="2081">+P620*AVERAGE(O607:P607)/4</f>
        <v>0</v>
      </c>
      <c r="Q635" s="17">
        <f t="shared" si="2081"/>
        <v>0</v>
      </c>
      <c r="R635" s="17">
        <f t="shared" si="2081"/>
        <v>0.39531250000000001</v>
      </c>
      <c r="S635" s="17">
        <f t="shared" si="2081"/>
        <v>0.79062500000000002</v>
      </c>
      <c r="T635" s="17">
        <f t="shared" si="2081"/>
        <v>0.79062500000000002</v>
      </c>
      <c r="U635" s="17">
        <f t="shared" si="2081"/>
        <v>0.79062500000000002</v>
      </c>
      <c r="V635" s="17">
        <f t="shared" si="2081"/>
        <v>0.79062500000000002</v>
      </c>
      <c r="W635" s="17">
        <f t="shared" si="2081"/>
        <v>0.79062500000000002</v>
      </c>
      <c r="X635" s="17">
        <f t="shared" si="2081"/>
        <v>0.79062500000000002</v>
      </c>
      <c r="Y635" s="17">
        <f t="shared" si="2081"/>
        <v>0.79062500000000002</v>
      </c>
      <c r="Z635" s="17">
        <f t="shared" si="2081"/>
        <v>0.79062500000000002</v>
      </c>
      <c r="AA635" s="17">
        <f t="shared" si="2081"/>
        <v>0.79062500000000002</v>
      </c>
      <c r="AB635" s="17">
        <f t="shared" si="2081"/>
        <v>0.79062500000000002</v>
      </c>
      <c r="AC635" s="17">
        <f t="shared" si="2081"/>
        <v>0.79062500000000002</v>
      </c>
      <c r="AD635" s="17">
        <f t="shared" si="2081"/>
        <v>0.79062500000000002</v>
      </c>
      <c r="AE635" s="17">
        <f t="shared" si="2081"/>
        <v>0.79062500000000002</v>
      </c>
      <c r="AF635" s="17">
        <f t="shared" ref="AF635:AI635" si="2082">+AF620*AVERAGE(AE607:AF607)/4</f>
        <v>0.79062500000000002</v>
      </c>
      <c r="AG635" s="17">
        <f t="shared" si="2082"/>
        <v>0.79062500000000002</v>
      </c>
      <c r="AH635" s="17">
        <f t="shared" si="2082"/>
        <v>0.79062500000000002</v>
      </c>
      <c r="AI635" s="17">
        <f t="shared" si="2082"/>
        <v>0.79062500000000002</v>
      </c>
    </row>
    <row r="636" spans="2:35" ht="13.5" x14ac:dyDescent="0.35">
      <c r="B636" t="s">
        <v>170</v>
      </c>
      <c r="P636" s="18">
        <f t="shared" ref="P636:AE636" si="2083">+P621*AVERAGE(O608:P608)/4</f>
        <v>0</v>
      </c>
      <c r="Q636" s="18">
        <f t="shared" si="2083"/>
        <v>0</v>
      </c>
      <c r="R636" s="18">
        <f t="shared" si="2083"/>
        <v>0</v>
      </c>
      <c r="S636" s="18">
        <f t="shared" si="2083"/>
        <v>0</v>
      </c>
      <c r="T636" s="18">
        <f t="shared" si="2083"/>
        <v>0</v>
      </c>
      <c r="U636" s="18">
        <f t="shared" si="2083"/>
        <v>0</v>
      </c>
      <c r="V636" s="18">
        <f t="shared" si="2083"/>
        <v>0</v>
      </c>
      <c r="W636" s="18">
        <f t="shared" si="2083"/>
        <v>0</v>
      </c>
      <c r="X636" s="18">
        <f t="shared" si="2083"/>
        <v>0</v>
      </c>
      <c r="Y636" s="18">
        <f t="shared" si="2083"/>
        <v>0</v>
      </c>
      <c r="Z636" s="18">
        <f t="shared" si="2083"/>
        <v>0</v>
      </c>
      <c r="AA636" s="18">
        <f t="shared" si="2083"/>
        <v>0</v>
      </c>
      <c r="AB636" s="18">
        <f t="shared" si="2083"/>
        <v>0</v>
      </c>
      <c r="AC636" s="18">
        <f t="shared" si="2083"/>
        <v>0</v>
      </c>
      <c r="AD636" s="18">
        <f t="shared" si="2083"/>
        <v>0</v>
      </c>
      <c r="AE636" s="18">
        <f t="shared" si="2083"/>
        <v>0</v>
      </c>
      <c r="AF636" s="18">
        <f t="shared" ref="AF636:AI636" si="2084">+AF621*AVERAGE(AE608:AF608)/4</f>
        <v>0</v>
      </c>
      <c r="AG636" s="18">
        <f t="shared" si="2084"/>
        <v>0</v>
      </c>
      <c r="AH636" s="18">
        <f t="shared" si="2084"/>
        <v>0</v>
      </c>
      <c r="AI636" s="18">
        <f t="shared" si="2084"/>
        <v>0</v>
      </c>
    </row>
    <row r="637" spans="2:35" x14ac:dyDescent="0.2">
      <c r="B637" s="31" t="s">
        <v>180</v>
      </c>
      <c r="P637" s="34">
        <f>SUM(P629:P636)</f>
        <v>5.203125</v>
      </c>
      <c r="Q637" s="34">
        <f t="shared" ref="Q637:AE637" si="2085">SUM(Q629:Q636)</f>
        <v>5.203125</v>
      </c>
      <c r="R637" s="34">
        <f t="shared" si="2085"/>
        <v>5.5984375000000002</v>
      </c>
      <c r="S637" s="34">
        <f t="shared" si="2085"/>
        <v>5.9937500000000004</v>
      </c>
      <c r="T637" s="34">
        <f t="shared" si="2085"/>
        <v>5.9937500000000004</v>
      </c>
      <c r="U637" s="34">
        <f t="shared" si="2085"/>
        <v>5.9937500000000004</v>
      </c>
      <c r="V637" s="34">
        <f t="shared" si="2085"/>
        <v>5.9937500000000004</v>
      </c>
      <c r="W637" s="34">
        <f t="shared" si="2085"/>
        <v>5.9937500000000004</v>
      </c>
      <c r="X637" s="34">
        <f t="shared" si="2085"/>
        <v>5.9937500000000004</v>
      </c>
      <c r="Y637" s="34">
        <f t="shared" si="2085"/>
        <v>5.9937500000000004</v>
      </c>
      <c r="Z637" s="34">
        <f t="shared" si="2085"/>
        <v>5.9937500000000004</v>
      </c>
      <c r="AA637" s="34">
        <f t="shared" si="2085"/>
        <v>5.9937500000000004</v>
      </c>
      <c r="AB637" s="34">
        <f t="shared" si="2085"/>
        <v>5.9937500000000004</v>
      </c>
      <c r="AC637" s="34">
        <f t="shared" si="2085"/>
        <v>5.9937500000000004</v>
      </c>
      <c r="AD637" s="34">
        <f t="shared" ref="AD637" si="2086">SUM(AD629:AD636)</f>
        <v>15.275</v>
      </c>
      <c r="AE637" s="34">
        <f t="shared" si="2085"/>
        <v>24.556249999999999</v>
      </c>
      <c r="AF637" s="34">
        <f t="shared" ref="AF637" si="2087">SUM(AF629:AF636)</f>
        <v>24.556249999999999</v>
      </c>
      <c r="AG637" s="34">
        <f t="shared" ref="AG637" si="2088">SUM(AG629:AG636)</f>
        <v>24.556249999999999</v>
      </c>
      <c r="AH637" s="34">
        <f t="shared" ref="AH637" si="2089">SUM(AH629:AH636)</f>
        <v>24.556249999999999</v>
      </c>
      <c r="AI637" s="34">
        <f t="shared" ref="AI637" si="2090">SUM(AI629:AI636)</f>
        <v>24.556249999999999</v>
      </c>
    </row>
    <row r="638" spans="2:35" ht="13.5" x14ac:dyDescent="0.35">
      <c r="B638" t="s">
        <v>362</v>
      </c>
      <c r="P638" s="16">
        <f>+P639-P637</f>
        <v>1.296875</v>
      </c>
      <c r="Q638" s="16">
        <f>+Q639-Q637</f>
        <v>1.0968749999999998</v>
      </c>
      <c r="R638" s="16">
        <f t="shared" ref="R638:AC638" si="2091">+R639-R637</f>
        <v>1.8015625000000002</v>
      </c>
      <c r="S638" s="16">
        <f t="shared" si="2091"/>
        <v>1.8062499999999995</v>
      </c>
      <c r="T638" s="16">
        <f t="shared" si="2091"/>
        <v>1.90625</v>
      </c>
      <c r="U638" s="16">
        <f t="shared" si="2091"/>
        <v>2.40625</v>
      </c>
      <c r="V638" s="16">
        <f t="shared" si="2091"/>
        <v>2.3062500000000004</v>
      </c>
      <c r="W638" s="16">
        <f t="shared" si="2091"/>
        <v>1.90625</v>
      </c>
      <c r="X638" s="16">
        <f t="shared" si="2091"/>
        <v>2.1062499999999993</v>
      </c>
      <c r="Y638" s="16">
        <f t="shared" si="2091"/>
        <v>2.0062499999999996</v>
      </c>
      <c r="Z638" s="16">
        <f t="shared" si="2091"/>
        <v>2.0062499999999996</v>
      </c>
      <c r="AA638" s="16">
        <f t="shared" si="2091"/>
        <v>2.0062499999999996</v>
      </c>
      <c r="AB638" s="16">
        <f t="shared" si="2091"/>
        <v>2.1062499999999993</v>
      </c>
      <c r="AC638" s="16">
        <f t="shared" si="2091"/>
        <v>2.1062499999999993</v>
      </c>
      <c r="AD638" s="16">
        <f t="shared" ref="AD638" si="2092">+AD639-AD637</f>
        <v>3.0250000000000004</v>
      </c>
      <c r="AE638" s="22">
        <v>2.5</v>
      </c>
      <c r="AF638" s="22">
        <v>2.5</v>
      </c>
      <c r="AG638" s="22">
        <v>2.5</v>
      </c>
      <c r="AH638" s="22">
        <v>2.5</v>
      </c>
      <c r="AI638" s="22">
        <v>2.5</v>
      </c>
    </row>
    <row r="639" spans="2:35" x14ac:dyDescent="0.2">
      <c r="B639" s="31" t="s">
        <v>359</v>
      </c>
      <c r="P639" s="56">
        <f t="shared" ref="P639:AD639" si="2093">+-P283</f>
        <v>6.5</v>
      </c>
      <c r="Q639" s="56">
        <f t="shared" si="2093"/>
        <v>6.3</v>
      </c>
      <c r="R639" s="56">
        <f t="shared" si="2093"/>
        <v>7.4</v>
      </c>
      <c r="S639" s="56">
        <f t="shared" si="2093"/>
        <v>7.8</v>
      </c>
      <c r="T639" s="56">
        <f t="shared" si="2093"/>
        <v>7.9</v>
      </c>
      <c r="U639" s="56">
        <f t="shared" si="2093"/>
        <v>8.4</v>
      </c>
      <c r="V639" s="56">
        <f t="shared" si="2093"/>
        <v>8.3000000000000007</v>
      </c>
      <c r="W639" s="56">
        <f t="shared" si="2093"/>
        <v>7.9</v>
      </c>
      <c r="X639" s="56">
        <f t="shared" si="2093"/>
        <v>8.1</v>
      </c>
      <c r="Y639" s="56">
        <f t="shared" si="2093"/>
        <v>8</v>
      </c>
      <c r="Z639" s="56">
        <f t="shared" si="2093"/>
        <v>8</v>
      </c>
      <c r="AA639" s="56">
        <f t="shared" si="2093"/>
        <v>8</v>
      </c>
      <c r="AB639" s="56">
        <f t="shared" si="2093"/>
        <v>8.1</v>
      </c>
      <c r="AC639" s="56">
        <f t="shared" si="2093"/>
        <v>8.1</v>
      </c>
      <c r="AD639" s="56">
        <f t="shared" si="2093"/>
        <v>18.3</v>
      </c>
      <c r="AE639" s="56">
        <f>+SUM(AE637:AE638)</f>
        <v>27.056249999999999</v>
      </c>
      <c r="AF639" s="56">
        <f t="shared" ref="AF639:AI639" si="2094">+SUM(AF637:AF638)</f>
        <v>27.056249999999999</v>
      </c>
      <c r="AG639" s="56">
        <f t="shared" si="2094"/>
        <v>27.056249999999999</v>
      </c>
      <c r="AH639" s="56">
        <f t="shared" si="2094"/>
        <v>27.056249999999999</v>
      </c>
      <c r="AI639" s="56">
        <f t="shared" si="2094"/>
        <v>27.056249999999999</v>
      </c>
    </row>
    <row r="641" spans="2:35" x14ac:dyDescent="0.2">
      <c r="B641" s="10" t="s">
        <v>392</v>
      </c>
      <c r="C641" s="9"/>
    </row>
    <row r="643" spans="2:35" x14ac:dyDescent="0.2">
      <c r="B643" t="s">
        <v>393</v>
      </c>
      <c r="L643" s="13">
        <f t="shared" ref="L643:AC643" si="2095">+SUM(L537:L539)</f>
        <v>70.2</v>
      </c>
      <c r="M643" s="13">
        <f t="shared" si="2095"/>
        <v>244</v>
      </c>
      <c r="N643" s="13">
        <f t="shared" si="2095"/>
        <v>328.9</v>
      </c>
      <c r="O643" s="13">
        <f t="shared" si="2095"/>
        <v>927.8</v>
      </c>
      <c r="P643" s="13">
        <f t="shared" si="2095"/>
        <v>844.9</v>
      </c>
      <c r="Q643" s="13">
        <f t="shared" si="2095"/>
        <v>699.7</v>
      </c>
      <c r="R643" s="13">
        <f t="shared" si="2095"/>
        <v>1288.0999999999999</v>
      </c>
      <c r="S643" s="13">
        <f t="shared" si="2095"/>
        <v>1231.5</v>
      </c>
      <c r="T643" s="13">
        <f t="shared" si="2095"/>
        <v>1189</v>
      </c>
      <c r="U643" s="13">
        <f t="shared" si="2095"/>
        <v>1018.2</v>
      </c>
      <c r="V643" s="13">
        <f t="shared" si="2095"/>
        <v>672.7</v>
      </c>
      <c r="W643" s="13">
        <f t="shared" si="2095"/>
        <v>776.5</v>
      </c>
      <c r="X643" s="13">
        <f t="shared" si="2095"/>
        <v>817.9</v>
      </c>
      <c r="Y643" s="13">
        <f t="shared" si="2095"/>
        <v>725.3</v>
      </c>
      <c r="Z643" s="13">
        <f t="shared" si="2095"/>
        <v>783.3</v>
      </c>
      <c r="AA643" s="13">
        <f t="shared" si="2095"/>
        <v>539.4</v>
      </c>
      <c r="AB643" s="13">
        <f t="shared" si="2095"/>
        <v>580.19999999999993</v>
      </c>
      <c r="AC643" s="13">
        <f t="shared" si="2095"/>
        <v>279.8</v>
      </c>
      <c r="AD643" s="13">
        <f t="shared" ref="AD643" si="2096">+SUM(AD537:AD539)</f>
        <v>1426.4</v>
      </c>
      <c r="AE643" s="13">
        <f ca="1">+AE106</f>
        <v>1340.7101758971728</v>
      </c>
      <c r="AF643" s="13">
        <f ca="1">+AF106</f>
        <v>1414.6044897094589</v>
      </c>
      <c r="AG643" s="13">
        <f ca="1">+AG106</f>
        <v>1522.7714916920036</v>
      </c>
      <c r="AH643" s="13">
        <f ca="1">+AH106</f>
        <v>1632.8090951098709</v>
      </c>
      <c r="AI643" s="13">
        <f ca="1">+AI106</f>
        <v>1057.7419122387439</v>
      </c>
    </row>
    <row r="644" spans="2:35" x14ac:dyDescent="0.2">
      <c r="B644" t="s">
        <v>395</v>
      </c>
      <c r="P644" s="187">
        <f>+P645*4/AVERAGE(O643:P643)</f>
        <v>0</v>
      </c>
      <c r="Q644" s="187">
        <f t="shared" ref="Q644:AD644" si="2097">+Q645*4/AVERAGE(P643:Q643)</f>
        <v>0</v>
      </c>
      <c r="R644" s="187">
        <f t="shared" si="2097"/>
        <v>0</v>
      </c>
      <c r="S644" s="187">
        <f t="shared" si="2097"/>
        <v>0</v>
      </c>
      <c r="T644" s="187">
        <f t="shared" si="2097"/>
        <v>0</v>
      </c>
      <c r="U644" s="187">
        <f t="shared" si="2097"/>
        <v>5.0743022834360274E-3</v>
      </c>
      <c r="V644" s="187">
        <f t="shared" si="2097"/>
        <v>1.6559228813058133E-2</v>
      </c>
      <c r="W644" s="187">
        <f t="shared" si="2097"/>
        <v>3.2569693624068453E-2</v>
      </c>
      <c r="X644" s="187">
        <f t="shared" si="2097"/>
        <v>3.8133467134972399E-2</v>
      </c>
      <c r="Y644" s="187">
        <f t="shared" si="2097"/>
        <v>4.5619491964748585E-2</v>
      </c>
      <c r="Z644" s="187">
        <f t="shared" si="2097"/>
        <v>5.0908126740023867E-2</v>
      </c>
      <c r="AA644" s="187">
        <f t="shared" si="2097"/>
        <v>3.5684584561880998E-2</v>
      </c>
      <c r="AB644" s="187">
        <f t="shared" si="2097"/>
        <v>3.8585209003215437E-2</v>
      </c>
      <c r="AC644" s="187">
        <f t="shared" si="2097"/>
        <v>4.6511627906976744E-2</v>
      </c>
      <c r="AD644" s="187">
        <f t="shared" si="2097"/>
        <v>4.5481186261868478E-2</v>
      </c>
      <c r="AE644" s="190">
        <v>0.04</v>
      </c>
      <c r="AF644" s="190">
        <v>0.04</v>
      </c>
      <c r="AG644" s="190">
        <v>0.04</v>
      </c>
      <c r="AH644" s="190">
        <v>0.04</v>
      </c>
      <c r="AI644" s="190">
        <v>0.04</v>
      </c>
    </row>
    <row r="645" spans="2:35" s="1" customFormat="1" x14ac:dyDescent="0.2">
      <c r="B645" s="31" t="s">
        <v>394</v>
      </c>
      <c r="L645" s="56"/>
      <c r="M645" s="56"/>
      <c r="N645" s="56"/>
      <c r="O645" s="56"/>
      <c r="P645" s="56">
        <f t="shared" ref="P645:AD645" si="2098">+P279</f>
        <v>0</v>
      </c>
      <c r="Q645" s="56">
        <f t="shared" si="2098"/>
        <v>0</v>
      </c>
      <c r="R645" s="56">
        <f t="shared" si="2098"/>
        <v>0</v>
      </c>
      <c r="S645" s="56">
        <f t="shared" si="2098"/>
        <v>0</v>
      </c>
      <c r="T645" s="56">
        <f t="shared" si="2098"/>
        <v>0</v>
      </c>
      <c r="U645" s="56">
        <f t="shared" si="2098"/>
        <v>1.4</v>
      </c>
      <c r="V645" s="56">
        <f t="shared" si="2098"/>
        <v>3.5</v>
      </c>
      <c r="W645" s="56">
        <f t="shared" si="2098"/>
        <v>5.9</v>
      </c>
      <c r="X645" s="56">
        <f t="shared" si="2098"/>
        <v>7.6</v>
      </c>
      <c r="Y645" s="56">
        <f t="shared" si="2098"/>
        <v>8.8000000000000007</v>
      </c>
      <c r="Z645" s="56">
        <f t="shared" si="2098"/>
        <v>9.6</v>
      </c>
      <c r="AA645" s="56">
        <f t="shared" si="2098"/>
        <v>5.8999999999999986</v>
      </c>
      <c r="AB645" s="56">
        <f t="shared" si="2098"/>
        <v>5.4</v>
      </c>
      <c r="AC645" s="56">
        <f t="shared" si="2098"/>
        <v>5</v>
      </c>
      <c r="AD645" s="56">
        <f t="shared" si="2098"/>
        <v>9.6999999999999993</v>
      </c>
      <c r="AE645" s="56">
        <f t="shared" ref="AE645:AI645" ca="1" si="2099">+AVERAGE(AD643:AE643)*AE644/4</f>
        <v>13.835550879485863</v>
      </c>
      <c r="AF645" s="56">
        <f t="shared" ca="1" si="2099"/>
        <v>13.776573328033161</v>
      </c>
      <c r="AG645" s="56">
        <f t="shared" ca="1" si="2099"/>
        <v>14.686879907007313</v>
      </c>
      <c r="AH645" s="56">
        <f t="shared" ca="1" si="2099"/>
        <v>15.777902934009372</v>
      </c>
      <c r="AI645" s="56">
        <f t="shared" ca="1" si="2099"/>
        <v>13.452755036743074</v>
      </c>
    </row>
  </sheetData>
  <phoneticPr fontId="4" type="noConversion"/>
  <pageMargins left="0.3" right="0.3" top="0.3" bottom="0.3" header="0.3" footer="0.3"/>
  <pageSetup scale="42" fitToHeight="5" orientation="landscape" r:id="rId1"/>
  <headerFooter>
    <oddFooter>Page &amp;P of &amp;N</oddFooter>
  </headerFooter>
  <rowBreaks count="7" manualBreakCount="7">
    <brk id="115" min="1" max="44" man="1"/>
    <brk id="194" min="1" max="44" man="1"/>
    <brk id="259" min="1" max="44" man="1"/>
    <brk id="322" min="1" max="44" man="1"/>
    <brk id="398" min="1" max="44" man="1"/>
    <brk id="533" min="1" max="44" man="1"/>
    <brk id="597"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937F1-9212-44D1-B3F8-E721B3D944CC}">
  <sheetPr>
    <pageSetUpPr fitToPage="1"/>
  </sheetPr>
  <dimension ref="B2:L36"/>
  <sheetViews>
    <sheetView view="pageBreakPreview" zoomScale="115" zoomScaleNormal="100" zoomScaleSheetLayoutView="115" workbookViewId="0">
      <selection activeCell="F96" sqref="F96"/>
    </sheetView>
  </sheetViews>
  <sheetFormatPr defaultRowHeight="11.25" x14ac:dyDescent="0.2"/>
  <cols>
    <col min="1" max="1" width="2.6640625" customWidth="1"/>
    <col min="2" max="2" width="35.6640625" customWidth="1"/>
    <col min="3" max="3" width="2.6640625" customWidth="1"/>
    <col min="4" max="5" width="9.33203125" customWidth="1"/>
    <col min="8" max="8" width="9.33203125" customWidth="1"/>
  </cols>
  <sheetData>
    <row r="2" spans="2:12" ht="10.15" x14ac:dyDescent="0.2">
      <c r="B2" s="1" t="s">
        <v>0</v>
      </c>
      <c r="G2" s="8">
        <f ca="1">+TODAY()</f>
        <v>45796</v>
      </c>
    </row>
    <row r="3" spans="2:12" s="5" customFormat="1" ht="10.15" x14ac:dyDescent="0.2">
      <c r="B3" s="2" t="s">
        <v>368</v>
      </c>
    </row>
    <row r="4" spans="2:12" ht="10.15" x14ac:dyDescent="0.2">
      <c r="B4" s="3" t="s">
        <v>194</v>
      </c>
    </row>
    <row r="5" spans="2:12" ht="12" x14ac:dyDescent="0.35">
      <c r="D5" s="191">
        <v>45473</v>
      </c>
      <c r="E5" s="191" t="s">
        <v>379</v>
      </c>
    </row>
    <row r="7" spans="2:12" ht="10.15" x14ac:dyDescent="0.2">
      <c r="B7" t="s">
        <v>369</v>
      </c>
      <c r="D7" s="14">
        <v>61.967247999999998</v>
      </c>
      <c r="E7" s="13">
        <f>+D7</f>
        <v>61.967247999999998</v>
      </c>
    </row>
    <row r="8" spans="2:12" ht="10.15" x14ac:dyDescent="0.2">
      <c r="B8" t="s">
        <v>380</v>
      </c>
      <c r="D8" s="14">
        <v>23.750968</v>
      </c>
      <c r="E8" s="13">
        <f t="shared" ref="E8:E13" si="0">+D8</f>
        <v>23.750968</v>
      </c>
    </row>
    <row r="9" spans="2:12" ht="12" x14ac:dyDescent="0.35">
      <c r="B9" t="s">
        <v>381</v>
      </c>
      <c r="D9" s="15">
        <v>1.6658539999999999</v>
      </c>
      <c r="E9" s="16">
        <f t="shared" si="0"/>
        <v>1.6658539999999999</v>
      </c>
    </row>
    <row r="10" spans="2:12" ht="10.15" x14ac:dyDescent="0.2">
      <c r="B10" s="11" t="s">
        <v>382</v>
      </c>
      <c r="C10" s="11"/>
      <c r="D10" s="13">
        <f>SUM(D7:D9)</f>
        <v>87.384069999999994</v>
      </c>
      <c r="E10" s="13">
        <f>SUM(E7:E9)</f>
        <v>87.384069999999994</v>
      </c>
    </row>
    <row r="11" spans="2:12" ht="10.15" x14ac:dyDescent="0.2">
      <c r="B11" t="s">
        <v>384</v>
      </c>
      <c r="C11" s="11"/>
      <c r="D11" s="14">
        <v>2.448896</v>
      </c>
      <c r="E11" s="13">
        <f t="shared" si="0"/>
        <v>2.448896</v>
      </c>
    </row>
    <row r="12" spans="2:12" ht="10.15" x14ac:dyDescent="0.2">
      <c r="B12" t="s">
        <v>383</v>
      </c>
      <c r="D12" s="14">
        <v>2.9050060000000002</v>
      </c>
      <c r="E12" s="13">
        <f t="shared" si="0"/>
        <v>2.9050060000000002</v>
      </c>
      <c r="H12" s="20"/>
    </row>
    <row r="13" spans="2:12" ht="12" x14ac:dyDescent="0.35">
      <c r="B13" t="s">
        <v>385</v>
      </c>
      <c r="D13" s="15">
        <v>-0.59221900000000005</v>
      </c>
      <c r="E13" s="16">
        <f t="shared" si="0"/>
        <v>-0.59221900000000005</v>
      </c>
    </row>
    <row r="14" spans="2:12" s="1" customFormat="1" ht="10.15" x14ac:dyDescent="0.2">
      <c r="B14" s="31" t="s">
        <v>386</v>
      </c>
      <c r="D14" s="34">
        <f>+SUM(D10:D13)</f>
        <v>92.145752999999999</v>
      </c>
      <c r="E14" s="34">
        <f>+SUM(E10:E13)</f>
        <v>92.145752999999999</v>
      </c>
    </row>
    <row r="15" spans="2:12" ht="12" x14ac:dyDescent="0.35">
      <c r="B15" t="s">
        <v>387</v>
      </c>
      <c r="D15" s="18">
        <f>+D28+D35</f>
        <v>13.730470999999998</v>
      </c>
      <c r="E15" s="18">
        <f>+E28+E35</f>
        <v>13.730470999999998</v>
      </c>
    </row>
    <row r="16" spans="2:12" ht="10.15" x14ac:dyDescent="0.2">
      <c r="B16" s="31" t="s">
        <v>388</v>
      </c>
      <c r="D16" s="34">
        <f>+SUM(D14:D15)</f>
        <v>105.87622399999999</v>
      </c>
      <c r="E16" s="34">
        <f>+SUM(E14:E15)</f>
        <v>105.87622399999999</v>
      </c>
      <c r="L16" s="20"/>
    </row>
    <row r="17" spans="2:5" ht="12" x14ac:dyDescent="0.35">
      <c r="B17" t="s">
        <v>389</v>
      </c>
      <c r="D17" s="18">
        <f>+-(D28+D35-D29-D36)</f>
        <v>-13.730470999999998</v>
      </c>
      <c r="E17" s="18">
        <f>+-(E28+E35-E29-E36)</f>
        <v>-11.805475650221622</v>
      </c>
    </row>
    <row r="18" spans="2:5" ht="10.15" x14ac:dyDescent="0.2">
      <c r="B18" s="31" t="s">
        <v>390</v>
      </c>
      <c r="D18" s="34">
        <f>+SUM(D16:D17)</f>
        <v>92.145752999999999</v>
      </c>
      <c r="E18" s="34">
        <f>+SUM(E16:E17)</f>
        <v>94.07074834977837</v>
      </c>
    </row>
    <row r="19" spans="2:5" ht="10.15" x14ac:dyDescent="0.2">
      <c r="B19" s="31"/>
    </row>
    <row r="20" spans="2:5" ht="10.15" x14ac:dyDescent="0.2">
      <c r="B20" s="23" t="s">
        <v>370</v>
      </c>
      <c r="C20" s="23"/>
    </row>
    <row r="21" spans="2:5" ht="10.15" x14ac:dyDescent="0.2">
      <c r="B21" s="23"/>
      <c r="C21" s="23"/>
    </row>
    <row r="22" spans="2:5" ht="10.15" x14ac:dyDescent="0.2">
      <c r="B22" s="192" t="s">
        <v>371</v>
      </c>
      <c r="C22" s="192"/>
      <c r="D22" s="200">
        <f>_xll.ciqfunctions.udf.CIQ($B$2, "IQ_LASTSALEPRICE", D$5)</f>
        <v>73.349999999999994</v>
      </c>
      <c r="E22" s="193">
        <f>+'Simple Model - Case 1'!F97</f>
        <v>103.78</v>
      </c>
    </row>
    <row r="23" spans="2:5" ht="10.15" x14ac:dyDescent="0.2">
      <c r="B23" s="192"/>
      <c r="C23" s="192"/>
      <c r="D23" s="194"/>
      <c r="E23" s="194"/>
    </row>
    <row r="24" spans="2:5" ht="10.15" x14ac:dyDescent="0.2">
      <c r="B24" s="195" t="s">
        <v>373</v>
      </c>
      <c r="C24" s="195"/>
      <c r="D24" s="194"/>
      <c r="E24" s="194"/>
    </row>
    <row r="25" spans="2:5" ht="10.15" x14ac:dyDescent="0.2">
      <c r="B25" s="192" t="s">
        <v>374</v>
      </c>
      <c r="C25" s="192"/>
      <c r="D25" s="14">
        <v>690</v>
      </c>
      <c r="E25" s="13">
        <f>+D25</f>
        <v>690</v>
      </c>
    </row>
    <row r="26" spans="2:5" ht="10.15" x14ac:dyDescent="0.2">
      <c r="B26" s="192" t="s">
        <v>375</v>
      </c>
      <c r="C26" s="192"/>
      <c r="D26" s="196">
        <v>12.4262</v>
      </c>
      <c r="E26" s="197">
        <f>+D26</f>
        <v>12.4262</v>
      </c>
    </row>
    <row r="27" spans="2:5" ht="10.15" x14ac:dyDescent="0.2">
      <c r="B27" s="192" t="s">
        <v>376</v>
      </c>
      <c r="C27" s="192"/>
      <c r="D27" s="198">
        <v>80.48</v>
      </c>
      <c r="E27" s="199">
        <f>+D27</f>
        <v>80.48</v>
      </c>
    </row>
    <row r="28" spans="2:5" ht="10.15" x14ac:dyDescent="0.2">
      <c r="B28" s="192" t="s">
        <v>377</v>
      </c>
      <c r="C28" s="192"/>
      <c r="D28" s="194">
        <f>+D25/1000*D26</f>
        <v>8.5740779999999983</v>
      </c>
      <c r="E28" s="194">
        <f>+E25/1000*E26</f>
        <v>8.5740779999999983</v>
      </c>
    </row>
    <row r="29" spans="2:5" ht="10.15" x14ac:dyDescent="0.2">
      <c r="B29" s="192" t="s">
        <v>372</v>
      </c>
      <c r="C29" s="192"/>
      <c r="D29" s="194">
        <f>+MAX((D$22-D27)/D$22*D28,0)</f>
        <v>0</v>
      </c>
      <c r="E29" s="194">
        <f>+MAX((E$22-E27)/E$22*E28,0)</f>
        <v>1.9249953497783767</v>
      </c>
    </row>
    <row r="31" spans="2:5" ht="10.15" x14ac:dyDescent="0.2">
      <c r="B31" s="195" t="s">
        <v>378</v>
      </c>
      <c r="C31" s="195"/>
      <c r="D31" s="194"/>
      <c r="E31" s="194"/>
    </row>
    <row r="32" spans="2:5" ht="10.15" x14ac:dyDescent="0.2">
      <c r="B32" s="192" t="s">
        <v>374</v>
      </c>
      <c r="C32" s="192"/>
      <c r="D32" s="14">
        <v>632.5</v>
      </c>
      <c r="E32" s="13">
        <f>+D32</f>
        <v>632.5</v>
      </c>
    </row>
    <row r="33" spans="2:5" ht="10.15" x14ac:dyDescent="0.2">
      <c r="B33" s="192" t="s">
        <v>375</v>
      </c>
      <c r="C33" s="192"/>
      <c r="D33" s="196">
        <v>8.1524000000000001</v>
      </c>
      <c r="E33" s="197">
        <f>+D33</f>
        <v>8.1524000000000001</v>
      </c>
    </row>
    <row r="34" spans="2:5" ht="10.15" x14ac:dyDescent="0.2">
      <c r="B34" s="192" t="s">
        <v>376</v>
      </c>
      <c r="C34" s="192"/>
      <c r="D34" s="198">
        <v>122.66</v>
      </c>
      <c r="E34" s="199">
        <f>+D34</f>
        <v>122.66</v>
      </c>
    </row>
    <row r="35" spans="2:5" ht="10.15" x14ac:dyDescent="0.2">
      <c r="B35" s="192" t="s">
        <v>377</v>
      </c>
      <c r="C35" s="192"/>
      <c r="D35" s="194">
        <f>+D32/1000*D33</f>
        <v>5.1563929999999996</v>
      </c>
      <c r="E35" s="194">
        <f>+E32/1000*E33</f>
        <v>5.1563929999999996</v>
      </c>
    </row>
    <row r="36" spans="2:5" ht="10.15" x14ac:dyDescent="0.2">
      <c r="B36" s="192" t="s">
        <v>372</v>
      </c>
      <c r="C36" s="192"/>
      <c r="D36" s="194">
        <f>+MAX((D$22-D34)/D$22*D35,0)</f>
        <v>0</v>
      </c>
      <c r="E36" s="194">
        <f>+MAX((E$22-E34)/E$22*E35,0)</f>
        <v>0</v>
      </c>
    </row>
  </sheetData>
  <pageMargins left="0.3" right="0.3" top="0.3" bottom="0.3" header="0.3" footer="0.3"/>
  <pageSetup orientation="portrait" horizontalDpi="1200" verticalDpi="1200" r:id="rId1"/>
  <headerFoot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BB420-49C2-4F9B-84AE-3B3CC07A60CB}">
  <sheetPr>
    <pageSetUpPr fitToPage="1"/>
  </sheetPr>
  <dimension ref="A1:AH44"/>
  <sheetViews>
    <sheetView view="pageBreakPreview" zoomScale="115" zoomScaleNormal="100" zoomScaleSheetLayoutView="115" workbookViewId="0">
      <selection activeCell="C47" sqref="C47"/>
    </sheetView>
  </sheetViews>
  <sheetFormatPr defaultRowHeight="11.25" x14ac:dyDescent="0.2"/>
  <cols>
    <col min="1" max="2" width="2.83203125" customWidth="1"/>
    <col min="3" max="4" width="12.83203125" customWidth="1"/>
    <col min="5" max="5" width="2.83203125" customWidth="1"/>
    <col min="15" max="15" width="2.83203125" customWidth="1"/>
    <col min="25" max="25" width="2.83203125" customWidth="1"/>
    <col min="34" max="34" width="9.33203125" customWidth="1"/>
  </cols>
  <sheetData>
    <row r="1" spans="1:34" x14ac:dyDescent="0.2">
      <c r="I1" t="s">
        <v>483</v>
      </c>
      <c r="J1">
        <v>9</v>
      </c>
      <c r="S1" t="s">
        <v>465</v>
      </c>
      <c r="T1">
        <v>14</v>
      </c>
      <c r="AC1" t="s">
        <v>466</v>
      </c>
      <c r="AD1">
        <v>33</v>
      </c>
    </row>
    <row r="2" spans="1:34" x14ac:dyDescent="0.2">
      <c r="C2" s="1" t="s">
        <v>0</v>
      </c>
      <c r="AH2" s="8">
        <f ca="1">TODAY()</f>
        <v>45796</v>
      </c>
    </row>
    <row r="3" spans="1:34" s="5" customFormat="1" x14ac:dyDescent="0.2">
      <c r="C3" s="2" t="s">
        <v>484</v>
      </c>
    </row>
    <row r="4" spans="1:34" x14ac:dyDescent="0.2">
      <c r="C4" s="3" t="s">
        <v>194</v>
      </c>
    </row>
    <row r="6" spans="1:34" x14ac:dyDescent="0.2">
      <c r="F6" s="233" t="s">
        <v>480</v>
      </c>
      <c r="G6" s="234"/>
      <c r="H6" s="234"/>
      <c r="I6" s="234"/>
      <c r="J6" s="235"/>
      <c r="K6" s="234"/>
      <c r="L6" s="234"/>
      <c r="M6" s="234"/>
      <c r="N6" s="236"/>
      <c r="P6" s="233" t="s">
        <v>481</v>
      </c>
      <c r="Q6" s="234"/>
      <c r="R6" s="234"/>
      <c r="S6" s="234"/>
      <c r="T6" s="235"/>
      <c r="U6" s="234"/>
      <c r="V6" s="234"/>
      <c r="W6" s="234"/>
      <c r="X6" s="236"/>
      <c r="Z6" s="233" t="s">
        <v>482</v>
      </c>
      <c r="AA6" s="234"/>
      <c r="AB6" s="234"/>
      <c r="AC6" s="234"/>
      <c r="AD6" s="235"/>
      <c r="AE6" s="234"/>
      <c r="AF6" s="234"/>
      <c r="AG6" s="234"/>
      <c r="AH6" s="236"/>
    </row>
    <row r="7" spans="1:34" x14ac:dyDescent="0.2">
      <c r="F7" s="228"/>
      <c r="G7" s="229" t="s">
        <v>474</v>
      </c>
      <c r="H7" s="228"/>
      <c r="K7" s="228"/>
      <c r="L7" s="229" t="s">
        <v>475</v>
      </c>
      <c r="M7" s="228"/>
      <c r="N7" s="162"/>
      <c r="P7" s="228"/>
      <c r="Q7" s="229" t="s">
        <v>474</v>
      </c>
      <c r="R7" s="228"/>
      <c r="U7" s="228"/>
      <c r="V7" s="229" t="s">
        <v>475</v>
      </c>
      <c r="W7" s="228"/>
      <c r="Z7" s="228"/>
      <c r="AA7" s="229" t="s">
        <v>474</v>
      </c>
      <c r="AB7" s="228"/>
      <c r="AE7" s="228"/>
      <c r="AF7" s="229" t="s">
        <v>475</v>
      </c>
      <c r="AG7" s="228"/>
    </row>
    <row r="8" spans="1:34" ht="27" x14ac:dyDescent="0.35">
      <c r="C8" s="225" t="s">
        <v>276</v>
      </c>
      <c r="D8" s="226" t="s">
        <v>469</v>
      </c>
      <c r="E8" s="226"/>
      <c r="F8" s="226" t="s">
        <v>470</v>
      </c>
      <c r="G8" s="226" t="s">
        <v>471</v>
      </c>
      <c r="H8" s="226" t="s">
        <v>472</v>
      </c>
      <c r="I8" s="226" t="s">
        <v>478</v>
      </c>
      <c r="J8" s="226" t="s">
        <v>473</v>
      </c>
      <c r="K8" s="226" t="s">
        <v>470</v>
      </c>
      <c r="L8" s="226" t="s">
        <v>471</v>
      </c>
      <c r="M8" s="226" t="s">
        <v>472</v>
      </c>
      <c r="N8" s="226" t="s">
        <v>479</v>
      </c>
      <c r="P8" s="226" t="s">
        <v>470</v>
      </c>
      <c r="Q8" s="226" t="s">
        <v>471</v>
      </c>
      <c r="R8" s="226" t="s">
        <v>472</v>
      </c>
      <c r="S8" s="226" t="s">
        <v>478</v>
      </c>
      <c r="T8" s="226" t="s">
        <v>473</v>
      </c>
      <c r="U8" s="226" t="s">
        <v>470</v>
      </c>
      <c r="V8" s="226" t="s">
        <v>471</v>
      </c>
      <c r="W8" s="226" t="s">
        <v>472</v>
      </c>
      <c r="X8" s="226" t="s">
        <v>479</v>
      </c>
      <c r="Z8" s="226" t="s">
        <v>470</v>
      </c>
      <c r="AA8" s="226" t="s">
        <v>471</v>
      </c>
      <c r="AB8" s="226" t="s">
        <v>472</v>
      </c>
      <c r="AC8" s="226" t="s">
        <v>478</v>
      </c>
      <c r="AD8" s="226" t="s">
        <v>473</v>
      </c>
      <c r="AE8" s="226" t="s">
        <v>470</v>
      </c>
      <c r="AF8" s="226" t="s">
        <v>471</v>
      </c>
      <c r="AG8" s="226" t="s">
        <v>472</v>
      </c>
      <c r="AH8" s="226" t="s">
        <v>479</v>
      </c>
    </row>
    <row r="9" spans="1:34" x14ac:dyDescent="0.2">
      <c r="C9" s="1"/>
      <c r="D9" s="232"/>
      <c r="E9" s="232"/>
      <c r="F9" s="232"/>
      <c r="G9" s="232"/>
      <c r="H9" s="232"/>
      <c r="I9" s="232"/>
      <c r="J9" s="232"/>
      <c r="K9" s="232"/>
      <c r="L9" s="232"/>
      <c r="M9" s="232"/>
      <c r="N9" s="232"/>
      <c r="P9" s="232"/>
      <c r="Q9" s="232"/>
      <c r="R9" s="232"/>
      <c r="S9" s="232"/>
      <c r="T9" s="232"/>
      <c r="U9" s="232"/>
      <c r="V9" s="232"/>
      <c r="W9" s="232"/>
      <c r="X9" s="232"/>
      <c r="Z9" s="232"/>
      <c r="AA9" s="232"/>
      <c r="AB9" s="232"/>
      <c r="AC9" s="232"/>
      <c r="AD9" s="232"/>
      <c r="AE9" s="232"/>
      <c r="AF9" s="232"/>
      <c r="AG9" s="232"/>
      <c r="AH9" s="232"/>
    </row>
    <row r="10" spans="1:34" x14ac:dyDescent="0.2">
      <c r="C10" s="23" t="s">
        <v>544</v>
      </c>
      <c r="D10" s="232"/>
      <c r="E10" s="232"/>
      <c r="F10" s="232"/>
      <c r="G10" s="232"/>
      <c r="H10" s="232"/>
      <c r="I10" s="232"/>
      <c r="J10" s="232"/>
      <c r="K10" s="232"/>
      <c r="L10" s="232"/>
      <c r="M10" s="232"/>
      <c r="N10" s="232"/>
      <c r="P10" s="232"/>
      <c r="Q10" s="232"/>
      <c r="R10" s="232"/>
      <c r="S10" s="232"/>
      <c r="T10" s="232"/>
      <c r="U10" s="232"/>
      <c r="V10" s="232"/>
      <c r="W10" s="232"/>
      <c r="X10" s="232"/>
      <c r="Z10" s="232"/>
      <c r="AA10" s="232"/>
      <c r="AB10" s="232"/>
      <c r="AC10" s="232"/>
      <c r="AD10" s="232"/>
      <c r="AE10" s="232"/>
      <c r="AF10" s="232"/>
      <c r="AG10" s="232"/>
      <c r="AH10" s="232"/>
    </row>
    <row r="11" spans="1:34" x14ac:dyDescent="0.2">
      <c r="A11" t="s">
        <v>53</v>
      </c>
      <c r="B11" s="230">
        <f>+C11-2</f>
        <v>44053</v>
      </c>
      <c r="C11" s="231">
        <v>44055</v>
      </c>
      <c r="D11" s="227" t="s">
        <v>476</v>
      </c>
      <c r="F11" s="176">
        <v>6.2</v>
      </c>
      <c r="G11" s="239">
        <f>+IFERROR(AVERAGE(F11,H11),"n/a")</f>
        <v>6.35</v>
      </c>
      <c r="H11" s="176">
        <v>6.5</v>
      </c>
      <c r="I11" s="242">
        <f>_xll.VAData("FOUR_US",$D11,I$1,"consensus.vaactuals","CD","IMPL",$B11,"","B")</f>
        <v>6.1517324591209164</v>
      </c>
      <c r="J11" s="238">
        <f>+HLOOKUP($A11,'Historical Financials'!$L$6:$AS$40,J$1,FALSE)/1000</f>
        <v>7.0907</v>
      </c>
      <c r="K11" s="237">
        <f>+IFERROR(J11/F11-1,"n/a")</f>
        <v>0.14366129032258068</v>
      </c>
      <c r="L11" s="237">
        <f>+IFERROR(J11/G11-1,"n/a")</f>
        <v>0.11664566929133868</v>
      </c>
      <c r="M11" s="237">
        <f>+IFERROR(J11/H11-1,"n/a")</f>
        <v>9.0876923076923077E-2</v>
      </c>
      <c r="N11" s="237">
        <f>+IFERROR(J11/I11-1,"n/a")</f>
        <v>0.15263465163978585</v>
      </c>
      <c r="P11" s="176">
        <v>74</v>
      </c>
      <c r="Q11" s="241">
        <f>+IFERROR(AVERAGE(P11,R11),"n/a")</f>
        <v>76</v>
      </c>
      <c r="R11" s="176">
        <v>78</v>
      </c>
      <c r="S11" s="242">
        <f>_xll.VAData("FOUR_US",$D11,S$1,"consensus.vaactuals","CD","IMPL",$B11,"","M")</f>
        <v>73.759775526221972</v>
      </c>
      <c r="T11" s="238">
        <f>+HLOOKUP($A11,'Historical Financials'!$L$6:$AS$40,T$1,FALSE)</f>
        <v>87.7</v>
      </c>
      <c r="U11" s="243">
        <f>+IFERROR(T11/P11-1,"n/a")</f>
        <v>0.18513513513513513</v>
      </c>
      <c r="V11" s="243">
        <f>+IFERROR(T11/Q11-1,"n/a")</f>
        <v>0.15394736842105261</v>
      </c>
      <c r="W11" s="243">
        <f>+IFERROR(T11/R11-1,"n/a")</f>
        <v>0.12435897435897436</v>
      </c>
      <c r="X11" s="243">
        <f>+IFERROR(T11/S11-1,"n/a")</f>
        <v>0.18899494167823505</v>
      </c>
      <c r="Z11" s="240">
        <v>20</v>
      </c>
      <c r="AA11" s="241">
        <f>+IFERROR(AVERAGE(Z11,AB11),"n/a")</f>
        <v>21.5</v>
      </c>
      <c r="AB11" s="240">
        <v>23</v>
      </c>
      <c r="AC11" s="242">
        <f>_xll.VAData("FOUR_US",$D11,AC$1,"consensus.vaactuals","CD","IMPL",$B11,"","M")</f>
        <v>20.644588739140726</v>
      </c>
      <c r="AD11" s="238">
        <f>+HLOOKUP($A11,'Historical Financials'!$L$6:$AS$40,AD$1,FALSE)</f>
        <v>28.699999999999992</v>
      </c>
      <c r="AE11" s="243">
        <f>+IFERROR(AD11/Z11-1,"n/a")</f>
        <v>0.43499999999999961</v>
      </c>
      <c r="AF11" s="243">
        <f>+IFERROR(AD11/AA11-1,"n/a")</f>
        <v>0.33488372093023222</v>
      </c>
      <c r="AG11" s="243">
        <f>+IFERROR(AD11/AB11-1,"n/a")</f>
        <v>0.24782608695652142</v>
      </c>
      <c r="AH11" s="243">
        <f>+IFERROR(AD11/AC11-1,"n/a")</f>
        <v>0.39019480420003516</v>
      </c>
    </row>
    <row r="12" spans="1:34" x14ac:dyDescent="0.2">
      <c r="A12" t="s">
        <v>54</v>
      </c>
      <c r="B12" s="230">
        <f t="shared" ref="B12:B17" si="0">+C12-2</f>
        <v>44053</v>
      </c>
      <c r="C12" s="231">
        <v>44055</v>
      </c>
      <c r="D12" s="227" t="s">
        <v>477</v>
      </c>
      <c r="F12" s="176">
        <v>6.5</v>
      </c>
      <c r="G12" s="239">
        <f t="shared" ref="G12:G17" si="1">+IFERROR(AVERAGE(F12,H12),"n/a")</f>
        <v>6.7</v>
      </c>
      <c r="H12" s="176">
        <v>6.9</v>
      </c>
      <c r="I12" s="242">
        <f>_xll.VAData("FOUR_US",$D12,I$1,"consensus.vaactuals","CD","IMPL",$B12,"","B")</f>
        <v>6.6542837140466338</v>
      </c>
      <c r="J12" s="238">
        <f>+HLOOKUP($A12,'Historical Financials'!$L$6:$AS$40,J$1,FALSE)/1000</f>
        <v>6.8070000000000004</v>
      </c>
      <c r="K12" s="237">
        <f>+IFERROR(J12/F12-1,"n/a")</f>
        <v>4.7230769230769187E-2</v>
      </c>
      <c r="L12" s="237">
        <f>+IFERROR(J12/G12-1,"n/a")</f>
        <v>1.5970149253731414E-2</v>
      </c>
      <c r="M12" s="237">
        <f>+IFERROR(J12/H12-1,"n/a")</f>
        <v>-1.3478260869565162E-2</v>
      </c>
      <c r="N12" s="237">
        <f>+IFERROR(J12/I12-1,"n/a")</f>
        <v>2.2950071339909339E-2</v>
      </c>
      <c r="P12" s="176">
        <v>75</v>
      </c>
      <c r="Q12" s="241">
        <f t="shared" ref="Q12:Q17" si="2">+IFERROR(AVERAGE(P12,R12),"n/a")</f>
        <v>77</v>
      </c>
      <c r="R12" s="176">
        <v>79</v>
      </c>
      <c r="S12" s="242">
        <f>_xll.VAData("FOUR_US",$D12,S$1,"consensus.vaactuals","CD","IMPL",$B12,"","M")</f>
        <v>76.552537475277191</v>
      </c>
      <c r="T12" s="238">
        <f>+HLOOKUP($A12,'Historical Financials'!$L$6:$AS$40,T$1,FALSE)</f>
        <v>88.799999999999983</v>
      </c>
      <c r="U12" s="243">
        <f>+IFERROR(T12/P12-1,"n/a")</f>
        <v>0.18399999999999972</v>
      </c>
      <c r="V12" s="243">
        <f>+IFERROR(T12/Q12-1,"n/a")</f>
        <v>0.15324675324675296</v>
      </c>
      <c r="W12" s="243">
        <f>+IFERROR(T12/R12-1,"n/a")</f>
        <v>0.12405063291139218</v>
      </c>
      <c r="X12" s="243">
        <f>+IFERROR(T12/S12-1,"n/a")</f>
        <v>0.15998767550557202</v>
      </c>
      <c r="Z12" s="240">
        <v>20</v>
      </c>
      <c r="AA12" s="241">
        <f t="shared" ref="AA12:AA17" si="3">+IFERROR(AVERAGE(Z12,AB12),"n/a")</f>
        <v>21.5</v>
      </c>
      <c r="AB12" s="240">
        <v>23</v>
      </c>
      <c r="AC12" s="242">
        <f>_xll.VAData("FOUR_US",$D12,AC$1,"consensus.vaactuals","CD","IMPL",$B12,"","M")</f>
        <v>22.82242201074865</v>
      </c>
      <c r="AD12" s="238">
        <f>+HLOOKUP($A12,'Historical Financials'!$L$6:$AS$40,AD$1,FALSE)</f>
        <v>26.699999999999967</v>
      </c>
      <c r="AE12" s="243">
        <f>+IFERROR(AD12/Z12-1,"n/a")</f>
        <v>0.33499999999999841</v>
      </c>
      <c r="AF12" s="243">
        <f>+IFERROR(AD12/AA12-1,"n/a")</f>
        <v>0.24186046511627746</v>
      </c>
      <c r="AG12" s="243">
        <f>+IFERROR(AD12/AB12-1,"n/a")</f>
        <v>0.16086956521738993</v>
      </c>
      <c r="AH12" s="243">
        <f>+IFERROR(AD12/AC12-1,"n/a")</f>
        <v>0.16990212464851884</v>
      </c>
    </row>
    <row r="13" spans="1:34" x14ac:dyDescent="0.2">
      <c r="A13" t="s">
        <v>54</v>
      </c>
      <c r="B13" s="230">
        <f t="shared" si="0"/>
        <v>44138</v>
      </c>
      <c r="C13" s="231">
        <v>44140</v>
      </c>
      <c r="D13" s="227" t="s">
        <v>477</v>
      </c>
      <c r="F13" s="176">
        <v>7.2</v>
      </c>
      <c r="G13" s="239">
        <f t="shared" si="1"/>
        <v>7.4</v>
      </c>
      <c r="H13" s="176">
        <v>7.6</v>
      </c>
      <c r="I13" s="242">
        <f>_xll.VAData("FOUR_US",$D13,I$1,"consensus.vaactuals","CD","IMPL",$B13,"","B")</f>
        <v>7.3771547728762608</v>
      </c>
      <c r="J13" s="238">
        <f>+HLOOKUP($A13,'Historical Financials'!$L$6:$AS$40,J$1,FALSE)/1000</f>
        <v>6.8070000000000004</v>
      </c>
      <c r="K13" s="237">
        <f>+IFERROR(J13/F13-1,"n/a")</f>
        <v>-5.4583333333333317E-2</v>
      </c>
      <c r="L13" s="237">
        <f>+IFERROR(J13/G13-1,"n/a")</f>
        <v>-8.0135135135135149E-2</v>
      </c>
      <c r="M13" s="237">
        <f>+IFERROR(J13/H13-1,"n/a")</f>
        <v>-0.10434210526315779</v>
      </c>
      <c r="N13" s="237">
        <f>+IFERROR(J13/I13-1,"n/a")</f>
        <v>-7.7286540736892229E-2</v>
      </c>
      <c r="P13" s="176">
        <v>88</v>
      </c>
      <c r="Q13" s="241">
        <f t="shared" si="2"/>
        <v>90</v>
      </c>
      <c r="R13" s="176">
        <v>92</v>
      </c>
      <c r="S13" s="242">
        <f>_xll.VAData("FOUR_US",$D13,S$1,"consensus.vaactuals","CD","IMPL",$B13,"","M")</f>
        <v>86.466553127310007</v>
      </c>
      <c r="T13" s="238">
        <f>+HLOOKUP($A13,'Historical Financials'!$L$6:$AS$40,T$1,FALSE)</f>
        <v>88.799999999999983</v>
      </c>
      <c r="U13" s="243">
        <f>+IFERROR(T13/P13-1,"n/a")</f>
        <v>9.0909090909088164E-3</v>
      </c>
      <c r="V13" s="243">
        <f>+IFERROR(T13/Q13-1,"n/a")</f>
        <v>-1.333333333333353E-2</v>
      </c>
      <c r="W13" s="243">
        <f>+IFERROR(T13/R13-1,"n/a")</f>
        <v>-3.4782608695652306E-2</v>
      </c>
      <c r="X13" s="243">
        <f>+IFERROR(T13/S13-1,"n/a")</f>
        <v>2.6986699345518117E-2</v>
      </c>
      <c r="Z13" s="240">
        <v>27</v>
      </c>
      <c r="AA13" s="241">
        <f t="shared" si="3"/>
        <v>28.5</v>
      </c>
      <c r="AB13" s="240">
        <v>30</v>
      </c>
      <c r="AC13" s="242">
        <f>_xll.VAData("FOUR_US",$D13,AC$1,"consensus.vaactuals","CD","IMPL",$B13,"","M")</f>
        <v>27.603045787762966</v>
      </c>
      <c r="AD13" s="238">
        <f>+HLOOKUP($A13,'Historical Financials'!$L$6:$AS$40,AD$1,FALSE)</f>
        <v>26.699999999999967</v>
      </c>
      <c r="AE13" s="243">
        <f>+IFERROR(AD13/Z13-1,"n/a")</f>
        <v>-1.1111111111112293E-2</v>
      </c>
      <c r="AF13" s="243">
        <f>+IFERROR(AD13/AA13-1,"n/a")</f>
        <v>-6.3157894736843301E-2</v>
      </c>
      <c r="AG13" s="243">
        <f>+IFERROR(AD13/AB13-1,"n/a")</f>
        <v>-0.1100000000000011</v>
      </c>
      <c r="AH13" s="243">
        <f>+IFERROR(AD13/AC13-1,"n/a")</f>
        <v>-3.2715439981023331E-2</v>
      </c>
    </row>
    <row r="14" spans="1:34" x14ac:dyDescent="0.2">
      <c r="B14" s="230">
        <f t="shared" si="0"/>
        <v>45236</v>
      </c>
      <c r="C14" s="231">
        <v>45238</v>
      </c>
      <c r="D14" s="227" t="s">
        <v>271</v>
      </c>
      <c r="F14" s="176">
        <v>32</v>
      </c>
      <c r="G14" s="239">
        <f t="shared" si="1"/>
        <v>32.5</v>
      </c>
      <c r="H14" s="176">
        <v>33</v>
      </c>
      <c r="I14" s="242">
        <f>_xll.VAData("FOUR_US",$D14,I$1,"consensus.vaactuals","CD","IMPL",$B14,"","B")</f>
        <v>32.96636117101648</v>
      </c>
      <c r="J14" s="238">
        <f>+HLOOKUP($D14,'Historical Financials'!$L$6:$AS$40,J$1,FALSE)/1000</f>
        <v>32.050600000000003</v>
      </c>
      <c r="K14" s="237">
        <f>+IFERROR(J14/F14-1,"n/a")</f>
        <v>1.5812500000000895E-3</v>
      </c>
      <c r="L14" s="237">
        <f>+IFERROR(J14/G14-1,"n/a")</f>
        <v>-1.3827692307692208E-2</v>
      </c>
      <c r="M14" s="237">
        <f>+IFERROR(J14/H14-1,"n/a")</f>
        <v>-2.876969696969689E-2</v>
      </c>
      <c r="N14" s="237">
        <f>+IFERROR(J14/I14-1,"n/a")</f>
        <v>-2.7778654922387958E-2</v>
      </c>
      <c r="P14" s="176">
        <v>274</v>
      </c>
      <c r="Q14" s="241">
        <f t="shared" si="2"/>
        <v>281.5</v>
      </c>
      <c r="R14" s="176">
        <v>289</v>
      </c>
      <c r="S14" s="242">
        <f>_xll.VAData("FOUR_US",$D14,S$1,"consensus.vaactuals","CD","IMPL",$B14,"","M")</f>
        <v>280.95513335967843</v>
      </c>
      <c r="T14" s="238">
        <f>+HLOOKUP($D14,'Historical Financials'!$L$6:$AS$40,T$1,FALSE)</f>
        <v>269.29999999999995</v>
      </c>
      <c r="U14" s="243">
        <f>+IFERROR(T14/P14-1,"n/a")</f>
        <v>-1.7153284671532987E-2</v>
      </c>
      <c r="V14" s="243">
        <f>+IFERROR(T14/Q14-1,"n/a")</f>
        <v>-4.333925399644778E-2</v>
      </c>
      <c r="W14" s="243">
        <f>+IFERROR(T14/R14-1,"n/a")</f>
        <v>-6.816608996539808E-2</v>
      </c>
      <c r="X14" s="243">
        <f>+IFERROR(T14/S14-1,"n/a")</f>
        <v>-4.1483966568988007E-2</v>
      </c>
      <c r="Z14" s="240">
        <v>132</v>
      </c>
      <c r="AA14" s="241">
        <f t="shared" si="3"/>
        <v>136</v>
      </c>
      <c r="AB14" s="240">
        <v>140</v>
      </c>
      <c r="AC14" s="242">
        <f>_xll.VAData("FOUR_US",$D14,AC$1,"consensus.vaactuals","CD","IMPL",$B14,"","M")</f>
        <v>133.96306006295549</v>
      </c>
      <c r="AD14" s="238">
        <f>+HLOOKUP($D14,'Historical Financials'!$L$6:$AS$40,AD$1,FALSE)</f>
        <v>136.09999999999994</v>
      </c>
      <c r="AE14" s="243">
        <f>+IFERROR(AD14/Z14-1,"n/a")</f>
        <v>3.1060606060605567E-2</v>
      </c>
      <c r="AF14" s="243">
        <f>+IFERROR(AD14/AA14-1,"n/a")</f>
        <v>7.3529411764661212E-4</v>
      </c>
      <c r="AG14" s="243">
        <f>+IFERROR(AD14/AB14-1,"n/a")</f>
        <v>-2.7857142857143358E-2</v>
      </c>
      <c r="AH14" s="243">
        <f>+IFERROR(AD14/AC14-1,"n/a")</f>
        <v>1.5951710389716434E-2</v>
      </c>
    </row>
    <row r="15" spans="1:34" x14ac:dyDescent="0.2">
      <c r="B15" s="230">
        <f t="shared" si="0"/>
        <v>45510</v>
      </c>
      <c r="C15" s="231">
        <v>45512</v>
      </c>
      <c r="D15" s="227" t="s">
        <v>443</v>
      </c>
      <c r="F15" s="176">
        <v>45</v>
      </c>
      <c r="G15" s="239">
        <f t="shared" si="1"/>
        <v>46</v>
      </c>
      <c r="H15" s="176">
        <v>47</v>
      </c>
      <c r="I15" s="242">
        <f>_xll.VAData("FOUR_US",$D15,I$1,"consensus.vaactuals","CD","IMPL",$B15,"","B")</f>
        <v>46.62772861111111</v>
      </c>
      <c r="J15" s="238">
        <f>+HLOOKUP($D15,'Historical Financials'!$L$6:$AS$40,J$1,FALSE)/1000</f>
        <v>43.5</v>
      </c>
      <c r="K15" s="237">
        <f t="shared" ref="K15:K16" si="4">+IFERROR(J15/F15-1,"n/a")</f>
        <v>-3.3333333333333326E-2</v>
      </c>
      <c r="L15" s="237">
        <f t="shared" ref="L15:L16" si="5">+IFERROR(J15/G15-1,"n/a")</f>
        <v>-5.4347826086956541E-2</v>
      </c>
      <c r="M15" s="237">
        <f t="shared" ref="M15:M16" si="6">+IFERROR(J15/H15-1,"n/a")</f>
        <v>-7.4468085106383031E-2</v>
      </c>
      <c r="N15" s="237">
        <f t="shared" ref="N15:N16" si="7">+IFERROR(J15/I15-1,"n/a")</f>
        <v>-6.7078725562578434E-2</v>
      </c>
      <c r="P15" s="176">
        <v>365</v>
      </c>
      <c r="Q15" s="241">
        <f t="shared" si="2"/>
        <v>372.5</v>
      </c>
      <c r="R15" s="176">
        <v>380</v>
      </c>
      <c r="S15" s="242">
        <f>_xll.VAData("FOUR_US",$D15,S$1,"consensus.vaactuals","CD","IMPL",$B15,"","M")</f>
        <v>355.47013824059178</v>
      </c>
      <c r="T15" s="238">
        <f>+HLOOKUP($D15,'Historical Financials'!$L$6:$AS$40,T$1,FALSE)</f>
        <v>365.1</v>
      </c>
      <c r="U15" s="243">
        <f t="shared" ref="U15:U16" si="8">+IFERROR(T15/P15-1,"n/a")</f>
        <v>2.7397260273986923E-4</v>
      </c>
      <c r="V15" s="243">
        <f t="shared" ref="V15:V16" si="9">+IFERROR(T15/Q15-1,"n/a")</f>
        <v>-1.986577181208049E-2</v>
      </c>
      <c r="W15" s="243">
        <f t="shared" ref="W15:W16" si="10">+IFERROR(T15/R15-1,"n/a")</f>
        <v>-3.9210526315789362E-2</v>
      </c>
      <c r="X15" s="243">
        <f t="shared" ref="X15:X16" si="11">+IFERROR(T15/S15-1,"n/a")</f>
        <v>2.7090494315701097E-2</v>
      </c>
      <c r="Z15" s="240">
        <v>181</v>
      </c>
      <c r="AA15" s="241">
        <f t="shared" si="3"/>
        <v>189</v>
      </c>
      <c r="AB15" s="240">
        <v>197</v>
      </c>
      <c r="AC15" s="242">
        <f>_xll.VAData("FOUR_US",$D15,AC$1,"consensus.vaactuals","CD","IMPL",$B15,"","M")</f>
        <v>179.49532927670285</v>
      </c>
      <c r="AD15" s="238">
        <f>+HLOOKUP($D15,'Historical Financials'!$L$6:$AS$40,AD$1,FALSE)</f>
        <v>187.39999999999998</v>
      </c>
      <c r="AE15" s="243">
        <f t="shared" ref="AE15:AE16" si="12">+IFERROR(AD15/Z15-1,"n/a")</f>
        <v>3.5359116022099402E-2</v>
      </c>
      <c r="AF15" s="243">
        <f t="shared" ref="AF15:AF16" si="13">+IFERROR(AD15/AA15-1,"n/a")</f>
        <v>-8.4656084656086206E-3</v>
      </c>
      <c r="AG15" s="243">
        <f t="shared" ref="AG15:AG16" si="14">+IFERROR(AD15/AB15-1,"n/a")</f>
        <v>-4.87309644670052E-2</v>
      </c>
      <c r="AH15" s="243">
        <f t="shared" ref="AH15:AH16" si="15">+IFERROR(AD15/AC15-1,"n/a")</f>
        <v>4.4038308713379326E-2</v>
      </c>
    </row>
    <row r="16" spans="1:34" x14ac:dyDescent="0.2">
      <c r="A16" t="s">
        <v>259</v>
      </c>
      <c r="B16" s="230">
        <f t="shared" si="0"/>
        <v>45510</v>
      </c>
      <c r="C16" s="231">
        <v>45512</v>
      </c>
      <c r="D16" s="227" t="s">
        <v>485</v>
      </c>
      <c r="F16" s="176">
        <v>48.5</v>
      </c>
      <c r="G16" s="239">
        <f t="shared" si="1"/>
        <v>50</v>
      </c>
      <c r="H16" s="176">
        <v>51.5</v>
      </c>
      <c r="I16" s="242">
        <f>_xll.VAData("FOUR_US",$D16,I$1,"consensus.vaactuals","CD","IMPL",$B16,"","B")</f>
        <v>51.054687436340579</v>
      </c>
      <c r="J16" s="238">
        <f>+HLOOKUP($A16,'Historical Financials'!$L$6:$AS$40,J$1,FALSE)/1000</f>
        <v>47.927724354354361</v>
      </c>
      <c r="K16" s="237">
        <f t="shared" si="4"/>
        <v>-1.1799497848363649E-2</v>
      </c>
      <c r="L16" s="237">
        <f t="shared" si="5"/>
        <v>-4.1445512912912763E-2</v>
      </c>
      <c r="M16" s="237">
        <f t="shared" si="6"/>
        <v>-6.9364575643604653E-2</v>
      </c>
      <c r="N16" s="237">
        <f t="shared" si="7"/>
        <v>-6.1247325936236274E-2</v>
      </c>
      <c r="P16" s="176">
        <v>395</v>
      </c>
      <c r="Q16" s="241">
        <f t="shared" si="2"/>
        <v>405</v>
      </c>
      <c r="R16" s="176">
        <v>415</v>
      </c>
      <c r="S16" s="242">
        <f>_xll.VAData("FOUR_US",$D16,S$1,"consensus.vaactuals","CD","IMPL",$B16,"","M")</f>
        <v>390.39634062872568</v>
      </c>
      <c r="T16" s="238">
        <f>+HLOOKUP($A16,'Historical Financials'!$L$6:$AS$40,T$1,FALSE)</f>
        <v>400.59501112547935</v>
      </c>
      <c r="U16" s="243">
        <f t="shared" si="8"/>
        <v>1.4164585127795837E-2</v>
      </c>
      <c r="V16" s="243">
        <f t="shared" si="9"/>
        <v>-1.0876515739557169E-2</v>
      </c>
      <c r="W16" s="243">
        <f t="shared" si="10"/>
        <v>-3.4710816565109992E-2</v>
      </c>
      <c r="X16" s="243">
        <f t="shared" si="11"/>
        <v>2.6123888559838715E-2</v>
      </c>
      <c r="Z16" s="240">
        <v>188</v>
      </c>
      <c r="AA16" s="241">
        <f t="shared" si="3"/>
        <v>202</v>
      </c>
      <c r="AB16" s="240">
        <v>216</v>
      </c>
      <c r="AC16" s="242">
        <f>_xll.VAData("FOUR_US",$D16,AC$1,"consensus.vaactuals","CD","IMPL",$B16,"","M")</f>
        <v>197.26707262283855</v>
      </c>
      <c r="AD16" s="238">
        <f>+HLOOKUP($A16,'Historical Financials'!$L$6:$AS$40,AD$1,FALSE)</f>
        <v>204.30345567399448</v>
      </c>
      <c r="AE16" s="243">
        <f t="shared" si="12"/>
        <v>8.6720508904226001E-2</v>
      </c>
      <c r="AF16" s="243">
        <f t="shared" si="13"/>
        <v>1.1403245910863724E-2</v>
      </c>
      <c r="AG16" s="243">
        <f t="shared" si="14"/>
        <v>-5.4150668175951489E-2</v>
      </c>
      <c r="AH16" s="243">
        <f t="shared" si="15"/>
        <v>3.5669323610884707E-2</v>
      </c>
    </row>
    <row r="17" spans="1:34" x14ac:dyDescent="0.2">
      <c r="A17" t="s">
        <v>259</v>
      </c>
      <c r="B17" s="230">
        <f t="shared" si="0"/>
        <v>45606</v>
      </c>
      <c r="C17" s="231">
        <v>45608</v>
      </c>
      <c r="D17" s="227" t="s">
        <v>485</v>
      </c>
      <c r="F17" s="176">
        <v>47</v>
      </c>
      <c r="G17" s="239">
        <f t="shared" si="1"/>
        <v>48</v>
      </c>
      <c r="H17" s="176">
        <v>49</v>
      </c>
      <c r="I17" s="242">
        <f>_xll.VAData("FOUR_US",$D17,I$1,"consensus.vaactuals","CD","IMPL",$B17,"","B")</f>
        <v>50.14461930818414</v>
      </c>
      <c r="J17" s="238">
        <f>+HLOOKUP($A17,'Historical Financials'!$L$6:$AS$40,J$1,FALSE)/1000</f>
        <v>47.927724354354361</v>
      </c>
      <c r="K17" s="237">
        <f t="shared" ref="K17" si="16">+IFERROR(J17/F17-1,"n/a")</f>
        <v>1.9738816050092867E-2</v>
      </c>
      <c r="L17" s="237">
        <f t="shared" ref="L17" si="17">+IFERROR(J17/G17-1,"n/a")</f>
        <v>-1.5057426176174893E-3</v>
      </c>
      <c r="M17" s="237">
        <f t="shared" ref="M17" si="18">+IFERROR(J17/H17-1,"n/a")</f>
        <v>-2.1883176441747754E-2</v>
      </c>
      <c r="N17" s="237">
        <f t="shared" ref="N17" si="19">+IFERROR(J17/I17-1,"n/a")</f>
        <v>-4.4210026607340525E-2</v>
      </c>
      <c r="P17" s="176">
        <v>400</v>
      </c>
      <c r="Q17" s="241">
        <f t="shared" si="2"/>
        <v>407.5</v>
      </c>
      <c r="R17" s="176">
        <v>415</v>
      </c>
      <c r="S17" s="242">
        <f>_xll.VAData("FOUR_US",$D17,S$1,"consensus.vaactuals","CD","IMPL",$B17,"","M")</f>
        <v>400.30841425616347</v>
      </c>
      <c r="T17" s="238">
        <f>+HLOOKUP($A17,'Historical Financials'!$L$6:$AS$40,T$1,FALSE)</f>
        <v>400.59501112547935</v>
      </c>
      <c r="U17" s="243">
        <f t="shared" ref="U17" si="20">+IFERROR(T17/P17-1,"n/a")</f>
        <v>1.4875278136983194E-3</v>
      </c>
      <c r="V17" s="243">
        <f t="shared" ref="V17" si="21">+IFERROR(T17/Q17-1,"n/a")</f>
        <v>-1.6944757974283853E-2</v>
      </c>
      <c r="W17" s="243">
        <f t="shared" ref="W17" si="22">+IFERROR(T17/R17-1,"n/a")</f>
        <v>-3.4710816565109992E-2</v>
      </c>
      <c r="X17" s="243">
        <f t="shared" ref="X17" si="23">+IFERROR(T17/S17-1,"n/a")</f>
        <v>7.159401579115432E-4</v>
      </c>
      <c r="Z17" s="240">
        <v>205</v>
      </c>
      <c r="AA17" s="241">
        <f t="shared" si="3"/>
        <v>210.5</v>
      </c>
      <c r="AB17" s="240">
        <v>216</v>
      </c>
      <c r="AC17" s="242">
        <f>_xll.VAData("FOUR_US",$D17,AC$1,"consensus.vaactuals","CD","IMPL",$B17,"","M")</f>
        <v>203.69322505002683</v>
      </c>
      <c r="AD17" s="238">
        <f>+HLOOKUP($A17,'Historical Financials'!$L$6:$AS$40,AD$1,FALSE)</f>
        <v>204.30345567399448</v>
      </c>
      <c r="AE17" s="243">
        <f t="shared" ref="AE17" si="24">+IFERROR(AD17/Z17-1,"n/a")</f>
        <v>-3.3977772000269857E-3</v>
      </c>
      <c r="AF17" s="243">
        <f t="shared" ref="AF17" si="25">+IFERROR(AD17/AA17-1,"n/a")</f>
        <v>-2.943726520667711E-2</v>
      </c>
      <c r="AG17" s="243">
        <f t="shared" ref="AG17" si="26">+IFERROR(AD17/AB17-1,"n/a")</f>
        <v>-5.4150668175951489E-2</v>
      </c>
      <c r="AH17" s="243">
        <f t="shared" ref="AH17" si="27">+IFERROR(AD17/AC17-1,"n/a")</f>
        <v>2.9958317161395964E-3</v>
      </c>
    </row>
    <row r="18" spans="1:34" x14ac:dyDescent="0.2">
      <c r="C18" s="231"/>
      <c r="D18" s="227"/>
      <c r="F18" s="14"/>
      <c r="G18" s="14"/>
      <c r="H18" s="14"/>
      <c r="I18" s="14"/>
      <c r="P18" s="176"/>
      <c r="Q18" s="145"/>
      <c r="R18" s="176"/>
      <c r="S18" s="14"/>
      <c r="U18" s="244"/>
      <c r="V18" s="244"/>
      <c r="W18" s="244"/>
      <c r="X18" s="244"/>
      <c r="Z18" s="240"/>
      <c r="AA18" s="145"/>
      <c r="AB18" s="240"/>
      <c r="AC18" s="14"/>
      <c r="AE18" s="244"/>
      <c r="AF18" s="244"/>
      <c r="AG18" s="244"/>
      <c r="AH18" s="244"/>
    </row>
    <row r="19" spans="1:34" x14ac:dyDescent="0.2">
      <c r="C19" s="23" t="s">
        <v>543</v>
      </c>
      <c r="D19" s="227"/>
      <c r="F19" s="14"/>
      <c r="G19" s="14"/>
      <c r="H19" s="14"/>
      <c r="I19" s="14"/>
      <c r="P19" s="176"/>
      <c r="Q19" s="145"/>
      <c r="R19" s="176"/>
      <c r="S19" s="14"/>
      <c r="U19" s="244"/>
      <c r="V19" s="244"/>
      <c r="W19" s="244"/>
      <c r="X19" s="244"/>
      <c r="Z19" s="240"/>
      <c r="AA19" s="145"/>
      <c r="AB19" s="240"/>
      <c r="AC19" s="14"/>
      <c r="AE19" s="244"/>
      <c r="AF19" s="244"/>
      <c r="AG19" s="244"/>
      <c r="AH19" s="244"/>
    </row>
    <row r="20" spans="1:34" x14ac:dyDescent="0.2">
      <c r="B20" s="230">
        <f t="shared" ref="B20:B35" si="28">+C20-2</f>
        <v>44257</v>
      </c>
      <c r="C20" s="231">
        <v>44259</v>
      </c>
      <c r="D20" s="227" t="s">
        <v>11</v>
      </c>
      <c r="F20" s="176">
        <v>36</v>
      </c>
      <c r="G20" s="239">
        <f t="shared" ref="G20:G35" si="29">+IFERROR(AVERAGE(F20,H20),"n/a")</f>
        <v>37</v>
      </c>
      <c r="H20" s="176">
        <v>38</v>
      </c>
      <c r="I20" s="242">
        <f>_xll.VAData("FOUR_US",$D20,I$1,"consensus.vaactuals","CD","IMPL",$B20,"","B")</f>
        <v>37.325502251678166</v>
      </c>
      <c r="J20" s="238">
        <f>+HLOOKUP($D20,'Historical Financials'!$L$6:$AS$40,J$1,FALSE)/1000</f>
        <v>46.677900000000001</v>
      </c>
      <c r="K20" s="237">
        <f t="shared" ref="K20:K35" si="30">+IFERROR(J20/F20-1,"n/a")</f>
        <v>0.29660833333333336</v>
      </c>
      <c r="L20" s="237">
        <f t="shared" ref="L20:L35" si="31">+IFERROR(J20/G20-1,"n/a")</f>
        <v>0.26156486486486497</v>
      </c>
      <c r="M20" s="237">
        <f t="shared" ref="M20:M35" si="32">+IFERROR(J20/H20-1,"n/a")</f>
        <v>0.22836578947368413</v>
      </c>
      <c r="N20" s="237">
        <f t="shared" ref="N20:N35" si="33">+IFERROR(J20/I20-1,"n/a")</f>
        <v>0.25056321239190682</v>
      </c>
      <c r="P20" s="176">
        <v>450</v>
      </c>
      <c r="Q20" s="241">
        <f t="shared" ref="Q20:Q35" si="34">+IFERROR(AVERAGE(P20,R20),"n/a")</f>
        <v>455</v>
      </c>
      <c r="R20" s="176">
        <v>460</v>
      </c>
      <c r="S20" s="242">
        <f>_xll.VAData("FOUR_US",$D20,S$1,"consensus.vaactuals","CD","IMPL",$B20,"","M")</f>
        <v>407.54733732810956</v>
      </c>
      <c r="T20" s="238">
        <f>+HLOOKUP($D20,'Historical Financials'!$L$6:$AS$40,T$1,FALSE)</f>
        <v>529</v>
      </c>
      <c r="U20" s="243">
        <f t="shared" ref="U20:U35" si="35">+IFERROR(T20/P20-1,"n/a")</f>
        <v>0.17555555555555546</v>
      </c>
      <c r="V20" s="243">
        <f t="shared" ref="V20:V35" si="36">+IFERROR(T20/Q20-1,"n/a")</f>
        <v>0.16263736263736273</v>
      </c>
      <c r="W20" s="243">
        <f t="shared" ref="W20:W35" si="37">+IFERROR(T20/R20-1,"n/a")</f>
        <v>0.14999999999999991</v>
      </c>
      <c r="X20" s="243">
        <f t="shared" ref="X20:X35" si="38">+IFERROR(T20/S20-1,"n/a")</f>
        <v>0.29800872573021109</v>
      </c>
      <c r="Z20" s="240">
        <v>155</v>
      </c>
      <c r="AA20" s="241">
        <f t="shared" ref="AA20:AA35" si="39">+IFERROR(AVERAGE(Z20,AB20),"n/a")</f>
        <v>157.5</v>
      </c>
      <c r="AB20" s="240">
        <v>160</v>
      </c>
      <c r="AC20" s="242">
        <f>_xll.VAData("FOUR_US",$D20,AC$1,"consensus.vaactuals","CD","IMPL",$B20,"","M")</f>
        <v>159.05845070629991</v>
      </c>
      <c r="AD20" s="238">
        <f>+HLOOKUP($D20,'Historical Financials'!$L$6:$AS$40,AD$1,FALSE)</f>
        <v>167.40000000000003</v>
      </c>
      <c r="AE20" s="243">
        <f t="shared" ref="AE20:AE35" si="40">+IFERROR(AD20/Z20-1,"n/a")</f>
        <v>8.0000000000000293E-2</v>
      </c>
      <c r="AF20" s="243">
        <f t="shared" ref="AF20:AF35" si="41">+IFERROR(AD20/AA20-1,"n/a")</f>
        <v>6.2857142857143167E-2</v>
      </c>
      <c r="AG20" s="243">
        <f t="shared" ref="AG20:AG35" si="42">+IFERROR(AD20/AB20-1,"n/a")</f>
        <v>4.6250000000000124E-2</v>
      </c>
      <c r="AH20" s="243">
        <f t="shared" ref="AH20:AH35" si="43">+IFERROR(AD20/AC20-1,"n/a")</f>
        <v>5.244329525818614E-2</v>
      </c>
    </row>
    <row r="21" spans="1:34" x14ac:dyDescent="0.2">
      <c r="B21" s="230">
        <f t="shared" si="28"/>
        <v>44320</v>
      </c>
      <c r="C21" s="231">
        <v>44322</v>
      </c>
      <c r="D21" s="227" t="s">
        <v>11</v>
      </c>
      <c r="F21" s="176">
        <v>44</v>
      </c>
      <c r="G21" s="239">
        <f t="shared" si="29"/>
        <v>45</v>
      </c>
      <c r="H21" s="176">
        <v>46</v>
      </c>
      <c r="I21" s="242">
        <f>_xll.VAData("FOUR_US",$D21,I$1,"consensus.vaactuals","CD","IMPL",$B21,"","B")</f>
        <v>38.016920020546252</v>
      </c>
      <c r="J21" s="238">
        <f>+HLOOKUP($D21,'Historical Financials'!$L$6:$AS$40,J$1,FALSE)/1000</f>
        <v>46.677900000000001</v>
      </c>
      <c r="K21" s="237">
        <f t="shared" si="30"/>
        <v>6.0861363636363741E-2</v>
      </c>
      <c r="L21" s="237">
        <f t="shared" si="31"/>
        <v>3.728666666666669E-2</v>
      </c>
      <c r="M21" s="237">
        <f t="shared" si="32"/>
        <v>1.4736956521739231E-2</v>
      </c>
      <c r="N21" s="237">
        <f t="shared" si="33"/>
        <v>0.2278190862061662</v>
      </c>
      <c r="P21" s="176">
        <v>480</v>
      </c>
      <c r="Q21" s="241">
        <f t="shared" si="34"/>
        <v>485</v>
      </c>
      <c r="R21" s="176">
        <v>490</v>
      </c>
      <c r="S21" s="242">
        <f>_xll.VAData("FOUR_US",$D21,S$1,"consensus.vaactuals","CD","IMPL",$B21,"","M")</f>
        <v>460.4540997418643</v>
      </c>
      <c r="T21" s="238">
        <f>+HLOOKUP($D21,'Historical Financials'!$L$6:$AS$40,T$1,FALSE)</f>
        <v>529</v>
      </c>
      <c r="U21" s="243">
        <f t="shared" si="35"/>
        <v>0.1020833333333333</v>
      </c>
      <c r="V21" s="243">
        <f t="shared" si="36"/>
        <v>9.0721649484535982E-2</v>
      </c>
      <c r="W21" s="243">
        <f t="shared" si="37"/>
        <v>7.9591836734693944E-2</v>
      </c>
      <c r="X21" s="243">
        <f t="shared" si="38"/>
        <v>0.14886587022802766</v>
      </c>
      <c r="Z21" s="240">
        <v>165</v>
      </c>
      <c r="AA21" s="241">
        <f t="shared" si="39"/>
        <v>167.5</v>
      </c>
      <c r="AB21" s="240">
        <v>170</v>
      </c>
      <c r="AC21" s="242">
        <f>_xll.VAData("FOUR_US",$D21,AC$1,"consensus.vaactuals","CD","IMPL",$B21,"","M")</f>
        <v>160.7716969109739</v>
      </c>
      <c r="AD21" s="238">
        <f>+HLOOKUP($D21,'Historical Financials'!$L$6:$AS$40,AD$1,FALSE)</f>
        <v>167.40000000000003</v>
      </c>
      <c r="AE21" s="243">
        <f t="shared" si="40"/>
        <v>1.4545454545454861E-2</v>
      </c>
      <c r="AF21" s="243">
        <f t="shared" si="41"/>
        <v>-5.9701492537289624E-4</v>
      </c>
      <c r="AG21" s="243">
        <f t="shared" si="42"/>
        <v>-1.5294117647058569E-2</v>
      </c>
      <c r="AH21" s="243">
        <f t="shared" si="43"/>
        <v>4.1228047077816798E-2</v>
      </c>
    </row>
    <row r="22" spans="1:34" x14ac:dyDescent="0.2">
      <c r="B22" s="230">
        <f t="shared" si="28"/>
        <v>44411</v>
      </c>
      <c r="C22" s="231">
        <v>44413</v>
      </c>
      <c r="D22" s="227" t="s">
        <v>11</v>
      </c>
      <c r="F22" s="176">
        <v>46</v>
      </c>
      <c r="G22" s="239">
        <f t="shared" si="29"/>
        <v>47</v>
      </c>
      <c r="H22" s="176">
        <v>48</v>
      </c>
      <c r="I22" s="242">
        <f>_xll.VAData("FOUR_US",$D22,I$1,"consensus.vaactuals","CD","IMPL",$B22,"","B")</f>
        <v>46.414904979875907</v>
      </c>
      <c r="J22" s="238">
        <f>+HLOOKUP($D22,'Historical Financials'!$L$6:$AS$40,J$1,FALSE)/1000</f>
        <v>46.677900000000001</v>
      </c>
      <c r="K22" s="237">
        <f t="shared" si="30"/>
        <v>1.4736956521739231E-2</v>
      </c>
      <c r="L22" s="237">
        <f t="shared" si="31"/>
        <v>-6.8531914893616985E-3</v>
      </c>
      <c r="M22" s="237">
        <f t="shared" si="32"/>
        <v>-2.7543749999999978E-2</v>
      </c>
      <c r="N22" s="237">
        <f t="shared" si="33"/>
        <v>5.6661759889009566E-3</v>
      </c>
      <c r="P22" s="176">
        <v>500</v>
      </c>
      <c r="Q22" s="241">
        <f t="shared" si="34"/>
        <v>505</v>
      </c>
      <c r="R22" s="176">
        <v>510</v>
      </c>
      <c r="S22" s="242">
        <f>_xll.VAData("FOUR_US",$D22,S$1,"consensus.vaactuals","CD","IMPL",$B22,"","M")</f>
        <v>504.08009423631478</v>
      </c>
      <c r="T22" s="238">
        <f>+HLOOKUP($D22,'Historical Financials'!$L$6:$AS$40,T$1,FALSE)</f>
        <v>529</v>
      </c>
      <c r="U22" s="243">
        <f t="shared" si="35"/>
        <v>5.8000000000000052E-2</v>
      </c>
      <c r="V22" s="243">
        <f t="shared" si="36"/>
        <v>4.7524752475247567E-2</v>
      </c>
      <c r="W22" s="243">
        <f t="shared" si="37"/>
        <v>3.7254901960784403E-2</v>
      </c>
      <c r="X22" s="243">
        <f t="shared" si="38"/>
        <v>4.9436401176362832E-2</v>
      </c>
      <c r="Z22" s="240">
        <v>175</v>
      </c>
      <c r="AA22" s="241">
        <f t="shared" si="39"/>
        <v>177.5</v>
      </c>
      <c r="AB22" s="240">
        <v>180</v>
      </c>
      <c r="AC22" s="242">
        <f>_xll.VAData("FOUR_US",$D22,AC$1,"consensus.vaactuals","CD","IMPL",$B22,"","M")</f>
        <v>171.94683176380511</v>
      </c>
      <c r="AD22" s="238">
        <f>+HLOOKUP($D22,'Historical Financials'!$L$6:$AS$40,AD$1,FALSE)</f>
        <v>167.40000000000003</v>
      </c>
      <c r="AE22" s="243">
        <f t="shared" si="40"/>
        <v>-4.3428571428571261E-2</v>
      </c>
      <c r="AF22" s="243">
        <f t="shared" si="41"/>
        <v>-5.6901408450704016E-2</v>
      </c>
      <c r="AG22" s="243">
        <f t="shared" si="42"/>
        <v>-6.999999999999984E-2</v>
      </c>
      <c r="AH22" s="243">
        <f t="shared" si="43"/>
        <v>-2.6443242467246164E-2</v>
      </c>
    </row>
    <row r="23" spans="1:34" x14ac:dyDescent="0.2">
      <c r="B23" s="230">
        <f t="shared" si="28"/>
        <v>44508</v>
      </c>
      <c r="C23" s="245">
        <v>44510</v>
      </c>
      <c r="D23" s="246" t="s">
        <v>11</v>
      </c>
      <c r="E23" s="5"/>
      <c r="F23" s="247">
        <v>46</v>
      </c>
      <c r="G23" s="248">
        <f t="shared" si="29"/>
        <v>47</v>
      </c>
      <c r="H23" s="247">
        <v>48</v>
      </c>
      <c r="I23" s="249">
        <f>_xll.VAData("FOUR_US",$D23,I$1,"consensus.vaactuals","CD","IMPL",$B23,"","B")</f>
        <v>47.711555681058357</v>
      </c>
      <c r="J23" s="250">
        <f>+HLOOKUP($D23,'Historical Financials'!$L$6:$AS$40,J$1,FALSE)/1000</f>
        <v>46.677900000000001</v>
      </c>
      <c r="K23" s="251">
        <f t="shared" si="30"/>
        <v>1.4736956521739231E-2</v>
      </c>
      <c r="L23" s="251">
        <f t="shared" si="31"/>
        <v>-6.8531914893616985E-3</v>
      </c>
      <c r="M23" s="251">
        <f t="shared" si="32"/>
        <v>-2.7543749999999978E-2</v>
      </c>
      <c r="N23" s="251">
        <f t="shared" si="33"/>
        <v>-2.1664681989581824E-2</v>
      </c>
      <c r="O23" s="5"/>
      <c r="P23" s="247">
        <v>520</v>
      </c>
      <c r="Q23" s="252">
        <f t="shared" si="34"/>
        <v>522.5</v>
      </c>
      <c r="R23" s="247">
        <v>525</v>
      </c>
      <c r="S23" s="249">
        <f>_xll.VAData("FOUR_US",$D23,S$1,"consensus.vaactuals","CD","IMPL",$B23,"","M")</f>
        <v>514.16136748179895</v>
      </c>
      <c r="T23" s="250">
        <f>+HLOOKUP($D23,'Historical Financials'!$L$6:$AS$40,T$1,FALSE)</f>
        <v>529</v>
      </c>
      <c r="U23" s="253">
        <f t="shared" si="35"/>
        <v>1.7307692307692246E-2</v>
      </c>
      <c r="V23" s="253">
        <f t="shared" si="36"/>
        <v>1.2440191387559807E-2</v>
      </c>
      <c r="W23" s="253">
        <f t="shared" si="37"/>
        <v>7.6190476190476364E-3</v>
      </c>
      <c r="X23" s="253">
        <f t="shared" si="38"/>
        <v>2.885987446096161E-2</v>
      </c>
      <c r="Y23" s="5"/>
      <c r="Z23" s="254">
        <v>175</v>
      </c>
      <c r="AA23" s="252">
        <f t="shared" si="39"/>
        <v>177.5</v>
      </c>
      <c r="AB23" s="254">
        <v>180</v>
      </c>
      <c r="AC23" s="249">
        <f>_xll.VAData("FOUR_US",$D23,AC$1,"consensus.vaactuals","CD","IMPL",$B23,"","M")</f>
        <v>179.27756892689601</v>
      </c>
      <c r="AD23" s="250">
        <f>+HLOOKUP($D23,'Historical Financials'!$L$6:$AS$40,AD$1,FALSE)</f>
        <v>167.40000000000003</v>
      </c>
      <c r="AE23" s="253">
        <f t="shared" si="40"/>
        <v>-4.3428571428571261E-2</v>
      </c>
      <c r="AF23" s="253">
        <f t="shared" si="41"/>
        <v>-5.6901408450704016E-2</v>
      </c>
      <c r="AG23" s="253">
        <f t="shared" si="42"/>
        <v>-6.999999999999984E-2</v>
      </c>
      <c r="AH23" s="253">
        <f t="shared" si="43"/>
        <v>-6.625239843440367E-2</v>
      </c>
    </row>
    <row r="24" spans="1:34" x14ac:dyDescent="0.2">
      <c r="B24" s="230">
        <f t="shared" si="28"/>
        <v>44619</v>
      </c>
      <c r="C24" s="231">
        <v>44621</v>
      </c>
      <c r="D24" s="227" t="s">
        <v>241</v>
      </c>
      <c r="F24" s="176">
        <v>68</v>
      </c>
      <c r="G24" s="239">
        <f t="shared" si="29"/>
        <v>69</v>
      </c>
      <c r="H24" s="176">
        <v>70</v>
      </c>
      <c r="I24" s="242">
        <f>_xll.VAData("FOUR_US",$D24,I$1,"consensus.vaactuals","CD","IMPL",$B24,"","B")</f>
        <v>71.948324752915894</v>
      </c>
      <c r="J24" s="238">
        <f>+HLOOKUP($D24,'Historical Financials'!$L$6:$AS$40,J$1,FALSE)/1000</f>
        <v>71.587699999999998</v>
      </c>
      <c r="K24" s="237">
        <f t="shared" si="30"/>
        <v>5.2760294117647044E-2</v>
      </c>
      <c r="L24" s="237">
        <f t="shared" si="31"/>
        <v>3.7502898550724639E-2</v>
      </c>
      <c r="M24" s="237">
        <f t="shared" si="32"/>
        <v>2.2681428571428519E-2</v>
      </c>
      <c r="N24" s="237">
        <f t="shared" si="33"/>
        <v>-5.0122744922046492E-3</v>
      </c>
      <c r="P24" s="176">
        <v>675</v>
      </c>
      <c r="Q24" s="241">
        <f t="shared" si="34"/>
        <v>690</v>
      </c>
      <c r="R24" s="176">
        <v>705</v>
      </c>
      <c r="S24" s="242">
        <f>_xll.VAData("FOUR_US",$D24,S$1,"consensus.vaactuals","CD","IMPL",$B24,"","M")</f>
        <v>707.68224499351413</v>
      </c>
      <c r="T24" s="238">
        <f>+HLOOKUP($D24,'Historical Financials'!$L$6:$AS$40,T$1,FALSE)</f>
        <v>727.49999999999989</v>
      </c>
      <c r="U24" s="243">
        <f t="shared" si="35"/>
        <v>7.7777777777777501E-2</v>
      </c>
      <c r="V24" s="243">
        <f t="shared" si="36"/>
        <v>5.4347826086956319E-2</v>
      </c>
      <c r="W24" s="243">
        <f t="shared" si="37"/>
        <v>3.1914893617021045E-2</v>
      </c>
      <c r="X24" s="243">
        <f t="shared" si="38"/>
        <v>2.8003747651839772E-2</v>
      </c>
      <c r="Z24" s="240">
        <v>240</v>
      </c>
      <c r="AA24" s="241">
        <f t="shared" si="39"/>
        <v>245</v>
      </c>
      <c r="AB24" s="240">
        <v>250</v>
      </c>
      <c r="AC24" s="242">
        <f>_xll.VAData("FOUR_US",$D24,AC$1,"consensus.vaactuals","CD","IMPL",$B24,"","M")</f>
        <v>253.03713756467863</v>
      </c>
      <c r="AD24" s="238">
        <f>+HLOOKUP($D24,'Historical Financials'!$L$6:$AS$40,AD$1,FALSE)</f>
        <v>289.39999999999981</v>
      </c>
      <c r="AE24" s="243">
        <f t="shared" si="40"/>
        <v>0.20583333333333242</v>
      </c>
      <c r="AF24" s="243">
        <f t="shared" si="41"/>
        <v>0.18122448979591765</v>
      </c>
      <c r="AG24" s="243">
        <f t="shared" si="42"/>
        <v>0.1575999999999993</v>
      </c>
      <c r="AH24" s="243">
        <f t="shared" si="43"/>
        <v>0.1437056346166834</v>
      </c>
    </row>
    <row r="25" spans="1:34" x14ac:dyDescent="0.2">
      <c r="B25" s="230">
        <f t="shared" si="28"/>
        <v>44684</v>
      </c>
      <c r="C25" s="231">
        <v>44686</v>
      </c>
      <c r="D25" s="227" t="s">
        <v>241</v>
      </c>
      <c r="F25" s="176">
        <v>68</v>
      </c>
      <c r="G25" s="239">
        <f t="shared" si="29"/>
        <v>69</v>
      </c>
      <c r="H25" s="176">
        <v>70</v>
      </c>
      <c r="I25" s="242">
        <f>_xll.VAData("FOUR_US",$D25,I$1,"consensus.vaactuals","CD","IMPL",$B25,"","B")</f>
        <v>69.239254439472219</v>
      </c>
      <c r="J25" s="238">
        <f>+HLOOKUP($D25,'Historical Financials'!$L$6:$AS$40,J$1,FALSE)/1000</f>
        <v>71.587699999999998</v>
      </c>
      <c r="K25" s="237">
        <f t="shared" si="30"/>
        <v>5.2760294117647044E-2</v>
      </c>
      <c r="L25" s="237">
        <f t="shared" si="31"/>
        <v>3.7502898550724639E-2</v>
      </c>
      <c r="M25" s="237">
        <f t="shared" si="32"/>
        <v>2.2681428571428519E-2</v>
      </c>
      <c r="N25" s="237">
        <f t="shared" si="33"/>
        <v>3.3917834320136286E-2</v>
      </c>
      <c r="P25" s="176">
        <v>675</v>
      </c>
      <c r="Q25" s="241">
        <f t="shared" si="34"/>
        <v>690</v>
      </c>
      <c r="R25" s="176">
        <v>705</v>
      </c>
      <c r="S25" s="242">
        <f>_xll.VAData("FOUR_US",$D25,S$1,"consensus.vaactuals","CD","IMPL",$B25,"","M")</f>
        <v>698.39189237684752</v>
      </c>
      <c r="T25" s="238">
        <f>+HLOOKUP($D25,'Historical Financials'!$L$6:$AS$40,T$1,FALSE)</f>
        <v>727.49999999999989</v>
      </c>
      <c r="U25" s="243">
        <f t="shared" si="35"/>
        <v>7.7777777777777501E-2</v>
      </c>
      <c r="V25" s="243">
        <f t="shared" si="36"/>
        <v>5.4347826086956319E-2</v>
      </c>
      <c r="W25" s="243">
        <f t="shared" si="37"/>
        <v>3.1914893617021045E-2</v>
      </c>
      <c r="X25" s="243">
        <f t="shared" si="38"/>
        <v>4.1678759362581141E-2</v>
      </c>
      <c r="Z25" s="240">
        <v>240</v>
      </c>
      <c r="AA25" s="241">
        <f t="shared" si="39"/>
        <v>245</v>
      </c>
      <c r="AB25" s="240">
        <v>250</v>
      </c>
      <c r="AC25" s="242">
        <f>_xll.VAData("FOUR_US",$D25,AC$1,"consensus.vaactuals","CD","IMPL",$B25,"","M")</f>
        <v>245.58380096533938</v>
      </c>
      <c r="AD25" s="238">
        <f>+HLOOKUP($D25,'Historical Financials'!$L$6:$AS$40,AD$1,FALSE)</f>
        <v>289.39999999999981</v>
      </c>
      <c r="AE25" s="243">
        <f t="shared" si="40"/>
        <v>0.20583333333333242</v>
      </c>
      <c r="AF25" s="243">
        <f t="shared" si="41"/>
        <v>0.18122448979591765</v>
      </c>
      <c r="AG25" s="243">
        <f t="shared" si="42"/>
        <v>0.1575999999999993</v>
      </c>
      <c r="AH25" s="243">
        <f t="shared" si="43"/>
        <v>0.17841648700943624</v>
      </c>
    </row>
    <row r="26" spans="1:34" x14ac:dyDescent="0.2">
      <c r="B26" s="230">
        <f t="shared" si="28"/>
        <v>44775</v>
      </c>
      <c r="C26" s="231">
        <v>44777</v>
      </c>
      <c r="D26" s="227" t="s">
        <v>241</v>
      </c>
      <c r="F26" s="176">
        <v>68</v>
      </c>
      <c r="G26" s="239">
        <f t="shared" si="29"/>
        <v>69</v>
      </c>
      <c r="H26" s="176">
        <v>70</v>
      </c>
      <c r="I26" s="242">
        <f>_xll.VAData("FOUR_US",$D26,I$1,"consensus.vaactuals","CD","IMPL",$B26,"","B")</f>
        <v>68.763057877256955</v>
      </c>
      <c r="J26" s="238">
        <f>+HLOOKUP($D26,'Historical Financials'!$L$6:$AS$40,J$1,FALSE)/1000</f>
        <v>71.587699999999998</v>
      </c>
      <c r="K26" s="237">
        <f t="shared" si="30"/>
        <v>5.2760294117647044E-2</v>
      </c>
      <c r="L26" s="237">
        <f t="shared" si="31"/>
        <v>3.7502898550724639E-2</v>
      </c>
      <c r="M26" s="237">
        <f t="shared" si="32"/>
        <v>2.2681428571428519E-2</v>
      </c>
      <c r="N26" s="237">
        <f t="shared" si="33"/>
        <v>4.1077901564311903E-2</v>
      </c>
      <c r="P26" s="176">
        <v>690</v>
      </c>
      <c r="Q26" s="241">
        <f t="shared" si="34"/>
        <v>700</v>
      </c>
      <c r="R26" s="176">
        <v>710</v>
      </c>
      <c r="S26" s="242">
        <f>_xll.VAData("FOUR_US",$D26,S$1,"consensus.vaactuals","CD","IMPL",$B26,"","M")</f>
        <v>700.26807102303928</v>
      </c>
      <c r="T26" s="238">
        <f>+HLOOKUP($D26,'Historical Financials'!$L$6:$AS$40,T$1,FALSE)</f>
        <v>727.49999999999989</v>
      </c>
      <c r="U26" s="243">
        <f t="shared" si="35"/>
        <v>5.4347826086956319E-2</v>
      </c>
      <c r="V26" s="243">
        <f t="shared" si="36"/>
        <v>3.9285714285714146E-2</v>
      </c>
      <c r="W26" s="243">
        <f t="shared" si="37"/>
        <v>2.4647887323943518E-2</v>
      </c>
      <c r="X26" s="243">
        <f t="shared" si="38"/>
        <v>3.8887863239540188E-2</v>
      </c>
      <c r="Z26" s="240">
        <v>255</v>
      </c>
      <c r="AA26" s="241">
        <f t="shared" si="39"/>
        <v>260</v>
      </c>
      <c r="AB26" s="240">
        <v>265</v>
      </c>
      <c r="AC26" s="242">
        <f>_xll.VAData("FOUR_US",$D26,AC$1,"consensus.vaactuals","CD","IMPL",$B26,"","M")</f>
        <v>246.03104521352489</v>
      </c>
      <c r="AD26" s="238">
        <f>+HLOOKUP($D26,'Historical Financials'!$L$6:$AS$40,AD$1,FALSE)</f>
        <v>289.39999999999981</v>
      </c>
      <c r="AE26" s="243">
        <f t="shared" si="40"/>
        <v>0.13490196078431294</v>
      </c>
      <c r="AF26" s="243">
        <f t="shared" si="41"/>
        <v>0.11307692307692241</v>
      </c>
      <c r="AG26" s="243">
        <f t="shared" si="42"/>
        <v>9.2075471698112477E-2</v>
      </c>
      <c r="AH26" s="243">
        <f t="shared" si="43"/>
        <v>0.17627431834399587</v>
      </c>
    </row>
    <row r="27" spans="1:34" x14ac:dyDescent="0.2">
      <c r="B27" s="230">
        <f t="shared" si="28"/>
        <v>44870</v>
      </c>
      <c r="C27" s="245">
        <v>44872</v>
      </c>
      <c r="D27" s="246" t="s">
        <v>241</v>
      </c>
      <c r="E27" s="5"/>
      <c r="F27" s="247">
        <v>70</v>
      </c>
      <c r="G27" s="248">
        <f t="shared" si="29"/>
        <v>70.5</v>
      </c>
      <c r="H27" s="247">
        <v>71</v>
      </c>
      <c r="I27" s="249">
        <f>_xll.VAData("FOUR_US",$D27,I$1,"consensus.vaactuals","CD","IMPL",$B27,"","B")</f>
        <v>69.1521717796914</v>
      </c>
      <c r="J27" s="250">
        <f>+HLOOKUP($D27,'Historical Financials'!$L$6:$AS$40,J$1,FALSE)/1000</f>
        <v>71.587699999999998</v>
      </c>
      <c r="K27" s="251">
        <f t="shared" si="30"/>
        <v>2.2681428571428519E-2</v>
      </c>
      <c r="L27" s="251">
        <f t="shared" si="31"/>
        <v>1.5428368794326186E-2</v>
      </c>
      <c r="M27" s="251">
        <f t="shared" si="32"/>
        <v>8.2774647887322583E-3</v>
      </c>
      <c r="N27" s="251">
        <f t="shared" si="33"/>
        <v>3.5219837029382584E-2</v>
      </c>
      <c r="O27" s="5"/>
      <c r="P27" s="247">
        <v>720</v>
      </c>
      <c r="Q27" s="252">
        <f t="shared" si="34"/>
        <v>722.5</v>
      </c>
      <c r="R27" s="247">
        <v>725</v>
      </c>
      <c r="S27" s="249">
        <f>_xll.VAData("FOUR_US",$D27,S$1,"consensus.vaactuals","CD","IMPL",$B27,"","M")</f>
        <v>712.26428602105545</v>
      </c>
      <c r="T27" s="250">
        <f>+HLOOKUP($D27,'Historical Financials'!$L$6:$AS$40,T$1,FALSE)</f>
        <v>727.49999999999989</v>
      </c>
      <c r="U27" s="253">
        <f t="shared" si="35"/>
        <v>1.0416666666666519E-2</v>
      </c>
      <c r="V27" s="253">
        <f t="shared" si="36"/>
        <v>6.9204152249133788E-3</v>
      </c>
      <c r="W27" s="253">
        <f t="shared" si="37"/>
        <v>3.4482758620688614E-3</v>
      </c>
      <c r="X27" s="253">
        <f t="shared" si="38"/>
        <v>2.139053477474806E-2</v>
      </c>
      <c r="Y27" s="5"/>
      <c r="Z27" s="254">
        <v>275</v>
      </c>
      <c r="AA27" s="252">
        <f t="shared" si="39"/>
        <v>277.5</v>
      </c>
      <c r="AB27" s="254">
        <v>280</v>
      </c>
      <c r="AC27" s="249">
        <f>_xll.VAData("FOUR_US",$D27,AC$1,"consensus.vaactuals","CD","IMPL",$B27,"","M")</f>
        <v>260.74050795881283</v>
      </c>
      <c r="AD27" s="250">
        <f>+HLOOKUP($D27,'Historical Financials'!$L$6:$AS$40,AD$1,FALSE)</f>
        <v>289.39999999999981</v>
      </c>
      <c r="AE27" s="253">
        <f t="shared" si="40"/>
        <v>5.2363636363635724E-2</v>
      </c>
      <c r="AF27" s="253">
        <f t="shared" si="41"/>
        <v>4.2882882882882223E-2</v>
      </c>
      <c r="AG27" s="253">
        <f t="shared" si="42"/>
        <v>3.3571428571427919E-2</v>
      </c>
      <c r="AH27" s="253">
        <f t="shared" si="43"/>
        <v>0.10991576362854261</v>
      </c>
    </row>
    <row r="28" spans="1:34" x14ac:dyDescent="0.2">
      <c r="B28" s="230">
        <f t="shared" si="28"/>
        <v>44983</v>
      </c>
      <c r="C28" s="231">
        <v>44985</v>
      </c>
      <c r="D28" s="227" t="s">
        <v>302</v>
      </c>
      <c r="F28" s="176">
        <v>100</v>
      </c>
      <c r="G28" s="239">
        <f t="shared" si="29"/>
        <v>104.5</v>
      </c>
      <c r="H28" s="176">
        <v>109</v>
      </c>
      <c r="I28" s="242">
        <f>_xll.VAData("FOUR_US",$D28,I$1,"consensus.vaactuals","CD","IMPL",$B28,"","B")</f>
        <v>101.99266254184001</v>
      </c>
      <c r="J28" s="238">
        <f>+HLOOKUP($D28,'Historical Financials'!$L$6:$AS$40,J$1,FALSE)/1000</f>
        <v>109.03400000000001</v>
      </c>
      <c r="K28" s="237">
        <f t="shared" si="30"/>
        <v>9.0340000000000087E-2</v>
      </c>
      <c r="L28" s="237">
        <f t="shared" si="31"/>
        <v>4.3387559808612419E-2</v>
      </c>
      <c r="M28" s="237">
        <f t="shared" si="32"/>
        <v>3.1192660550471984E-4</v>
      </c>
      <c r="N28" s="237">
        <f t="shared" si="33"/>
        <v>6.9037686463685244E-2</v>
      </c>
      <c r="P28" s="176">
        <v>915</v>
      </c>
      <c r="Q28" s="241">
        <f t="shared" si="34"/>
        <v>935</v>
      </c>
      <c r="R28" s="176">
        <v>955</v>
      </c>
      <c r="S28" s="242">
        <f>_xll.VAData("FOUR_US",$D28,S$1,"consensus.vaactuals","CD","IMPL",$B28,"","M")</f>
        <v>930.70517248243232</v>
      </c>
      <c r="T28" s="238">
        <f>+HLOOKUP($D28,'Historical Financials'!$L$6:$AS$40,T$1,FALSE)</f>
        <v>940.40000000000009</v>
      </c>
      <c r="U28" s="243">
        <f t="shared" si="35"/>
        <v>2.7759562841530139E-2</v>
      </c>
      <c r="V28" s="243">
        <f t="shared" si="36"/>
        <v>5.775401069518793E-3</v>
      </c>
      <c r="W28" s="243">
        <f t="shared" si="37"/>
        <v>-1.5287958115183131E-2</v>
      </c>
      <c r="X28" s="243">
        <f t="shared" si="38"/>
        <v>1.0416647295200088E-2</v>
      </c>
      <c r="Z28" s="240">
        <v>410</v>
      </c>
      <c r="AA28" s="241">
        <f t="shared" si="39"/>
        <v>422.5</v>
      </c>
      <c r="AB28" s="240">
        <v>435</v>
      </c>
      <c r="AC28" s="242">
        <f>_xll.VAData("FOUR_US",$D28,AC$1,"consensus.vaactuals","CD","IMPL",$B28,"","M")</f>
        <v>361.13329153171748</v>
      </c>
      <c r="AD28" s="238">
        <f>+HLOOKUP($D28,'Historical Financials'!$L$6:$AS$40,AD$1,FALSE)</f>
        <v>459.89999999999986</v>
      </c>
      <c r="AE28" s="243">
        <f t="shared" si="40"/>
        <v>0.1217073170731704</v>
      </c>
      <c r="AF28" s="243">
        <f t="shared" si="41"/>
        <v>8.852071005917117E-2</v>
      </c>
      <c r="AG28" s="243">
        <f t="shared" si="42"/>
        <v>5.7241379310344565E-2</v>
      </c>
      <c r="AH28" s="243">
        <f t="shared" si="43"/>
        <v>0.27349100950890293</v>
      </c>
    </row>
    <row r="29" spans="1:34" x14ac:dyDescent="0.2">
      <c r="B29" s="230">
        <f t="shared" si="28"/>
        <v>45048</v>
      </c>
      <c r="C29" s="231">
        <v>45050</v>
      </c>
      <c r="D29" s="227" t="s">
        <v>302</v>
      </c>
      <c r="F29" s="176">
        <v>104</v>
      </c>
      <c r="G29" s="239">
        <f t="shared" si="29"/>
        <v>107</v>
      </c>
      <c r="H29" s="176">
        <v>110</v>
      </c>
      <c r="I29" s="242">
        <f>_xll.VAData("FOUR_US",$D29,I$1,"consensus.vaactuals","CD","IMPL",$B29,"","B")</f>
        <v>105.87196614285715</v>
      </c>
      <c r="J29" s="238">
        <f>+HLOOKUP($D29,'Historical Financials'!$L$6:$AS$40,J$1,FALSE)/1000</f>
        <v>109.03400000000001</v>
      </c>
      <c r="K29" s="237">
        <f t="shared" si="30"/>
        <v>4.8403846153846297E-2</v>
      </c>
      <c r="L29" s="237">
        <f t="shared" si="31"/>
        <v>1.9009345794392507E-2</v>
      </c>
      <c r="M29" s="237">
        <f t="shared" si="32"/>
        <v>-8.7818181818181129E-3</v>
      </c>
      <c r="N29" s="237">
        <f t="shared" si="33"/>
        <v>2.9866582933542718E-2</v>
      </c>
      <c r="P29" s="176">
        <v>920</v>
      </c>
      <c r="Q29" s="241">
        <f t="shared" si="34"/>
        <v>937.5</v>
      </c>
      <c r="R29" s="176">
        <v>955</v>
      </c>
      <c r="S29" s="242">
        <f>_xll.VAData("FOUR_US",$D29,S$1,"consensus.vaactuals","CD","IMPL",$B29,"","M")</f>
        <v>942.53641746874973</v>
      </c>
      <c r="T29" s="238">
        <f>+HLOOKUP($D29,'Historical Financials'!$L$6:$AS$40,T$1,FALSE)</f>
        <v>940.40000000000009</v>
      </c>
      <c r="U29" s="243">
        <f t="shared" si="35"/>
        <v>2.2173913043478377E-2</v>
      </c>
      <c r="V29" s="243">
        <f t="shared" si="36"/>
        <v>3.0933333333333923E-3</v>
      </c>
      <c r="W29" s="243">
        <f t="shared" si="37"/>
        <v>-1.5287958115183131E-2</v>
      </c>
      <c r="X29" s="243">
        <f t="shared" si="38"/>
        <v>-2.2666683527063913E-3</v>
      </c>
      <c r="Z29" s="240">
        <v>420</v>
      </c>
      <c r="AA29" s="241">
        <f t="shared" si="39"/>
        <v>430</v>
      </c>
      <c r="AB29" s="240">
        <v>440</v>
      </c>
      <c r="AC29" s="242">
        <f>_xll.VAData("FOUR_US",$D29,AC$1,"consensus.vaactuals","CD","IMPL",$B29,"","M")</f>
        <v>425.24647827894302</v>
      </c>
      <c r="AD29" s="238">
        <f>+HLOOKUP($D29,'Historical Financials'!$L$6:$AS$40,AD$1,FALSE)</f>
        <v>459.89999999999986</v>
      </c>
      <c r="AE29" s="243">
        <f t="shared" si="40"/>
        <v>9.4999999999999751E-2</v>
      </c>
      <c r="AF29" s="243">
        <f t="shared" si="41"/>
        <v>6.9534883720929974E-2</v>
      </c>
      <c r="AG29" s="243">
        <f t="shared" si="42"/>
        <v>4.522727272727245E-2</v>
      </c>
      <c r="AH29" s="243">
        <f t="shared" si="43"/>
        <v>8.1490437878066757E-2</v>
      </c>
    </row>
    <row r="30" spans="1:34" x14ac:dyDescent="0.2">
      <c r="B30" s="230">
        <f t="shared" si="28"/>
        <v>45139</v>
      </c>
      <c r="C30" s="231">
        <v>45141</v>
      </c>
      <c r="D30" s="227" t="s">
        <v>302</v>
      </c>
      <c r="F30" s="176">
        <v>108</v>
      </c>
      <c r="G30" s="239">
        <f t="shared" si="29"/>
        <v>111</v>
      </c>
      <c r="H30" s="176">
        <v>114</v>
      </c>
      <c r="I30" s="242">
        <f>_xll.VAData("FOUR_US",$D30,I$1,"consensus.vaactuals","CD","IMPL",$B30,"","B")</f>
        <v>108.28232826666667</v>
      </c>
      <c r="J30" s="238">
        <f>+HLOOKUP($D30,'Historical Financials'!$L$6:$AS$40,J$1,FALSE)/1000</f>
        <v>109.03400000000001</v>
      </c>
      <c r="K30" s="237">
        <f t="shared" si="30"/>
        <v>9.5740740740741792E-3</v>
      </c>
      <c r="L30" s="237">
        <f t="shared" si="31"/>
        <v>-1.7711711711711708E-2</v>
      </c>
      <c r="M30" s="237">
        <f t="shared" si="32"/>
        <v>-4.3561403508771912E-2</v>
      </c>
      <c r="N30" s="237">
        <f t="shared" si="33"/>
        <v>6.9417766071875331E-3</v>
      </c>
      <c r="P30" s="176">
        <v>945</v>
      </c>
      <c r="Q30" s="241">
        <f t="shared" si="34"/>
        <v>962.5</v>
      </c>
      <c r="R30" s="176">
        <v>980</v>
      </c>
      <c r="S30" s="242">
        <f>_xll.VAData("FOUR_US",$D30,S$1,"consensus.vaactuals","CD","IMPL",$B30,"","M")</f>
        <v>936.29179008716858</v>
      </c>
      <c r="T30" s="238">
        <f>+HLOOKUP($D30,'Historical Financials'!$L$6:$AS$40,T$1,FALSE)</f>
        <v>940.40000000000009</v>
      </c>
      <c r="U30" s="243">
        <f t="shared" si="35"/>
        <v>-4.8677248677247986E-3</v>
      </c>
      <c r="V30" s="243">
        <f t="shared" si="36"/>
        <v>-2.2961038961038849E-2</v>
      </c>
      <c r="W30" s="243">
        <f t="shared" si="37"/>
        <v>-4.0408163265306052E-2</v>
      </c>
      <c r="X30" s="243">
        <f t="shared" si="38"/>
        <v>4.387745312226965E-3</v>
      </c>
      <c r="Z30" s="240">
        <v>435</v>
      </c>
      <c r="AA30" s="241">
        <f t="shared" si="39"/>
        <v>447.5</v>
      </c>
      <c r="AB30" s="240">
        <v>460</v>
      </c>
      <c r="AC30" s="242">
        <f>_xll.VAData("FOUR_US",$D30,AC$1,"consensus.vaactuals","CD","IMPL",$B30,"","M")</f>
        <v>431.02500684312452</v>
      </c>
      <c r="AD30" s="238">
        <f>+HLOOKUP($D30,'Historical Financials'!$L$6:$AS$40,AD$1,FALSE)</f>
        <v>459.89999999999986</v>
      </c>
      <c r="AE30" s="243">
        <f t="shared" si="40"/>
        <v>5.7241379310344565E-2</v>
      </c>
      <c r="AF30" s="243">
        <f t="shared" si="41"/>
        <v>2.7709497206703571E-2</v>
      </c>
      <c r="AG30" s="243">
        <f t="shared" si="42"/>
        <v>-2.17391304348169E-4</v>
      </c>
      <c r="AH30" s="243">
        <f t="shared" si="43"/>
        <v>6.6991456872442345E-2</v>
      </c>
    </row>
    <row r="31" spans="1:34" x14ac:dyDescent="0.2">
      <c r="B31" s="230">
        <f t="shared" si="28"/>
        <v>45236</v>
      </c>
      <c r="C31" s="245">
        <v>45238</v>
      </c>
      <c r="D31" s="246" t="s">
        <v>302</v>
      </c>
      <c r="E31" s="5"/>
      <c r="F31" s="247">
        <v>108</v>
      </c>
      <c r="G31" s="248">
        <f t="shared" si="29"/>
        <v>108.75</v>
      </c>
      <c r="H31" s="247">
        <v>109.5</v>
      </c>
      <c r="I31" s="249">
        <f>_xll.VAData("FOUR_US",$D31,I$1,"consensus.vaactuals","CD","IMPL",$B31,"","B")</f>
        <v>112.19895773351649</v>
      </c>
      <c r="J31" s="250">
        <f>+HLOOKUP($D31,'Historical Financials'!$L$6:$AS$40,J$1,FALSE)/1000</f>
        <v>109.03400000000001</v>
      </c>
      <c r="K31" s="251">
        <f t="shared" si="30"/>
        <v>9.5740740740741792E-3</v>
      </c>
      <c r="L31" s="251">
        <f t="shared" si="31"/>
        <v>2.6114942528736584E-3</v>
      </c>
      <c r="M31" s="251">
        <f t="shared" si="32"/>
        <v>-4.255707762557015E-3</v>
      </c>
      <c r="N31" s="251">
        <f t="shared" si="33"/>
        <v>-2.820844148154722E-2</v>
      </c>
      <c r="O31" s="5"/>
      <c r="P31" s="247">
        <v>945</v>
      </c>
      <c r="Q31" s="252">
        <f t="shared" si="34"/>
        <v>952.5</v>
      </c>
      <c r="R31" s="247">
        <v>960</v>
      </c>
      <c r="S31" s="249">
        <f>_xll.VAData("FOUR_US",$D31,S$1,"consensus.vaactuals","CD","IMPL",$B31,"","M")</f>
        <v>958.7216916906608</v>
      </c>
      <c r="T31" s="250">
        <f>+HLOOKUP($D31,'Historical Financials'!$L$6:$AS$40,T$1,FALSE)</f>
        <v>940.40000000000009</v>
      </c>
      <c r="U31" s="253">
        <f t="shared" si="35"/>
        <v>-4.8677248677247986E-3</v>
      </c>
      <c r="V31" s="253">
        <f t="shared" si="36"/>
        <v>-1.2703412073490683E-2</v>
      </c>
      <c r="W31" s="253">
        <f t="shared" si="37"/>
        <v>-2.0416666666666528E-2</v>
      </c>
      <c r="X31" s="253">
        <f t="shared" si="38"/>
        <v>-1.9110542558342769E-2</v>
      </c>
      <c r="Y31" s="5"/>
      <c r="Z31" s="254">
        <v>456</v>
      </c>
      <c r="AA31" s="252">
        <f t="shared" si="39"/>
        <v>460</v>
      </c>
      <c r="AB31" s="254">
        <v>464</v>
      </c>
      <c r="AC31" s="249">
        <f>_xll.VAData("FOUR_US",$D31,AC$1,"consensus.vaactuals","CD","IMPL",$B31,"","M")</f>
        <v>448.37287826611492</v>
      </c>
      <c r="AD31" s="250">
        <f>+HLOOKUP($D31,'Historical Financials'!$L$6:$AS$40,AD$1,FALSE)</f>
        <v>459.89999999999986</v>
      </c>
      <c r="AE31" s="253">
        <f t="shared" si="40"/>
        <v>8.5526315789470342E-3</v>
      </c>
      <c r="AF31" s="253">
        <f t="shared" si="41"/>
        <v>-2.17391304348169E-4</v>
      </c>
      <c r="AG31" s="253">
        <f t="shared" si="42"/>
        <v>-8.8362068965520679E-3</v>
      </c>
      <c r="AH31" s="253">
        <f t="shared" si="43"/>
        <v>2.5708784568908349E-2</v>
      </c>
    </row>
    <row r="32" spans="1:34" x14ac:dyDescent="0.2">
      <c r="A32" s="227" t="s">
        <v>197</v>
      </c>
      <c r="B32" s="230">
        <f t="shared" si="28"/>
        <v>45347</v>
      </c>
      <c r="C32" s="231">
        <v>45349</v>
      </c>
      <c r="D32" s="227" t="s">
        <v>462</v>
      </c>
      <c r="F32" s="176">
        <v>167</v>
      </c>
      <c r="G32" s="239">
        <f t="shared" si="29"/>
        <v>175</v>
      </c>
      <c r="H32" s="176">
        <v>183</v>
      </c>
      <c r="I32" s="242">
        <f>_xll.VAData("FOUR_US",$D32,I$1,"consensus.vaactuals","CD","IMPL",$B32,"","B")</f>
        <v>172.70448363107872</v>
      </c>
      <c r="J32" s="238">
        <f>+HLOOKUP($A32,'Historical Financials'!$L$6:$AS$40,J$1,FALSE)/1000</f>
        <v>164.86362435435433</v>
      </c>
      <c r="K32" s="237">
        <f t="shared" si="30"/>
        <v>-1.2792668536800389E-2</v>
      </c>
      <c r="L32" s="237">
        <f t="shared" si="31"/>
        <v>-5.7922146546546704E-2</v>
      </c>
      <c r="M32" s="237">
        <f t="shared" si="32"/>
        <v>-9.910587784505831E-2</v>
      </c>
      <c r="N32" s="237">
        <f t="shared" si="33"/>
        <v>-4.5400438436060342E-2</v>
      </c>
      <c r="P32" s="176">
        <v>1300</v>
      </c>
      <c r="Q32" s="241">
        <f t="shared" si="34"/>
        <v>1325</v>
      </c>
      <c r="R32" s="176">
        <v>1350</v>
      </c>
      <c r="S32" s="242">
        <f>_xll.VAData("FOUR_US",$D32,S$1,"consensus.vaactuals","CD","IMPL",$B32,"","M")</f>
        <v>1332.804239818634</v>
      </c>
      <c r="T32" s="238">
        <f>+HLOOKUP($A32,'Historical Financials'!$L$6:$AS$40,T$1,FALSE)</f>
        <v>1349.9950111254793</v>
      </c>
      <c r="U32" s="243">
        <f t="shared" si="35"/>
        <v>3.8457700865753397E-2</v>
      </c>
      <c r="V32" s="243">
        <f t="shared" si="36"/>
        <v>1.886415933998431E-2</v>
      </c>
      <c r="W32" s="243">
        <f t="shared" si="37"/>
        <v>-3.6954626079221953E-6</v>
      </c>
      <c r="X32" s="243">
        <f t="shared" si="38"/>
        <v>1.2898196744320467E-2</v>
      </c>
      <c r="Z32" s="240">
        <v>635</v>
      </c>
      <c r="AA32" s="241">
        <f t="shared" si="39"/>
        <v>655</v>
      </c>
      <c r="AB32" s="240">
        <v>675</v>
      </c>
      <c r="AC32" s="242">
        <f>_xll.VAData("FOUR_US",$D32,AC$1,"consensus.vaactuals","CD","IMPL",$B32,"","M")</f>
        <v>648.81462555076575</v>
      </c>
      <c r="AD32" s="238">
        <f>+HLOOKUP($A32,'Historical Financials'!$L$6:$AS$40,AD$1,FALSE)</f>
        <v>675.80345567399445</v>
      </c>
      <c r="AE32" s="243">
        <f t="shared" si="40"/>
        <v>6.4257410510227375E-2</v>
      </c>
      <c r="AF32" s="243">
        <f t="shared" si="41"/>
        <v>3.1761001028999258E-2</v>
      </c>
      <c r="AG32" s="243">
        <f t="shared" si="42"/>
        <v>1.190304702213929E-3</v>
      </c>
      <c r="AH32" s="243">
        <f t="shared" si="43"/>
        <v>4.1597135854202438E-2</v>
      </c>
    </row>
    <row r="33" spans="1:34" x14ac:dyDescent="0.2">
      <c r="A33" s="227" t="s">
        <v>197</v>
      </c>
      <c r="B33" s="230">
        <f t="shared" si="28"/>
        <v>45419</v>
      </c>
      <c r="C33" s="231">
        <v>45421</v>
      </c>
      <c r="D33" s="227" t="s">
        <v>462</v>
      </c>
      <c r="F33" s="176">
        <v>167</v>
      </c>
      <c r="G33" s="239">
        <f t="shared" si="29"/>
        <v>171</v>
      </c>
      <c r="H33" s="176">
        <v>175</v>
      </c>
      <c r="I33" s="242">
        <f>_xll.VAData("FOUR_US",$D33,I$1,"consensus.vaactuals","CD","IMPL",$B33,"","B")</f>
        <v>173.84794050006232</v>
      </c>
      <c r="J33" s="238">
        <f>+HLOOKUP($A33,'Historical Financials'!$L$6:$AS$40,J$1,FALSE)/1000</f>
        <v>164.86362435435433</v>
      </c>
      <c r="K33" s="237">
        <f t="shared" si="30"/>
        <v>-1.2792668536800389E-2</v>
      </c>
      <c r="L33" s="237">
        <f t="shared" si="31"/>
        <v>-3.5885237693834338E-2</v>
      </c>
      <c r="M33" s="237">
        <f t="shared" si="32"/>
        <v>-5.7922146546546704E-2</v>
      </c>
      <c r="N33" s="237">
        <f t="shared" si="33"/>
        <v>-5.1679163525694904E-2</v>
      </c>
      <c r="P33" s="176">
        <v>1300</v>
      </c>
      <c r="Q33" s="241">
        <f t="shared" si="34"/>
        <v>1325</v>
      </c>
      <c r="R33" s="176">
        <v>1350</v>
      </c>
      <c r="S33" s="242">
        <f>_xll.VAData("FOUR_US",$D33,S$1,"consensus.vaactuals","CD","IMPL",$B33,"","M")</f>
        <v>1320.9944393770077</v>
      </c>
      <c r="T33" s="238">
        <f>+HLOOKUP($A33,'Historical Financials'!$L$6:$AS$40,T$1,FALSE)</f>
        <v>1349.9950111254793</v>
      </c>
      <c r="U33" s="243">
        <f t="shared" si="35"/>
        <v>3.8457700865753397E-2</v>
      </c>
      <c r="V33" s="243">
        <f t="shared" si="36"/>
        <v>1.886415933998431E-2</v>
      </c>
      <c r="W33" s="243">
        <f t="shared" si="37"/>
        <v>-3.6954626079221953E-6</v>
      </c>
      <c r="X33" s="243">
        <f t="shared" si="38"/>
        <v>2.1953591085628332E-2</v>
      </c>
      <c r="Z33" s="240">
        <v>640</v>
      </c>
      <c r="AA33" s="241">
        <f t="shared" si="39"/>
        <v>657.5</v>
      </c>
      <c r="AB33" s="240">
        <v>675</v>
      </c>
      <c r="AC33" s="242">
        <f>_xll.VAData("FOUR_US",$D33,AC$1,"consensus.vaactuals","CD","IMPL",$B33,"","M")</f>
        <v>653.83078897758207</v>
      </c>
      <c r="AD33" s="238">
        <f>+HLOOKUP($A33,'Historical Financials'!$L$6:$AS$40,AD$1,FALSE)</f>
        <v>675.80345567399445</v>
      </c>
      <c r="AE33" s="243">
        <f t="shared" si="40"/>
        <v>5.5942899490616371E-2</v>
      </c>
      <c r="AF33" s="243">
        <f t="shared" si="41"/>
        <v>2.7837955397710168E-2</v>
      </c>
      <c r="AG33" s="243">
        <f t="shared" si="42"/>
        <v>1.190304702213929E-3</v>
      </c>
      <c r="AH33" s="243">
        <f t="shared" si="43"/>
        <v>3.360604466298045E-2</v>
      </c>
    </row>
    <row r="34" spans="1:34" x14ac:dyDescent="0.2">
      <c r="A34" s="227" t="s">
        <v>197</v>
      </c>
      <c r="B34" s="230">
        <f t="shared" si="28"/>
        <v>45510</v>
      </c>
      <c r="C34" s="231">
        <v>45512</v>
      </c>
      <c r="D34" s="227" t="s">
        <v>462</v>
      </c>
      <c r="F34" s="176">
        <v>172</v>
      </c>
      <c r="G34" s="239">
        <f t="shared" si="29"/>
        <v>172</v>
      </c>
      <c r="H34" s="176">
        <v>172</v>
      </c>
      <c r="I34" s="242">
        <f>_xll.VAData("FOUR_US",$D34,I$1,"consensus.vaactuals","CD","IMPL",$B34,"","B")</f>
        <v>171.51698354745167</v>
      </c>
      <c r="J34" s="238">
        <f>+HLOOKUP($A34,'Historical Financials'!$L$6:$AS$40,J$1,FALSE)/1000</f>
        <v>164.86362435435433</v>
      </c>
      <c r="K34" s="237">
        <f t="shared" si="30"/>
        <v>-4.1490556079335272E-2</v>
      </c>
      <c r="L34" s="237">
        <f t="shared" si="31"/>
        <v>-4.1490556079335272E-2</v>
      </c>
      <c r="M34" s="237">
        <f t="shared" si="32"/>
        <v>-4.1490556079335272E-2</v>
      </c>
      <c r="N34" s="237">
        <f t="shared" si="33"/>
        <v>-3.8791255859841001E-2</v>
      </c>
      <c r="P34" s="176">
        <v>1380</v>
      </c>
      <c r="Q34" s="241">
        <f t="shared" si="34"/>
        <v>1380</v>
      </c>
      <c r="R34" s="176">
        <v>1380</v>
      </c>
      <c r="S34" s="242">
        <f>_xll.VAData("FOUR_US",$D34,S$1,"consensus.vaactuals","CD","IMPL",$B34,"","M")</f>
        <v>1324.1131720331373</v>
      </c>
      <c r="T34" s="238">
        <f>+HLOOKUP($A34,'Historical Financials'!$L$6:$AS$40,T$1,FALSE)</f>
        <v>1349.9950111254793</v>
      </c>
      <c r="U34" s="243">
        <f t="shared" si="35"/>
        <v>-2.174274556124689E-2</v>
      </c>
      <c r="V34" s="243">
        <f t="shared" si="36"/>
        <v>-2.174274556124689E-2</v>
      </c>
      <c r="W34" s="243">
        <f t="shared" si="37"/>
        <v>-2.174274556124689E-2</v>
      </c>
      <c r="X34" s="243">
        <f t="shared" si="38"/>
        <v>1.954654604983741E-2</v>
      </c>
      <c r="Z34" s="240">
        <v>689</v>
      </c>
      <c r="AA34" s="241">
        <f t="shared" si="39"/>
        <v>689</v>
      </c>
      <c r="AB34" s="240">
        <v>689</v>
      </c>
      <c r="AC34" s="242">
        <f>_xll.VAData("FOUR_US",$D34,AC$1,"consensus.vaactuals","CD","IMPL",$B34,"","M")</f>
        <v>655.19683799071117</v>
      </c>
      <c r="AD34" s="238">
        <f>+HLOOKUP($A34,'Historical Financials'!$L$6:$AS$40,AD$1,FALSE)</f>
        <v>675.80345567399445</v>
      </c>
      <c r="AE34" s="243">
        <f t="shared" si="40"/>
        <v>-1.9153184798266443E-2</v>
      </c>
      <c r="AF34" s="243">
        <f t="shared" si="41"/>
        <v>-1.9153184798266443E-2</v>
      </c>
      <c r="AG34" s="243">
        <f t="shared" si="42"/>
        <v>-1.9153184798266443E-2</v>
      </c>
      <c r="AH34" s="243">
        <f t="shared" si="43"/>
        <v>3.1451033473356649E-2</v>
      </c>
    </row>
    <row r="35" spans="1:34" x14ac:dyDescent="0.2">
      <c r="A35" s="227" t="s">
        <v>197</v>
      </c>
      <c r="B35" s="230">
        <f t="shared" si="28"/>
        <v>45606</v>
      </c>
      <c r="C35" s="231">
        <v>45608</v>
      </c>
      <c r="D35" s="227" t="s">
        <v>462</v>
      </c>
      <c r="F35" s="176">
        <v>164</v>
      </c>
      <c r="G35" s="239">
        <f t="shared" si="29"/>
        <v>165</v>
      </c>
      <c r="H35" s="176">
        <v>166</v>
      </c>
      <c r="I35" s="242">
        <f>_xll.VAData("FOUR_US",$D35,I$1,"consensus.vaactuals","CD","IMPL",$B35,"","B")</f>
        <v>169.65893460230177</v>
      </c>
      <c r="J35" s="238">
        <f>+HLOOKUP($A35,'Historical Financials'!$L$6:$AS$40,J$1,FALSE)/1000</f>
        <v>164.86362435435433</v>
      </c>
      <c r="K35" s="237">
        <f t="shared" si="30"/>
        <v>5.2660021606971696E-3</v>
      </c>
      <c r="L35" s="237">
        <f t="shared" si="31"/>
        <v>-8.2651906451924884E-4</v>
      </c>
      <c r="M35" s="237">
        <f t="shared" si="32"/>
        <v>-6.8456364195522701E-3</v>
      </c>
      <c r="N35" s="237">
        <f t="shared" si="33"/>
        <v>-2.826441330182905E-2</v>
      </c>
      <c r="P35" s="176">
        <v>1350</v>
      </c>
      <c r="Q35" s="241">
        <f t="shared" si="34"/>
        <v>1355</v>
      </c>
      <c r="R35" s="176">
        <v>1360</v>
      </c>
      <c r="S35" s="242">
        <f>_xll.VAData("FOUR_US",$D35,S$1,"consensus.vaactuals","CD","IMPL",$B35,"","M")</f>
        <v>1353.876588076917</v>
      </c>
      <c r="T35" s="238">
        <f>+HLOOKUP($A35,'Historical Financials'!$L$6:$AS$40,T$1,FALSE)</f>
        <v>1349.9950111254793</v>
      </c>
      <c r="U35" s="243">
        <f t="shared" si="35"/>
        <v>-3.6954626079221953E-6</v>
      </c>
      <c r="V35" s="243">
        <f t="shared" si="36"/>
        <v>-3.6937187265835281E-3</v>
      </c>
      <c r="W35" s="243">
        <f t="shared" si="37"/>
        <v>-7.3566094665593607E-3</v>
      </c>
      <c r="X35" s="243">
        <f t="shared" si="38"/>
        <v>-2.8670094347011954E-3</v>
      </c>
      <c r="Z35" s="240">
        <v>677</v>
      </c>
      <c r="AA35" s="241">
        <f t="shared" si="39"/>
        <v>682.5</v>
      </c>
      <c r="AB35" s="240">
        <v>688</v>
      </c>
      <c r="AC35" s="242">
        <f>_xll.VAData("FOUR_US",$D35,AC$1,"consensus.vaactuals","CD","IMPL",$B35,"","M")</f>
        <v>673.44881492003981</v>
      </c>
      <c r="AD35" s="238">
        <f>+HLOOKUP($A35,'Historical Financials'!$L$6:$AS$40,AD$1,FALSE)</f>
        <v>675.80345567399445</v>
      </c>
      <c r="AE35" s="243">
        <f t="shared" si="40"/>
        <v>-1.7674214564336044E-3</v>
      </c>
      <c r="AF35" s="243">
        <f t="shared" si="41"/>
        <v>-9.8117865582498798E-3</v>
      </c>
      <c r="AG35" s="243">
        <f t="shared" si="42"/>
        <v>-1.7727535357566215E-2</v>
      </c>
      <c r="AH35" s="243">
        <f t="shared" si="43"/>
        <v>3.4963915620436214E-3</v>
      </c>
    </row>
    <row r="36" spans="1:34" x14ac:dyDescent="0.2">
      <c r="F36" s="14"/>
      <c r="G36" s="14"/>
      <c r="H36" s="14"/>
      <c r="I36" s="14"/>
      <c r="P36" s="176"/>
      <c r="Q36" s="145"/>
      <c r="R36" s="176"/>
      <c r="S36" s="14"/>
      <c r="U36" s="244"/>
      <c r="V36" s="244"/>
      <c r="W36" s="244"/>
      <c r="X36" s="244"/>
      <c r="Z36" s="240"/>
      <c r="AA36" s="145"/>
      <c r="AB36" s="240"/>
      <c r="AC36" s="14"/>
      <c r="AE36" s="244"/>
      <c r="AF36" s="244"/>
      <c r="AG36" s="244"/>
      <c r="AH36" s="244"/>
    </row>
    <row r="37" spans="1:34" x14ac:dyDescent="0.2">
      <c r="C37" s="23" t="s">
        <v>542</v>
      </c>
      <c r="F37" s="14"/>
      <c r="G37" s="14"/>
      <c r="H37" s="14"/>
      <c r="I37" s="14"/>
      <c r="P37" s="176"/>
      <c r="Q37" s="145"/>
      <c r="R37" s="176"/>
      <c r="S37" s="14"/>
      <c r="U37" s="244"/>
      <c r="V37" s="244"/>
      <c r="W37" s="244"/>
      <c r="X37" s="244"/>
      <c r="Z37" s="240"/>
      <c r="AA37" s="145"/>
      <c r="AB37" s="240"/>
      <c r="AC37" s="14"/>
      <c r="AE37" s="244"/>
      <c r="AF37" s="244"/>
      <c r="AG37" s="244"/>
      <c r="AH37" s="244"/>
    </row>
    <row r="38" spans="1:34" x14ac:dyDescent="0.2">
      <c r="A38" s="227" t="s">
        <v>197</v>
      </c>
      <c r="B38" s="230">
        <f t="shared" ref="B38:B39" si="44">+C38-2</f>
        <v>44508</v>
      </c>
      <c r="C38" s="231">
        <v>44510</v>
      </c>
      <c r="D38" s="227" t="s">
        <v>462</v>
      </c>
      <c r="F38" s="176">
        <v>160</v>
      </c>
      <c r="G38" s="239">
        <f t="shared" ref="G38:G39" si="45">+IFERROR(AVERAGE(F38,H38),"n/a")</f>
        <v>160</v>
      </c>
      <c r="H38" s="176">
        <v>160</v>
      </c>
      <c r="I38" s="242">
        <f>_xll.VAData("FOUR_US",$D38,I$1,"consensus.vaactuals","CD","IMPL",$B38,"","B")</f>
        <v>99.9107425969611</v>
      </c>
      <c r="J38" s="238">
        <f>+HLOOKUP($A38,'Historical Financials'!$L$6:$AS$40,J$1,FALSE)/1000</f>
        <v>164.86362435435433</v>
      </c>
      <c r="K38" s="237">
        <f>+IFERROR(J38/F38-1,"n/a")</f>
        <v>3.0397652214714466E-2</v>
      </c>
      <c r="L38" s="237">
        <f>+IFERROR(J38/G38-1,"n/a")</f>
        <v>3.0397652214714466E-2</v>
      </c>
      <c r="M38" s="237">
        <f>+IFERROR(J38/H38-1,"n/a")</f>
        <v>3.0397652214714466E-2</v>
      </c>
      <c r="N38" s="237">
        <f>+IFERROR(J38/I38-1,"n/a")</f>
        <v>0.65010908806285705</v>
      </c>
      <c r="P38" s="176">
        <v>1150</v>
      </c>
      <c r="Q38" s="241">
        <f t="shared" ref="Q38:Q39" si="46">+IFERROR(AVERAGE(P38,R38),"n/a")</f>
        <v>1150</v>
      </c>
      <c r="R38" s="176">
        <v>1150</v>
      </c>
      <c r="S38" s="242">
        <f>_xll.VAData("FOUR_US",$D38,S$1,"consensus.vaactuals","CD","IMPL",$B38,"","M")</f>
        <v>828.79221566617048</v>
      </c>
      <c r="T38" s="238">
        <f>+HLOOKUP($A38,'Historical Financials'!$L$6:$AS$40,T$1,FALSE)</f>
        <v>1349.9950111254793</v>
      </c>
      <c r="U38" s="243">
        <f>+IFERROR(T38/P38-1,"n/a")</f>
        <v>0.17390870532650382</v>
      </c>
      <c r="V38" s="243">
        <f>+IFERROR(T38/Q38-1,"n/a")</f>
        <v>0.17390870532650382</v>
      </c>
      <c r="W38" s="243">
        <f>+IFERROR(T38/R38-1,"n/a")</f>
        <v>0.17390870532650382</v>
      </c>
      <c r="X38" s="243">
        <f>+IFERROR(T38/S38-1,"n/a")</f>
        <v>0.62887028329576444</v>
      </c>
      <c r="Z38" s="240" t="s">
        <v>289</v>
      </c>
      <c r="AA38" s="241" t="str">
        <f t="shared" ref="AA38:AA39" si="47">+IFERROR(AVERAGE(Z38,AB38),"n/a")</f>
        <v>n/a</v>
      </c>
      <c r="AB38" s="240" t="s">
        <v>289</v>
      </c>
      <c r="AC38" s="242">
        <f>_xll.VAData("FOUR_US",$D38,AC$1,"consensus.vaactuals","CD","IMPL",$B38,"","M")</f>
        <v>327.36615913355001</v>
      </c>
      <c r="AD38" s="238">
        <f>+HLOOKUP($A38,'Historical Financials'!$L$6:$AS$40,AD$1,FALSE)</f>
        <v>675.80345567399445</v>
      </c>
      <c r="AE38" s="243" t="str">
        <f>+IFERROR(AD38/Z38-1,"n/a")</f>
        <v>n/a</v>
      </c>
      <c r="AF38" s="243" t="str">
        <f>+IFERROR(AD38/AA38-1,"n/a")</f>
        <v>n/a</v>
      </c>
      <c r="AG38" s="243" t="str">
        <f>+IFERROR(AD38/AB38-1,"n/a")</f>
        <v>n/a</v>
      </c>
      <c r="AH38" s="243">
        <f>+IFERROR(AD38/AC38-1,"n/a")</f>
        <v>1.0643656554564589</v>
      </c>
    </row>
    <row r="39" spans="1:34" x14ac:dyDescent="0.2">
      <c r="A39" s="227" t="s">
        <v>197</v>
      </c>
      <c r="B39" s="230">
        <f t="shared" si="44"/>
        <v>44870</v>
      </c>
      <c r="C39" s="231">
        <v>44872</v>
      </c>
      <c r="D39" s="227" t="s">
        <v>462</v>
      </c>
      <c r="F39" s="176">
        <v>160</v>
      </c>
      <c r="G39" s="239">
        <f t="shared" si="45"/>
        <v>160</v>
      </c>
      <c r="H39" s="176">
        <v>160</v>
      </c>
      <c r="I39" s="242">
        <f>_xll.VAData("FOUR_US",$D39,I$1,"consensus.vaactuals","CD","IMPL",$B39,"","B")</f>
        <v>139.03420662609409</v>
      </c>
      <c r="J39" s="238">
        <f>+HLOOKUP($A39,'Historical Financials'!$L$6:$AS$40,J$1,FALSE)/1000</f>
        <v>164.86362435435433</v>
      </c>
      <c r="K39" s="237">
        <f>+IFERROR(J39/F39-1,"n/a")</f>
        <v>3.0397652214714466E-2</v>
      </c>
      <c r="L39" s="237">
        <f>+IFERROR(J39/G39-1,"n/a")</f>
        <v>3.0397652214714466E-2</v>
      </c>
      <c r="M39" s="237">
        <f>+IFERROR(J39/H39-1,"n/a")</f>
        <v>3.0397652214714466E-2</v>
      </c>
      <c r="N39" s="237">
        <f>+IFERROR(J39/I39-1,"n/a")</f>
        <v>0.18577743100101629</v>
      </c>
      <c r="P39" s="176">
        <v>1150</v>
      </c>
      <c r="Q39" s="241">
        <f t="shared" si="46"/>
        <v>1150</v>
      </c>
      <c r="R39" s="176">
        <v>1150</v>
      </c>
      <c r="S39" s="242">
        <f>_xll.VAData("FOUR_US",$D39,S$1,"consensus.vaactuals","CD","IMPL",$B39,"","M")</f>
        <v>1151.4563812818101</v>
      </c>
      <c r="T39" s="238">
        <f>+HLOOKUP($A39,'Historical Financials'!$L$6:$AS$40,T$1,FALSE)</f>
        <v>1349.9950111254793</v>
      </c>
      <c r="U39" s="243">
        <f>+IFERROR(T39/P39-1,"n/a")</f>
        <v>0.17390870532650382</v>
      </c>
      <c r="V39" s="243">
        <f>+IFERROR(T39/Q39-1,"n/a")</f>
        <v>0.17390870532650382</v>
      </c>
      <c r="W39" s="243">
        <f>+IFERROR(T39/R39-1,"n/a")</f>
        <v>0.17390870532650382</v>
      </c>
      <c r="X39" s="243">
        <f>+IFERROR(T39/S39-1,"n/a")</f>
        <v>0.17242392596987011</v>
      </c>
      <c r="Z39" s="240" t="s">
        <v>289</v>
      </c>
      <c r="AA39" s="241" t="str">
        <f t="shared" si="47"/>
        <v>n/a</v>
      </c>
      <c r="AB39" s="240" t="s">
        <v>289</v>
      </c>
      <c r="AC39" s="242">
        <f>_xll.VAData("FOUR_US",$D39,AC$1,"consensus.vaactuals","CD","IMPL",$B39,"","M")</f>
        <v>454.69529664076993</v>
      </c>
      <c r="AD39" s="238">
        <f>+HLOOKUP($A39,'Historical Financials'!$L$6:$AS$40,AD$1,FALSE)</f>
        <v>675.80345567399445</v>
      </c>
      <c r="AE39" s="243" t="str">
        <f>+IFERROR(AD39/Z39-1,"n/a")</f>
        <v>n/a</v>
      </c>
      <c r="AF39" s="243" t="str">
        <f>+IFERROR(AD39/AA39-1,"n/a")</f>
        <v>n/a</v>
      </c>
      <c r="AG39" s="243" t="str">
        <f>+IFERROR(AD39/AB39-1,"n/a")</f>
        <v>n/a</v>
      </c>
      <c r="AH39" s="243">
        <f>+IFERROR(AD39/AC39-1,"n/a")</f>
        <v>0.48627764717766597</v>
      </c>
    </row>
    <row r="40" spans="1:34" x14ac:dyDescent="0.2">
      <c r="A40" s="227" t="s">
        <v>197</v>
      </c>
      <c r="B40" s="230">
        <f>+C40-2</f>
        <v>45236</v>
      </c>
      <c r="C40" s="231">
        <v>45238</v>
      </c>
      <c r="D40" s="227" t="s">
        <v>462</v>
      </c>
      <c r="F40" s="176">
        <v>175</v>
      </c>
      <c r="G40" s="239">
        <f>+IFERROR(AVERAGE(F40,H40),"n/a")</f>
        <v>175</v>
      </c>
      <c r="H40" s="176">
        <v>175</v>
      </c>
      <c r="I40" s="242">
        <f>_xll.VAData("FOUR_US",$D40,I$1,"consensus.vaactuals","CD","IMPL",$B40,"","B")</f>
        <v>162.42422415003406</v>
      </c>
      <c r="J40" s="238">
        <f>+HLOOKUP($A40,'Historical Financials'!$L$6:$AS$40,J$1,FALSE)/1000</f>
        <v>164.86362435435433</v>
      </c>
      <c r="K40" s="237">
        <f>+IFERROR(J40/F40-1,"n/a")</f>
        <v>-5.7922146546546704E-2</v>
      </c>
      <c r="L40" s="237">
        <f>+IFERROR(J40/G40-1,"n/a")</f>
        <v>-5.7922146546546704E-2</v>
      </c>
      <c r="M40" s="237">
        <f>+IFERROR(J40/H40-1,"n/a")</f>
        <v>-5.7922146546546704E-2</v>
      </c>
      <c r="N40" s="237">
        <f>+IFERROR(J40/I40-1,"n/a")</f>
        <v>1.5018696977532997E-2</v>
      </c>
      <c r="P40" s="240" t="s">
        <v>289</v>
      </c>
      <c r="Q40" s="241" t="str">
        <f>+IFERROR(AVERAGE(P40,R40),"n/a")</f>
        <v>n/a</v>
      </c>
      <c r="R40" s="240" t="s">
        <v>289</v>
      </c>
      <c r="S40" s="242">
        <f>_xll.VAData("FOUR_US",$D40,S$1,"consensus.vaactuals","CD","IMPL",$B40,"","M")</f>
        <v>1245.2570177183288</v>
      </c>
      <c r="T40" s="238">
        <f>+HLOOKUP($A40,'Historical Financials'!$L$6:$AS$40,T$1,FALSE)</f>
        <v>1349.9950111254793</v>
      </c>
      <c r="U40" s="243" t="str">
        <f>+IFERROR(T40/P40-1,"n/a")</f>
        <v>n/a</v>
      </c>
      <c r="V40" s="243" t="str">
        <f>+IFERROR(T40/Q40-1,"n/a")</f>
        <v>n/a</v>
      </c>
      <c r="W40" s="243" t="str">
        <f>+IFERROR(T40/R40-1,"n/a")</f>
        <v>n/a</v>
      </c>
      <c r="X40" s="243">
        <f>+IFERROR(T40/S40-1,"n/a")</f>
        <v>8.4109538767395131E-2</v>
      </c>
      <c r="Z40" s="240" t="s">
        <v>289</v>
      </c>
      <c r="AA40" s="241" t="str">
        <f>+IFERROR(AVERAGE(Z40,AB40),"n/a")</f>
        <v>n/a</v>
      </c>
      <c r="AB40" s="240" t="s">
        <v>289</v>
      </c>
      <c r="AC40" s="242">
        <f>_xll.VAData("FOUR_US",$D40,AC$1,"consensus.vaactuals","CD","IMPL",$B40,"","M")</f>
        <v>584.2067816367362</v>
      </c>
      <c r="AD40" s="238">
        <f>+HLOOKUP($A40,'Historical Financials'!$L$6:$AS$40,AD$1,FALSE)</f>
        <v>675.80345567399445</v>
      </c>
      <c r="AE40" s="243" t="str">
        <f>+IFERROR(AD40/Z40-1,"n/a")</f>
        <v>n/a</v>
      </c>
      <c r="AF40" s="243" t="str">
        <f>+IFERROR(AD40/AA40-1,"n/a")</f>
        <v>n/a</v>
      </c>
      <c r="AG40" s="243" t="str">
        <f>+IFERROR(AD40/AB40-1,"n/a")</f>
        <v>n/a</v>
      </c>
      <c r="AH40" s="243">
        <f>+IFERROR(AD40/AC40-1,"n/a")</f>
        <v>0.15678810468553195</v>
      </c>
    </row>
    <row r="43" spans="1:34" s="5" customFormat="1" x14ac:dyDescent="0.2">
      <c r="C43" s="2" t="s">
        <v>148</v>
      </c>
    </row>
    <row r="44" spans="1:34" x14ac:dyDescent="0.2">
      <c r="C44" s="47" t="s">
        <v>545</v>
      </c>
    </row>
  </sheetData>
  <phoneticPr fontId="4" type="noConversion"/>
  <pageMargins left="0.3" right="0.3" top="0.3" bottom="0.3" header="0.3" footer="0.3"/>
  <pageSetup scale="58" orientation="landscape" r:id="rId1"/>
  <headerFooter>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B4EDE-D77D-4B35-9AC6-C88946A22AD3}">
  <sheetPr>
    <pageSetUpPr fitToPage="1"/>
  </sheetPr>
  <dimension ref="B2:I49"/>
  <sheetViews>
    <sheetView view="pageBreakPreview" zoomScale="115" zoomScaleNormal="145" zoomScaleSheetLayoutView="115" workbookViewId="0">
      <selection activeCell="M21" sqref="M21"/>
    </sheetView>
  </sheetViews>
  <sheetFormatPr defaultRowHeight="11.25" x14ac:dyDescent="0.2"/>
  <cols>
    <col min="1" max="1" width="2.83203125" customWidth="1"/>
    <col min="2" max="2" width="35.83203125" customWidth="1"/>
    <col min="3" max="3" width="2.83203125" customWidth="1"/>
    <col min="9" max="9" width="9.33203125" customWidth="1"/>
  </cols>
  <sheetData>
    <row r="2" spans="2:9" x14ac:dyDescent="0.2">
      <c r="B2" s="1" t="s">
        <v>0</v>
      </c>
      <c r="I2" s="8">
        <f ca="1">+TODAY()</f>
        <v>45796</v>
      </c>
    </row>
    <row r="3" spans="2:9" s="5" customFormat="1" x14ac:dyDescent="0.2">
      <c r="B3" s="2" t="s">
        <v>532</v>
      </c>
    </row>
    <row r="4" spans="2:9" x14ac:dyDescent="0.2">
      <c r="B4" s="3" t="s">
        <v>2</v>
      </c>
    </row>
    <row r="6" spans="2:9" ht="13.5" x14ac:dyDescent="0.35">
      <c r="D6" s="4" t="s">
        <v>241</v>
      </c>
      <c r="E6" s="4" t="s">
        <v>302</v>
      </c>
      <c r="F6" s="4" t="s">
        <v>197</v>
      </c>
      <c r="G6" s="4" t="s">
        <v>198</v>
      </c>
      <c r="H6" s="4"/>
    </row>
    <row r="8" spans="2:9" x14ac:dyDescent="0.2">
      <c r="B8" s="23" t="s">
        <v>532</v>
      </c>
    </row>
    <row r="9" spans="2:9" x14ac:dyDescent="0.2">
      <c r="B9" t="s">
        <v>533</v>
      </c>
      <c r="D9" s="205">
        <f>+'Historical Financials'!AO119</f>
        <v>46677.9</v>
      </c>
      <c r="E9" s="13">
        <f>+D14</f>
        <v>71587.7</v>
      </c>
      <c r="F9" s="13">
        <f t="shared" ref="F9:G9" si="0">+E14</f>
        <v>109034</v>
      </c>
      <c r="G9" s="13">
        <f t="shared" si="0"/>
        <v>164863.62435435434</v>
      </c>
    </row>
    <row r="10" spans="2:9" x14ac:dyDescent="0.2">
      <c r="B10" t="s">
        <v>534</v>
      </c>
      <c r="D10" s="14">
        <v>8000</v>
      </c>
      <c r="E10" s="13">
        <f>+D11</f>
        <v>12909.799999999996</v>
      </c>
      <c r="F10" s="14">
        <v>16000</v>
      </c>
      <c r="G10" s="13">
        <f>+F11</f>
        <v>22473.119549549534</v>
      </c>
    </row>
    <row r="11" spans="2:9" x14ac:dyDescent="0.2">
      <c r="B11" t="s">
        <v>535</v>
      </c>
      <c r="D11" s="17">
        <f>+D14-D13-D12-D10-D9</f>
        <v>12909.799999999996</v>
      </c>
      <c r="E11" s="13">
        <f>+F10</f>
        <v>16000</v>
      </c>
      <c r="F11" s="13">
        <f>+F14-F13-F12-F10-F9</f>
        <v>22473.119549549534</v>
      </c>
      <c r="G11" s="13">
        <f>+G14-G13-G12-G10-G9</f>
        <v>24847.541808408452</v>
      </c>
    </row>
    <row r="12" spans="2:9" x14ac:dyDescent="0.2">
      <c r="B12" t="s">
        <v>538</v>
      </c>
      <c r="D12" s="49">
        <v>4000</v>
      </c>
      <c r="E12" s="13">
        <f>+E14-E13-E11-E10-E9</f>
        <v>5636.5000000000146</v>
      </c>
      <c r="F12" s="13">
        <f>+F19*F9</f>
        <v>5451.7000000000007</v>
      </c>
      <c r="G12" s="13">
        <f>+G19*G9</f>
        <v>8243.181217717718</v>
      </c>
    </row>
    <row r="13" spans="2:9" ht="13.5" x14ac:dyDescent="0.35">
      <c r="B13" t="s">
        <v>508</v>
      </c>
      <c r="D13" s="15">
        <v>0</v>
      </c>
      <c r="E13" s="278">
        <f>+'Historical Financials'!AQ126</f>
        <v>2900</v>
      </c>
      <c r="F13" s="278">
        <f>+'Historical Financials'!AR126</f>
        <v>11904.804804804808</v>
      </c>
      <c r="G13" s="15">
        <v>0</v>
      </c>
    </row>
    <row r="14" spans="2:9" x14ac:dyDescent="0.2">
      <c r="B14" s="31" t="s">
        <v>536</v>
      </c>
      <c r="C14" s="1"/>
      <c r="D14" s="256">
        <f>+'Historical Financials'!AP119</f>
        <v>71587.7</v>
      </c>
      <c r="E14" s="256">
        <f>+'Historical Financials'!AQ119</f>
        <v>109034</v>
      </c>
      <c r="F14" s="256">
        <f>+'Historical Financials'!AR119</f>
        <v>164863.62435435434</v>
      </c>
      <c r="G14" s="256">
        <f>+'Historical Financials'!AS119</f>
        <v>220427.46693003003</v>
      </c>
    </row>
    <row r="16" spans="2:9" x14ac:dyDescent="0.2">
      <c r="B16" s="27" t="s">
        <v>136</v>
      </c>
    </row>
    <row r="17" spans="2:7" x14ac:dyDescent="0.2">
      <c r="B17" s="24" t="s">
        <v>534</v>
      </c>
      <c r="D17" s="262">
        <f>+IFERROR(D10/D$9,"n/a")</f>
        <v>0.1713873160532072</v>
      </c>
      <c r="E17" s="262">
        <f>+IFERROR(E10/E$9,"n/a")</f>
        <v>0.18033544868741413</v>
      </c>
      <c r="F17" s="262">
        <f>+IFERROR(F10/F$9,"n/a")</f>
        <v>0.14674321771190638</v>
      </c>
      <c r="G17" s="262">
        <f>+IFERROR(G10/G$9,"n/a")</f>
        <v>0.13631339015843963</v>
      </c>
    </row>
    <row r="18" spans="2:7" x14ac:dyDescent="0.2">
      <c r="B18" s="24" t="s">
        <v>535</v>
      </c>
      <c r="D18" s="262">
        <f t="shared" ref="D18:E20" si="1">+IFERROR(D11/D$9,"n/a")</f>
        <v>0.27657199659796167</v>
      </c>
      <c r="E18" s="262">
        <f t="shared" si="1"/>
        <v>0.2235020820615832</v>
      </c>
      <c r="F18" s="262">
        <f t="shared" ref="F18:G18" si="2">+IFERROR(F11/F$9,"n/a")</f>
        <v>0.20611111717032793</v>
      </c>
      <c r="G18" s="262">
        <f t="shared" si="2"/>
        <v>0.15071573190094184</v>
      </c>
    </row>
    <row r="19" spans="2:7" x14ac:dyDescent="0.2">
      <c r="B19" s="24" t="s">
        <v>538</v>
      </c>
      <c r="D19" s="262">
        <f t="shared" si="1"/>
        <v>8.56936580266036E-2</v>
      </c>
      <c r="E19" s="262">
        <f t="shared" si="1"/>
        <v>7.8735592846257321E-2</v>
      </c>
      <c r="F19" s="55">
        <v>0.05</v>
      </c>
      <c r="G19" s="55">
        <v>0.05</v>
      </c>
    </row>
    <row r="20" spans="2:7" ht="13.5" x14ac:dyDescent="0.35">
      <c r="B20" s="24" t="s">
        <v>508</v>
      </c>
      <c r="D20" s="264">
        <f t="shared" si="1"/>
        <v>0</v>
      </c>
      <c r="E20" s="264">
        <f t="shared" si="1"/>
        <v>4.0509752373661959E-2</v>
      </c>
      <c r="F20" s="264">
        <f t="shared" ref="F20:G20" si="3">+IFERROR(F13/F$9,"n/a")</f>
        <v>0.10918433520557631</v>
      </c>
      <c r="G20" s="264">
        <f t="shared" si="3"/>
        <v>0</v>
      </c>
    </row>
    <row r="21" spans="2:7" x14ac:dyDescent="0.2">
      <c r="B21" s="28" t="s">
        <v>537</v>
      </c>
      <c r="D21" s="262">
        <f>+IFERROR(D14/D$9,"n/a")-1</f>
        <v>0.5336529706777724</v>
      </c>
      <c r="E21" s="262">
        <f>+IFERROR(E14/E$9,"n/a")-1</f>
        <v>0.52308287596891656</v>
      </c>
      <c r="F21" s="262">
        <f t="shared" ref="F21:G21" si="4">+IFERROR(F14/F$9,"n/a")-1</f>
        <v>0.51203867008781057</v>
      </c>
      <c r="G21" s="262">
        <f t="shared" si="4"/>
        <v>0.33702912205938129</v>
      </c>
    </row>
    <row r="24" spans="2:7" x14ac:dyDescent="0.2">
      <c r="B24" s="23" t="s">
        <v>539</v>
      </c>
    </row>
    <row r="49" spans="2:2" x14ac:dyDescent="0.2">
      <c r="B49" s="23" t="s">
        <v>540</v>
      </c>
    </row>
  </sheetData>
  <phoneticPr fontId="4" type="noConversion"/>
  <pageMargins left="0.3" right="0.3" top="0.3" bottom="0.3" header="0.3" footer="0.3"/>
  <pageSetup orientation="portrait" r:id="rId1"/>
  <headerFooter>
    <oddFooter>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7A0A8-7E19-42AD-8074-0F7D639FD2E1}">
  <sheetPr>
    <pageSetUpPr fitToPage="1"/>
  </sheetPr>
  <dimension ref="B2:AF59"/>
  <sheetViews>
    <sheetView view="pageBreakPreview" zoomScaleNormal="100" zoomScaleSheetLayoutView="100" workbookViewId="0">
      <selection activeCell="AA28" sqref="AA28"/>
    </sheetView>
  </sheetViews>
  <sheetFormatPr defaultRowHeight="11.25" outlineLevelCol="1" x14ac:dyDescent="0.2"/>
  <cols>
    <col min="1" max="1" width="2.6640625" customWidth="1"/>
    <col min="2" max="2" width="35.6640625" customWidth="1"/>
    <col min="3" max="3" width="2.6640625" customWidth="1"/>
    <col min="4" max="15" width="9.1640625" hidden="1" customWidth="1" outlineLevel="1"/>
    <col min="16" max="16" width="9.1640625" collapsed="1"/>
    <col min="18" max="19" width="9.33203125" customWidth="1"/>
    <col min="23" max="23" width="9.33203125" customWidth="1"/>
    <col min="24" max="24" width="2.6640625" customWidth="1"/>
    <col min="25" max="25" width="0" hidden="1" customWidth="1" outlineLevel="1"/>
    <col min="26" max="26" width="9.1640625" collapsed="1"/>
  </cols>
  <sheetData>
    <row r="2" spans="2:32" ht="10.15" x14ac:dyDescent="0.2">
      <c r="B2" s="1" t="s">
        <v>0</v>
      </c>
      <c r="AA2" s="8">
        <f ca="1">+TODAY()</f>
        <v>45796</v>
      </c>
    </row>
    <row r="3" spans="2:32" s="5" customFormat="1" ht="10.15" x14ac:dyDescent="0.2">
      <c r="B3" s="2" t="s">
        <v>541</v>
      </c>
    </row>
    <row r="4" spans="2:32" ht="10.15" x14ac:dyDescent="0.2">
      <c r="B4" s="3" t="s">
        <v>2</v>
      </c>
    </row>
    <row r="5" spans="2:32" ht="10.15" x14ac:dyDescent="0.2">
      <c r="B5" s="1"/>
      <c r="P5" s="6" t="s">
        <v>9</v>
      </c>
      <c r="Q5" s="7"/>
      <c r="R5" s="7"/>
      <c r="S5" s="7"/>
      <c r="T5" s="7"/>
      <c r="U5" s="7"/>
      <c r="V5" s="7"/>
      <c r="W5" s="7"/>
      <c r="Y5" s="5"/>
      <c r="Z5" s="6" t="s">
        <v>12</v>
      </c>
      <c r="AA5" s="7"/>
    </row>
    <row r="6" spans="2:32" ht="12" x14ac:dyDescent="0.35">
      <c r="D6" s="4" t="s">
        <v>3</v>
      </c>
      <c r="E6" s="4" t="s">
        <v>4</v>
      </c>
      <c r="F6" s="4" t="s">
        <v>5</v>
      </c>
      <c r="G6" s="4" t="s">
        <v>6</v>
      </c>
      <c r="H6" s="4" t="s">
        <v>7</v>
      </c>
      <c r="I6" s="4" t="s">
        <v>8</v>
      </c>
      <c r="J6" s="4" t="s">
        <v>232</v>
      </c>
      <c r="K6" s="4" t="s">
        <v>240</v>
      </c>
      <c r="L6" s="4" t="s">
        <v>244</v>
      </c>
      <c r="M6" s="4" t="s">
        <v>258</v>
      </c>
      <c r="N6" s="4" t="s">
        <v>270</v>
      </c>
      <c r="O6" s="4" t="s">
        <v>271</v>
      </c>
      <c r="P6" s="4" t="s">
        <v>272</v>
      </c>
      <c r="Q6" s="4" t="s">
        <v>301</v>
      </c>
      <c r="R6" s="4" t="s">
        <v>443</v>
      </c>
      <c r="S6" s="4" t="s">
        <v>259</v>
      </c>
      <c r="T6" s="4" t="s">
        <v>299</v>
      </c>
      <c r="U6" s="4" t="s">
        <v>296</v>
      </c>
      <c r="V6" s="4" t="s">
        <v>297</v>
      </c>
      <c r="W6" s="4" t="s">
        <v>298</v>
      </c>
      <c r="Y6" s="4" t="s">
        <v>302</v>
      </c>
      <c r="Z6" s="4" t="s">
        <v>197</v>
      </c>
      <c r="AA6" s="4" t="s">
        <v>198</v>
      </c>
    </row>
    <row r="8" spans="2:32" ht="10.15" x14ac:dyDescent="0.2">
      <c r="B8" s="1" t="s">
        <v>453</v>
      </c>
      <c r="D8" s="256">
        <f>+'Historical Financials'!P14</f>
        <v>7986.8</v>
      </c>
      <c r="E8" s="256">
        <f>+'Historical Financials'!Q14</f>
        <v>11833.9</v>
      </c>
      <c r="F8" s="256">
        <f>+'Historical Financials'!R14</f>
        <v>13457.2</v>
      </c>
      <c r="G8" s="256">
        <f>+'Historical Financials'!S14</f>
        <v>13400</v>
      </c>
      <c r="H8" s="256">
        <f>+'Historical Financials'!T14</f>
        <v>13420.9</v>
      </c>
      <c r="I8" s="256">
        <f>+'Historical Financials'!U14</f>
        <v>16873.099999999999</v>
      </c>
      <c r="J8" s="256">
        <f>+'Historical Financials'!V14</f>
        <v>20597.400000000001</v>
      </c>
      <c r="K8" s="256">
        <f>+'Historical Financials'!W14</f>
        <v>20696.299999999996</v>
      </c>
      <c r="L8" s="256">
        <f>+'Historical Financials'!X14</f>
        <v>22256.9</v>
      </c>
      <c r="M8" s="256">
        <f>+'Historical Financials'!Y14</f>
        <v>26793.5</v>
      </c>
      <c r="N8" s="256">
        <f>+'Historical Financials'!Z14</f>
        <v>27933</v>
      </c>
      <c r="O8" s="256">
        <f>+'Historical Financials'!AA14</f>
        <v>32050.600000000006</v>
      </c>
      <c r="P8" s="256">
        <f>+'Historical Financials'!AB14</f>
        <v>33354.300000000003</v>
      </c>
      <c r="Q8" s="256">
        <f>+'Historical Financials'!AC14</f>
        <v>40081.599999999999</v>
      </c>
      <c r="R8" s="256">
        <f>+'Historical Financials'!AD14</f>
        <v>43500</v>
      </c>
      <c r="S8" s="256">
        <f>+'Historical Financials'!AE14</f>
        <v>47927.724354354359</v>
      </c>
      <c r="T8" s="256">
        <f>+'Historical Financials'!AF14</f>
        <v>47696.649000000005</v>
      </c>
      <c r="U8" s="256">
        <f>+'Historical Financials'!AG14</f>
        <v>55312.607999999993</v>
      </c>
      <c r="V8" s="256">
        <f>+'Historical Financials'!AH14</f>
        <v>56550</v>
      </c>
      <c r="W8" s="256">
        <f>+'Historical Financials'!AI14</f>
        <v>60868.20993003004</v>
      </c>
      <c r="Y8" s="256">
        <f>+'Historical Financials'!AQ119</f>
        <v>109034</v>
      </c>
      <c r="Z8" s="256">
        <f>+'Historical Financials'!AR119</f>
        <v>164863.62435435434</v>
      </c>
      <c r="AA8" s="256">
        <f>+'Historical Financials'!AS119</f>
        <v>220427.46693003003</v>
      </c>
      <c r="AB8" s="13"/>
      <c r="AC8" s="13"/>
    </row>
    <row r="9" spans="2:32" ht="10.15" x14ac:dyDescent="0.2">
      <c r="B9" s="24" t="s">
        <v>136</v>
      </c>
      <c r="D9" s="256"/>
      <c r="E9" s="256"/>
      <c r="F9" s="256"/>
      <c r="G9" s="256"/>
      <c r="H9" s="262">
        <f>+IFERROR(H8/D8-1,"n/a")</f>
        <v>0.6803851354735313</v>
      </c>
      <c r="I9" s="262">
        <f t="shared" ref="I9:W9" si="0">+IFERROR(I8/E8-1,"n/a")</f>
        <v>0.42582749558471833</v>
      </c>
      <c r="J9" s="262">
        <f t="shared" si="0"/>
        <v>0.53058585738489428</v>
      </c>
      <c r="K9" s="262">
        <f t="shared" si="0"/>
        <v>0.54449999999999976</v>
      </c>
      <c r="L9" s="262">
        <f t="shared" si="0"/>
        <v>0.6583761148656202</v>
      </c>
      <c r="M9" s="262">
        <f t="shared" si="0"/>
        <v>0.58794175344186916</v>
      </c>
      <c r="N9" s="262">
        <f t="shared" si="0"/>
        <v>0.35614203734451921</v>
      </c>
      <c r="O9" s="262">
        <f t="shared" si="0"/>
        <v>0.54861496982552493</v>
      </c>
      <c r="P9" s="262">
        <f t="shared" si="0"/>
        <v>0.4986049270113988</v>
      </c>
      <c r="Q9" s="262">
        <f t="shared" si="0"/>
        <v>0.49594491201224167</v>
      </c>
      <c r="R9" s="262">
        <f t="shared" si="0"/>
        <v>0.55729781978305226</v>
      </c>
      <c r="S9" s="262">
        <f t="shared" si="0"/>
        <v>0.49537682147461681</v>
      </c>
      <c r="T9" s="262">
        <f t="shared" si="0"/>
        <v>0.42999999999999994</v>
      </c>
      <c r="U9" s="262">
        <f t="shared" si="0"/>
        <v>0.37999999999999989</v>
      </c>
      <c r="V9" s="262">
        <f t="shared" si="0"/>
        <v>0.30000000000000004</v>
      </c>
      <c r="W9" s="262">
        <f t="shared" si="0"/>
        <v>0.27</v>
      </c>
      <c r="Z9" s="262">
        <f>+IFERROR(Z8/Y8-1,"n/a")</f>
        <v>0.51203867008781057</v>
      </c>
      <c r="AA9" s="262">
        <f>+IFERROR(AA8/Z8-1,"n/a")</f>
        <v>0.33702912205938129</v>
      </c>
    </row>
    <row r="10" spans="2:32" ht="10.15" x14ac:dyDescent="0.2">
      <c r="B10" s="24" t="s">
        <v>193</v>
      </c>
      <c r="D10" s="256"/>
      <c r="E10" s="256"/>
      <c r="F10" s="256"/>
      <c r="G10" s="256"/>
      <c r="H10" s="271">
        <f>+'Historical Financials'!T121</f>
        <v>0.6803851354735313</v>
      </c>
      <c r="I10" s="271">
        <f>+'Historical Financials'!U121</f>
        <v>0.42582749558471833</v>
      </c>
      <c r="J10" s="271">
        <f>+'Historical Financials'!V121</f>
        <v>0.53058585738489428</v>
      </c>
      <c r="K10" s="271">
        <f>+'Historical Financials'!W121</f>
        <v>0.54449999999999976</v>
      </c>
      <c r="L10" s="271">
        <f>+'Historical Financials'!X121</f>
        <v>0.6583761148656202</v>
      </c>
      <c r="M10" s="271">
        <f>+'Historical Financials'!Y121</f>
        <v>0.58794175344186916</v>
      </c>
      <c r="N10" s="271">
        <f>+'Historical Financials'!Z121</f>
        <v>0.35614203734451921</v>
      </c>
      <c r="O10" s="271">
        <f>+'Historical Financials'!AA121</f>
        <v>0.40849330556669605</v>
      </c>
      <c r="P10" s="271">
        <f>+'Historical Financials'!AB121</f>
        <v>0.34209240804049612</v>
      </c>
      <c r="Q10" s="271">
        <f>+'Historical Financials'!AC121</f>
        <v>0.36593265219237925</v>
      </c>
      <c r="R10" s="271">
        <f>+'Historical Financials'!AD121</f>
        <v>0.43258928566629129</v>
      </c>
      <c r="S10" s="271">
        <f>+'Historical Financials'!AE121</f>
        <v>0.45</v>
      </c>
      <c r="T10" s="271">
        <f>+'Historical Financials'!AF121</f>
        <v>0.43</v>
      </c>
      <c r="U10" s="271">
        <f>+'Historical Financials'!AG121</f>
        <v>0.38</v>
      </c>
      <c r="V10" s="271">
        <f>+'Historical Financials'!AH121</f>
        <v>0.3</v>
      </c>
      <c r="W10" s="271">
        <f>+'Historical Financials'!AI121</f>
        <v>0.27</v>
      </c>
      <c r="Z10" s="262">
        <f>+'Historical Financials'!AR121</f>
        <v>0.40285433488223427</v>
      </c>
      <c r="AA10" s="262">
        <f>+'Historical Financials'!AS121</f>
        <v>0.33702912205938129</v>
      </c>
    </row>
    <row r="11" spans="2:32" ht="10.15" x14ac:dyDescent="0.2">
      <c r="B11" s="24" t="s">
        <v>506</v>
      </c>
      <c r="D11" s="256"/>
      <c r="E11" s="262">
        <f>+IFERROR(E8/D8-1,"n/a")</f>
        <v>0.48168227575499567</v>
      </c>
      <c r="F11" s="262">
        <f t="shared" ref="F11:W11" si="1">+IFERROR(F8/E8-1,"n/a")</f>
        <v>0.13717371280811919</v>
      </c>
      <c r="G11" s="262">
        <f t="shared" si="1"/>
        <v>-4.2505127366763151E-3</v>
      </c>
      <c r="H11" s="262">
        <f t="shared" si="1"/>
        <v>1.5597014925372576E-3</v>
      </c>
      <c r="I11" s="262">
        <f t="shared" si="1"/>
        <v>0.25722567040958499</v>
      </c>
      <c r="J11" s="262">
        <f t="shared" si="1"/>
        <v>0.22072411115918267</v>
      </c>
      <c r="K11" s="262">
        <f t="shared" si="1"/>
        <v>4.8015768980547158E-3</v>
      </c>
      <c r="L11" s="262">
        <f t="shared" si="1"/>
        <v>7.5404782497354939E-2</v>
      </c>
      <c r="M11" s="262">
        <f t="shared" si="1"/>
        <v>0.20382892496259575</v>
      </c>
      <c r="N11" s="262">
        <f t="shared" si="1"/>
        <v>4.2528971578927655E-2</v>
      </c>
      <c r="O11" s="262">
        <f t="shared" si="1"/>
        <v>0.14740987362617708</v>
      </c>
      <c r="P11" s="262">
        <f t="shared" si="1"/>
        <v>4.0676305591782924E-2</v>
      </c>
      <c r="Q11" s="262">
        <f t="shared" si="1"/>
        <v>0.20169213564667809</v>
      </c>
      <c r="R11" s="262">
        <f t="shared" si="1"/>
        <v>8.5286016526286312E-2</v>
      </c>
      <c r="S11" s="262">
        <f t="shared" si="1"/>
        <v>0.1017867667667669</v>
      </c>
      <c r="T11" s="262">
        <f t="shared" si="1"/>
        <v>-4.821329563780119E-3</v>
      </c>
      <c r="U11" s="262">
        <f t="shared" si="1"/>
        <v>0.15967492810658435</v>
      </c>
      <c r="V11" s="262">
        <f t="shared" si="1"/>
        <v>2.2370885133458307E-2</v>
      </c>
      <c r="W11" s="262">
        <f t="shared" si="1"/>
        <v>7.6360918302918579E-2</v>
      </c>
    </row>
    <row r="12" spans="2:32" ht="10.15" x14ac:dyDescent="0.2">
      <c r="B12" s="24"/>
      <c r="D12" s="256"/>
      <c r="E12" s="256"/>
      <c r="F12" s="256"/>
      <c r="G12" s="256"/>
      <c r="H12" s="262"/>
      <c r="I12" s="262"/>
      <c r="J12" s="262"/>
      <c r="K12" s="262"/>
      <c r="L12" s="262"/>
      <c r="M12" s="262"/>
      <c r="N12" s="262"/>
      <c r="O12" s="262"/>
      <c r="P12" s="262"/>
      <c r="Q12" s="262"/>
      <c r="S12" s="262"/>
      <c r="T12" s="262"/>
      <c r="U12" s="262"/>
      <c r="V12" s="262"/>
      <c r="W12" s="262"/>
      <c r="AF12" s="262">
        <f>+R8*4</f>
        <v>174000</v>
      </c>
    </row>
    <row r="13" spans="2:32" ht="10.15" x14ac:dyDescent="0.2">
      <c r="B13" s="27" t="s">
        <v>488</v>
      </c>
      <c r="D13" s="256"/>
      <c r="E13" s="256"/>
      <c r="F13" s="256"/>
      <c r="G13" s="256"/>
      <c r="H13" s="262"/>
      <c r="I13" s="262"/>
      <c r="J13" s="262"/>
      <c r="K13" s="262"/>
      <c r="L13" s="262"/>
      <c r="M13" s="262"/>
      <c r="N13" s="262"/>
      <c r="O13" s="262"/>
      <c r="P13" s="262"/>
      <c r="Q13" s="262"/>
      <c r="S13" s="262"/>
      <c r="T13" s="262"/>
      <c r="U13" s="262"/>
      <c r="V13" s="262"/>
      <c r="W13" s="262"/>
      <c r="AF13" s="262">
        <f>+AF12+33000</f>
        <v>207000</v>
      </c>
    </row>
    <row r="14" spans="2:32" ht="10.15" x14ac:dyDescent="0.2">
      <c r="B14" s="24" t="s">
        <v>494</v>
      </c>
      <c r="D14" s="256"/>
      <c r="E14" s="256"/>
      <c r="F14" s="256"/>
      <c r="G14" s="256"/>
      <c r="H14" s="262"/>
      <c r="I14" s="262"/>
      <c r="J14" s="262"/>
      <c r="K14" s="262"/>
      <c r="L14" s="262"/>
      <c r="M14" s="262"/>
      <c r="N14" s="262"/>
      <c r="O14" s="262"/>
      <c r="P14" s="262"/>
      <c r="Q14" s="262"/>
      <c r="R14" s="262"/>
      <c r="S14" s="262">
        <f>+S21/O$8</f>
        <v>4.6800995925193281E-2</v>
      </c>
      <c r="T14" s="262">
        <f>+T21/P$8</f>
        <v>9.7438711050749069E-2</v>
      </c>
      <c r="U14" s="262">
        <f>+U21/Q$8</f>
        <v>0.12474551914095246</v>
      </c>
      <c r="V14" s="262">
        <f>+V21/R$8</f>
        <v>0.15517241379310345</v>
      </c>
      <c r="W14" s="262">
        <f>+W21/S$8</f>
        <v>0.14083706436996199</v>
      </c>
      <c r="AA14" s="262">
        <f>+AA21/Z$8</f>
        <v>0.13192722218244465</v>
      </c>
    </row>
    <row r="15" spans="2:32" ht="10.15" x14ac:dyDescent="0.2">
      <c r="B15" s="24" t="s">
        <v>495</v>
      </c>
      <c r="D15" s="256"/>
      <c r="E15" s="256"/>
      <c r="F15" s="256"/>
      <c r="G15" s="256"/>
      <c r="H15" s="262"/>
      <c r="I15" s="262"/>
      <c r="J15" s="262"/>
      <c r="K15" s="262"/>
      <c r="L15" s="262"/>
      <c r="M15" s="262"/>
      <c r="N15" s="262"/>
      <c r="O15" s="262"/>
      <c r="P15" s="262"/>
      <c r="Q15" s="262"/>
      <c r="R15" s="262"/>
      <c r="S15" s="262">
        <f t="shared" ref="S15:S16" si="2">+S22/O$8</f>
        <v>3.9000829937661068E-2</v>
      </c>
      <c r="T15" s="262">
        <f>+T22/P$8</f>
        <v>7.4952854654422363E-2</v>
      </c>
      <c r="U15" s="262">
        <f>+U22/Q$8</f>
        <v>9.3559139355714346E-2</v>
      </c>
      <c r="V15" s="262">
        <f>+V22/R$8</f>
        <v>0.11494252873563218</v>
      </c>
      <c r="W15" s="262">
        <f>+W22/S$8</f>
        <v>0.10432375138515704</v>
      </c>
      <c r="AA15" s="262">
        <f t="shared" ref="AA15:AA18" si="3">+AA22/Z$8</f>
        <v>9.8566315423665549E-2</v>
      </c>
    </row>
    <row r="16" spans="2:32" ht="10.15" x14ac:dyDescent="0.2">
      <c r="B16" s="24" t="s">
        <v>508</v>
      </c>
      <c r="D16" s="256"/>
      <c r="E16" s="256"/>
      <c r="F16" s="256"/>
      <c r="G16" s="256"/>
      <c r="H16" s="262"/>
      <c r="I16" s="262"/>
      <c r="J16" s="262"/>
      <c r="K16" s="262"/>
      <c r="L16" s="262"/>
      <c r="M16" s="262"/>
      <c r="N16" s="262"/>
      <c r="O16" s="262"/>
      <c r="P16" s="262"/>
      <c r="Q16" s="262"/>
      <c r="R16" s="262"/>
      <c r="S16" s="262">
        <f t="shared" si="2"/>
        <v>4.5376821474616844E-2</v>
      </c>
      <c r="T16" s="262">
        <f t="shared" ref="T16" si="4">+T23/P$8</f>
        <v>0</v>
      </c>
      <c r="U16" s="262">
        <f t="shared" ref="U16" si="5">+U23/Q$8</f>
        <v>0</v>
      </c>
      <c r="V16" s="262">
        <f t="shared" ref="V16" si="6">+V23/R$8</f>
        <v>0</v>
      </c>
      <c r="W16" s="262">
        <f t="shared" ref="W16" si="7">+W23/S$8</f>
        <v>0</v>
      </c>
      <c r="AA16" s="262">
        <f t="shared" si="3"/>
        <v>0</v>
      </c>
    </row>
    <row r="17" spans="2:27" ht="12" x14ac:dyDescent="0.35">
      <c r="B17" s="24" t="s">
        <v>509</v>
      </c>
      <c r="D17" s="256"/>
      <c r="E17" s="256"/>
      <c r="F17" s="256"/>
      <c r="G17" s="256"/>
      <c r="H17" s="262"/>
      <c r="I17" s="262"/>
      <c r="J17" s="262"/>
      <c r="K17" s="262"/>
      <c r="L17" s="262"/>
      <c r="M17" s="262"/>
      <c r="N17" s="262"/>
      <c r="O17" s="262"/>
      <c r="P17" s="262"/>
      <c r="Q17" s="262"/>
      <c r="R17" s="262"/>
      <c r="S17" s="264">
        <f t="shared" ref="S17:W18" si="8">+S24/O$8</f>
        <v>0.3641981741371455</v>
      </c>
      <c r="T17" s="264">
        <f t="shared" si="8"/>
        <v>0.2576084342948286</v>
      </c>
      <c r="U17" s="264">
        <f t="shared" si="8"/>
        <v>0.16169534150333306</v>
      </c>
      <c r="V17" s="264">
        <f t="shared" si="8"/>
        <v>2.9885057471264367E-2</v>
      </c>
      <c r="W17" s="264">
        <f t="shared" si="8"/>
        <v>2.483918424488105E-2</v>
      </c>
      <c r="AA17" s="264">
        <f t="shared" si="3"/>
        <v>0.10653558445327109</v>
      </c>
    </row>
    <row r="18" spans="2:27" ht="10.15" x14ac:dyDescent="0.2">
      <c r="B18" s="28" t="s">
        <v>505</v>
      </c>
      <c r="D18" s="256"/>
      <c r="E18" s="256"/>
      <c r="F18" s="256"/>
      <c r="G18" s="256"/>
      <c r="H18" s="262"/>
      <c r="I18" s="262"/>
      <c r="J18" s="262"/>
      <c r="K18" s="262"/>
      <c r="L18" s="262"/>
      <c r="M18" s="262"/>
      <c r="N18" s="262"/>
      <c r="O18" s="262"/>
      <c r="P18" s="262"/>
      <c r="Q18" s="262"/>
      <c r="R18" s="262"/>
      <c r="S18" s="262">
        <f t="shared" si="8"/>
        <v>0.4953768214746167</v>
      </c>
      <c r="T18" s="262">
        <f t="shared" si="8"/>
        <v>0.43000000000000005</v>
      </c>
      <c r="U18" s="262">
        <f t="shared" si="8"/>
        <v>0.37999999999999989</v>
      </c>
      <c r="V18" s="262">
        <f t="shared" si="8"/>
        <v>0.3</v>
      </c>
      <c r="W18" s="262">
        <f t="shared" si="8"/>
        <v>0.27000000000000007</v>
      </c>
      <c r="AA18" s="262">
        <f t="shared" si="3"/>
        <v>0.33702912205938129</v>
      </c>
    </row>
    <row r="19" spans="2:27" ht="10.15" x14ac:dyDescent="0.2">
      <c r="B19" s="28"/>
      <c r="D19" s="256"/>
      <c r="E19" s="256"/>
      <c r="F19" s="256"/>
      <c r="G19" s="256"/>
      <c r="H19" s="262"/>
      <c r="I19" s="262"/>
      <c r="J19" s="262"/>
      <c r="K19" s="262"/>
      <c r="L19" s="262"/>
      <c r="M19" s="262"/>
      <c r="N19" s="262"/>
      <c r="O19" s="262"/>
      <c r="P19" s="262"/>
      <c r="Q19" s="262"/>
      <c r="R19" s="262"/>
      <c r="S19" s="262"/>
      <c r="T19" s="262"/>
      <c r="U19" s="262"/>
      <c r="V19" s="262"/>
      <c r="W19" s="262"/>
    </row>
    <row r="20" spans="2:27" ht="10.15" x14ac:dyDescent="0.2">
      <c r="B20" s="27" t="s">
        <v>489</v>
      </c>
      <c r="D20" s="256"/>
      <c r="E20" s="256"/>
      <c r="F20" s="256"/>
      <c r="G20" s="256"/>
      <c r="H20" s="262"/>
      <c r="I20" s="262"/>
      <c r="J20" s="262"/>
      <c r="K20" s="262"/>
      <c r="L20" s="262"/>
      <c r="M20" s="262"/>
      <c r="N20" s="262"/>
      <c r="O20" s="262"/>
      <c r="P20" s="262"/>
      <c r="Q20" s="262"/>
      <c r="R20" s="262"/>
      <c r="S20" s="262"/>
      <c r="T20" s="262"/>
      <c r="U20" s="262"/>
      <c r="V20" s="262"/>
      <c r="W20" s="262"/>
    </row>
    <row r="21" spans="2:27" ht="10.15" x14ac:dyDescent="0.2">
      <c r="B21" s="24" t="s">
        <v>494</v>
      </c>
      <c r="D21" s="256"/>
      <c r="E21" s="256"/>
      <c r="F21" s="256"/>
      <c r="G21" s="256"/>
      <c r="H21" s="262"/>
      <c r="I21" s="262"/>
      <c r="J21" s="262"/>
      <c r="K21" s="262"/>
      <c r="L21" s="262"/>
      <c r="M21" s="262"/>
      <c r="N21" s="262"/>
      <c r="O21" s="262"/>
      <c r="P21" s="262"/>
      <c r="Q21" s="262"/>
      <c r="R21" s="262"/>
      <c r="S21" s="52">
        <f>+SUM(S44:$S44)</f>
        <v>1500</v>
      </c>
      <c r="T21" s="52">
        <f>+SUM($S44:T44)</f>
        <v>3250</v>
      </c>
      <c r="U21" s="52">
        <f>+SUM($S44:U44)</f>
        <v>5000</v>
      </c>
      <c r="V21" s="52">
        <f>+SUM($S44:V44)</f>
        <v>6750</v>
      </c>
      <c r="W21" s="52">
        <f>+SUM($S44:W44)-S21</f>
        <v>6750</v>
      </c>
      <c r="AA21" s="265">
        <f>+SUM(T21:W21)</f>
        <v>21750</v>
      </c>
    </row>
    <row r="22" spans="2:27" ht="10.15" x14ac:dyDescent="0.2">
      <c r="B22" s="24" t="s">
        <v>495</v>
      </c>
      <c r="D22" s="256"/>
      <c r="E22" s="256"/>
      <c r="F22" s="256"/>
      <c r="G22" s="256"/>
      <c r="H22" s="262"/>
      <c r="I22" s="262"/>
      <c r="J22" s="262"/>
      <c r="K22" s="262"/>
      <c r="L22" s="262"/>
      <c r="M22" s="262"/>
      <c r="N22" s="262"/>
      <c r="O22" s="262"/>
      <c r="P22" s="262"/>
      <c r="Q22" s="262"/>
      <c r="R22" s="262"/>
      <c r="S22" s="52">
        <f>+SUM(S51:$S51)</f>
        <v>1250</v>
      </c>
      <c r="T22" s="52">
        <f>+SUM($S51:T51)</f>
        <v>2500</v>
      </c>
      <c r="U22" s="52">
        <f>+SUM($S51:U51)</f>
        <v>3750</v>
      </c>
      <c r="V22" s="52">
        <f>+SUM($S51:V51)</f>
        <v>5000</v>
      </c>
      <c r="W22" s="52">
        <f>+SUM($S51:W51)-S22</f>
        <v>5000</v>
      </c>
      <c r="AA22" s="265">
        <f>+SUM(T22:W22)</f>
        <v>16250</v>
      </c>
    </row>
    <row r="23" spans="2:27" ht="10.15" x14ac:dyDescent="0.2">
      <c r="B23" s="24" t="s">
        <v>508</v>
      </c>
      <c r="D23" s="256"/>
      <c r="E23" s="256"/>
      <c r="F23" s="256"/>
      <c r="G23" s="256"/>
      <c r="H23" s="262"/>
      <c r="I23" s="262"/>
      <c r="J23" s="262"/>
      <c r="K23" s="262"/>
      <c r="L23" s="262"/>
      <c r="M23" s="262"/>
      <c r="N23" s="262"/>
      <c r="O23" s="262"/>
      <c r="P23" s="262"/>
      <c r="Q23" s="262"/>
      <c r="R23" s="262"/>
      <c r="S23" s="259">
        <f>+'Historical Financials'!AE126</f>
        <v>1454.3543543543549</v>
      </c>
      <c r="T23" s="45">
        <v>0</v>
      </c>
      <c r="U23" s="45">
        <v>0</v>
      </c>
      <c r="V23" s="45">
        <v>0</v>
      </c>
      <c r="W23" s="45">
        <v>0</v>
      </c>
      <c r="AA23" s="265">
        <f>+SUM(T23:W23)</f>
        <v>0</v>
      </c>
    </row>
    <row r="24" spans="2:27" ht="12" x14ac:dyDescent="0.35">
      <c r="B24" s="24" t="s">
        <v>509</v>
      </c>
      <c r="D24" s="256"/>
      <c r="E24" s="256"/>
      <c r="F24" s="256"/>
      <c r="G24" s="256"/>
      <c r="H24" s="262"/>
      <c r="I24" s="262"/>
      <c r="J24" s="262"/>
      <c r="K24" s="262"/>
      <c r="L24" s="262"/>
      <c r="M24" s="262"/>
      <c r="N24" s="262"/>
      <c r="O24" s="262"/>
      <c r="P24" s="262"/>
      <c r="Q24" s="262"/>
      <c r="R24" s="262"/>
      <c r="S24" s="266">
        <f>+S25-SUM(S21:S23)</f>
        <v>11672.769999999999</v>
      </c>
      <c r="T24" s="266">
        <f t="shared" ref="T24:W24" si="9">+T25-SUM(T21:T23)</f>
        <v>8592.349000000002</v>
      </c>
      <c r="U24" s="266">
        <f t="shared" si="9"/>
        <v>6481.0079999999944</v>
      </c>
      <c r="V24" s="266">
        <f t="shared" si="9"/>
        <v>1300</v>
      </c>
      <c r="W24" s="266">
        <f t="shared" si="9"/>
        <v>1190.4855756756806</v>
      </c>
      <c r="AA24" s="266">
        <f>+SUM(T24:W24)</f>
        <v>17563.842575675677</v>
      </c>
    </row>
    <row r="25" spans="2:27" ht="10.15" x14ac:dyDescent="0.2">
      <c r="B25" s="28" t="s">
        <v>505</v>
      </c>
      <c r="D25" s="256"/>
      <c r="E25" s="256"/>
      <c r="F25" s="256"/>
      <c r="G25" s="256"/>
      <c r="H25" s="262"/>
      <c r="I25" s="262"/>
      <c r="J25" s="262"/>
      <c r="K25" s="262"/>
      <c r="L25" s="262"/>
      <c r="M25" s="262"/>
      <c r="N25" s="262"/>
      <c r="O25" s="262"/>
      <c r="P25" s="262"/>
      <c r="Q25" s="262"/>
      <c r="R25" s="262"/>
      <c r="S25" s="52">
        <f>+S8-O8</f>
        <v>15877.124354354353</v>
      </c>
      <c r="T25" s="52">
        <f>+T8-P8</f>
        <v>14342.349000000002</v>
      </c>
      <c r="U25" s="52">
        <f t="shared" ref="U25:W25" si="10">+U8-Q8</f>
        <v>15231.007999999994</v>
      </c>
      <c r="V25" s="52">
        <f t="shared" si="10"/>
        <v>13050</v>
      </c>
      <c r="W25" s="52">
        <f t="shared" si="10"/>
        <v>12940.485575675681</v>
      </c>
      <c r="AA25" s="265">
        <f>+SUM(T25:W25)</f>
        <v>55563.842575675677</v>
      </c>
    </row>
    <row r="26" spans="2:27" ht="10.15" x14ac:dyDescent="0.2">
      <c r="B26" s="1"/>
      <c r="D26" s="256"/>
      <c r="E26" s="256"/>
      <c r="F26" s="256"/>
      <c r="G26" s="256"/>
      <c r="H26" s="256"/>
      <c r="I26" s="256"/>
      <c r="J26" s="256"/>
      <c r="K26" s="256"/>
      <c r="L26" s="256"/>
      <c r="M26" s="256"/>
      <c r="N26" s="256"/>
      <c r="O26" s="256"/>
      <c r="P26" s="256"/>
      <c r="Q26" s="256"/>
      <c r="R26" s="256"/>
      <c r="S26" s="256"/>
      <c r="T26" s="256"/>
      <c r="U26" s="256"/>
      <c r="V26" s="256"/>
      <c r="W26" s="256"/>
    </row>
    <row r="27" spans="2:27" ht="10.15" x14ac:dyDescent="0.2">
      <c r="B27" s="27" t="s">
        <v>504</v>
      </c>
      <c r="D27" s="256"/>
      <c r="E27" s="256"/>
      <c r="F27" s="256"/>
      <c r="G27" s="256"/>
      <c r="H27" s="256"/>
      <c r="I27" s="256"/>
      <c r="J27" s="256"/>
      <c r="K27" s="256"/>
      <c r="L27" s="256"/>
      <c r="M27" s="256"/>
      <c r="N27" s="256"/>
      <c r="O27" s="256"/>
      <c r="P27" s="256"/>
      <c r="Q27" s="256"/>
      <c r="R27" s="256"/>
      <c r="S27" s="256"/>
      <c r="T27" s="256"/>
      <c r="U27" s="256"/>
      <c r="V27" s="256"/>
      <c r="W27" s="256"/>
    </row>
    <row r="28" spans="2:27" ht="10.15" x14ac:dyDescent="0.2">
      <c r="B28" s="24" t="s">
        <v>494</v>
      </c>
      <c r="D28" s="256"/>
      <c r="E28" s="256"/>
      <c r="F28" s="256"/>
      <c r="G28" s="256"/>
      <c r="H28" s="256"/>
      <c r="I28" s="256"/>
      <c r="J28" s="256"/>
      <c r="K28" s="256"/>
      <c r="L28" s="256"/>
      <c r="M28" s="256"/>
      <c r="N28" s="256"/>
      <c r="O28" s="256"/>
      <c r="P28" s="256"/>
      <c r="Q28" s="256"/>
      <c r="R28" s="256"/>
      <c r="S28" s="262">
        <f>+S34/R$8</f>
        <v>3.4482758620689655E-2</v>
      </c>
      <c r="T28" s="262">
        <f t="shared" ref="T28:W28" si="11">+T34/S$8</f>
        <v>3.6513312984804959E-2</v>
      </c>
      <c r="U28" s="262">
        <f t="shared" si="11"/>
        <v>3.669020857209486E-2</v>
      </c>
      <c r="V28" s="262">
        <f t="shared" si="11"/>
        <v>3.1638356303864759E-2</v>
      </c>
      <c r="W28" s="262">
        <f t="shared" si="11"/>
        <v>2.6525198938992044E-2</v>
      </c>
    </row>
    <row r="29" spans="2:27" ht="10.15" x14ac:dyDescent="0.2">
      <c r="B29" s="24" t="s">
        <v>495</v>
      </c>
      <c r="D29" s="256"/>
      <c r="E29" s="256"/>
      <c r="F29" s="256"/>
      <c r="G29" s="256"/>
      <c r="H29" s="256"/>
      <c r="I29" s="256"/>
      <c r="J29" s="256"/>
      <c r="K29" s="256"/>
      <c r="L29" s="256"/>
      <c r="M29" s="256"/>
      <c r="N29" s="256"/>
      <c r="O29" s="256"/>
      <c r="P29" s="256"/>
      <c r="Q29" s="256"/>
      <c r="R29" s="256"/>
      <c r="S29" s="262">
        <f t="shared" ref="S29:W31" si="12">+S35/R$8</f>
        <v>2.8735632183908046E-2</v>
      </c>
      <c r="T29" s="262">
        <f t="shared" si="12"/>
        <v>2.6080937846289259E-2</v>
      </c>
      <c r="U29" s="262">
        <f t="shared" si="12"/>
        <v>2.6207291837210614E-2</v>
      </c>
      <c r="V29" s="262">
        <f t="shared" si="12"/>
        <v>2.2598825931331969E-2</v>
      </c>
      <c r="W29" s="262">
        <f t="shared" si="12"/>
        <v>2.2104332449160036E-2</v>
      </c>
    </row>
    <row r="30" spans="2:27" ht="12" x14ac:dyDescent="0.35">
      <c r="B30" s="24" t="s">
        <v>499</v>
      </c>
      <c r="D30" s="256"/>
      <c r="E30" s="256"/>
      <c r="F30" s="256"/>
      <c r="G30" s="256"/>
      <c r="H30" s="256"/>
      <c r="I30" s="256"/>
      <c r="J30" s="256"/>
      <c r="K30" s="256"/>
      <c r="L30" s="256"/>
      <c r="M30" s="256"/>
      <c r="N30" s="256"/>
      <c r="O30" s="256"/>
      <c r="P30" s="256"/>
      <c r="Q30" s="256"/>
      <c r="R30" s="256"/>
      <c r="S30" s="264">
        <f t="shared" si="12"/>
        <v>3.8568375962169173E-2</v>
      </c>
      <c r="T30" s="264">
        <f t="shared" si="12"/>
        <v>-6.7415580394874358E-2</v>
      </c>
      <c r="U30" s="264">
        <f t="shared" si="12"/>
        <v>9.6777427697278845E-2</v>
      </c>
      <c r="V30" s="264">
        <f t="shared" si="12"/>
        <v>-3.1866297101738418E-2</v>
      </c>
      <c r="W30" s="264">
        <f t="shared" si="12"/>
        <v>2.7731386914766395E-2</v>
      </c>
    </row>
    <row r="31" spans="2:27" ht="10.15" x14ac:dyDescent="0.2">
      <c r="B31" s="28" t="s">
        <v>506</v>
      </c>
      <c r="D31" s="256"/>
      <c r="E31" s="256"/>
      <c r="F31" s="256"/>
      <c r="G31" s="256"/>
      <c r="H31" s="256"/>
      <c r="I31" s="256"/>
      <c r="J31" s="256"/>
      <c r="K31" s="256"/>
      <c r="L31" s="256"/>
      <c r="M31" s="256"/>
      <c r="N31" s="256"/>
      <c r="O31" s="256"/>
      <c r="P31" s="256"/>
      <c r="Q31" s="256"/>
      <c r="R31" s="256"/>
      <c r="S31" s="262">
        <f t="shared" si="12"/>
        <v>0.10178676676676687</v>
      </c>
      <c r="T31" s="262">
        <f t="shared" si="12"/>
        <v>-4.8213295637801424E-3</v>
      </c>
      <c r="U31" s="262">
        <f t="shared" si="12"/>
        <v>0.15967492810658432</v>
      </c>
      <c r="V31" s="262">
        <f t="shared" si="12"/>
        <v>2.237088513345831E-2</v>
      </c>
      <c r="W31" s="262">
        <f t="shared" si="12"/>
        <v>7.6360918302918468E-2</v>
      </c>
    </row>
    <row r="32" spans="2:27" ht="10.15" x14ac:dyDescent="0.2">
      <c r="B32" s="1"/>
      <c r="D32" s="256"/>
      <c r="E32" s="256"/>
      <c r="F32" s="256"/>
      <c r="G32" s="256"/>
      <c r="H32" s="256"/>
      <c r="I32" s="256"/>
      <c r="J32" s="256"/>
      <c r="K32" s="256"/>
      <c r="L32" s="256"/>
      <c r="M32" s="256"/>
      <c r="N32" s="256"/>
      <c r="O32" s="256"/>
      <c r="P32" s="256"/>
      <c r="Q32" s="256"/>
      <c r="R32" s="256"/>
      <c r="S32" s="256"/>
      <c r="T32" s="256"/>
      <c r="U32" s="256"/>
      <c r="V32" s="256"/>
      <c r="W32" s="256"/>
    </row>
    <row r="33" spans="2:23" ht="10.15" x14ac:dyDescent="0.2">
      <c r="B33" s="27" t="s">
        <v>490</v>
      </c>
      <c r="D33" s="256"/>
      <c r="E33" s="256"/>
      <c r="F33" s="256"/>
      <c r="G33" s="256"/>
      <c r="H33" s="256"/>
      <c r="I33" s="256"/>
      <c r="J33" s="256"/>
      <c r="K33" s="256"/>
      <c r="L33" s="256"/>
      <c r="M33" s="256"/>
      <c r="N33" s="256"/>
      <c r="O33" s="256"/>
      <c r="P33" s="256"/>
      <c r="Q33" s="256"/>
      <c r="R33" s="256"/>
      <c r="S33" s="256"/>
      <c r="T33" s="256"/>
      <c r="U33" s="256"/>
      <c r="V33" s="256"/>
      <c r="W33" s="256"/>
    </row>
    <row r="34" spans="2:23" ht="10.15" x14ac:dyDescent="0.2">
      <c r="B34" s="24" t="s">
        <v>494</v>
      </c>
      <c r="D34" s="256"/>
      <c r="E34" s="256"/>
      <c r="F34" s="256"/>
      <c r="G34" s="256"/>
      <c r="H34" s="256"/>
      <c r="I34" s="256"/>
      <c r="J34" s="256"/>
      <c r="K34" s="256"/>
      <c r="L34" s="256"/>
      <c r="M34" s="256"/>
      <c r="N34" s="256"/>
      <c r="O34" s="256"/>
      <c r="P34" s="256"/>
      <c r="Q34" s="256"/>
      <c r="R34" s="256"/>
      <c r="S34" s="52">
        <f>+S44</f>
        <v>1500</v>
      </c>
      <c r="T34" s="52">
        <f t="shared" ref="T34:W34" si="13">+T44</f>
        <v>1750</v>
      </c>
      <c r="U34" s="52">
        <f t="shared" si="13"/>
        <v>1750</v>
      </c>
      <c r="V34" s="52">
        <f t="shared" si="13"/>
        <v>1750</v>
      </c>
      <c r="W34" s="52">
        <f t="shared" si="13"/>
        <v>1500</v>
      </c>
    </row>
    <row r="35" spans="2:23" ht="10.15" x14ac:dyDescent="0.2">
      <c r="B35" s="24" t="s">
        <v>495</v>
      </c>
      <c r="D35" s="256"/>
      <c r="E35" s="256"/>
      <c r="F35" s="256"/>
      <c r="G35" s="256"/>
      <c r="H35" s="256"/>
      <c r="I35" s="256"/>
      <c r="J35" s="256"/>
      <c r="K35" s="256"/>
      <c r="L35" s="256"/>
      <c r="M35" s="256"/>
      <c r="N35" s="256"/>
      <c r="O35" s="256"/>
      <c r="P35" s="256"/>
      <c r="Q35" s="256"/>
      <c r="R35" s="256"/>
      <c r="S35" s="52">
        <f>+S51</f>
        <v>1250</v>
      </c>
      <c r="T35" s="52">
        <f t="shared" ref="T35:W35" si="14">+T51</f>
        <v>1250</v>
      </c>
      <c r="U35" s="52">
        <f t="shared" si="14"/>
        <v>1250</v>
      </c>
      <c r="V35" s="52">
        <f t="shared" si="14"/>
        <v>1250</v>
      </c>
      <c r="W35" s="52">
        <f t="shared" si="14"/>
        <v>1250</v>
      </c>
    </row>
    <row r="36" spans="2:23" ht="12" x14ac:dyDescent="0.35">
      <c r="B36" s="24" t="s">
        <v>499</v>
      </c>
      <c r="D36" s="256"/>
      <c r="E36" s="256"/>
      <c r="F36" s="256"/>
      <c r="G36" s="256"/>
      <c r="H36" s="256"/>
      <c r="I36" s="256"/>
      <c r="J36" s="256"/>
      <c r="K36" s="256"/>
      <c r="L36" s="256"/>
      <c r="M36" s="256"/>
      <c r="N36" s="256"/>
      <c r="O36" s="256"/>
      <c r="P36" s="256"/>
      <c r="Q36" s="256"/>
      <c r="R36" s="256"/>
      <c r="S36" s="183">
        <f>+S37-SUM(S34:S35)</f>
        <v>1677.7243543543591</v>
      </c>
      <c r="T36" s="183">
        <f t="shared" ref="T36:W36" si="15">+T37-SUM(T34:T35)</f>
        <v>-3231.0753543543542</v>
      </c>
      <c r="U36" s="183">
        <f t="shared" si="15"/>
        <v>4615.958999999988</v>
      </c>
      <c r="V36" s="183">
        <f t="shared" si="15"/>
        <v>-1762.6079999999929</v>
      </c>
      <c r="W36" s="183">
        <f t="shared" si="15"/>
        <v>1568.2099300300397</v>
      </c>
    </row>
    <row r="37" spans="2:23" ht="10.15" x14ac:dyDescent="0.2">
      <c r="B37" s="28" t="s">
        <v>507</v>
      </c>
      <c r="D37" s="256"/>
      <c r="E37" s="256"/>
      <c r="F37" s="256"/>
      <c r="G37" s="256"/>
      <c r="H37" s="256"/>
      <c r="I37" s="256"/>
      <c r="J37" s="256"/>
      <c r="K37" s="256"/>
      <c r="L37" s="256"/>
      <c r="M37" s="256"/>
      <c r="N37" s="256"/>
      <c r="O37" s="256"/>
      <c r="P37" s="256"/>
      <c r="Q37" s="256"/>
      <c r="R37" s="256"/>
      <c r="S37" s="52">
        <f>+S8-R8</f>
        <v>4427.7243543543591</v>
      </c>
      <c r="T37" s="52">
        <f t="shared" ref="T37:W37" si="16">+T8-S8</f>
        <v>-231.0753543543542</v>
      </c>
      <c r="U37" s="52">
        <f t="shared" si="16"/>
        <v>7615.958999999988</v>
      </c>
      <c r="V37" s="52">
        <f t="shared" si="16"/>
        <v>1237.3920000000071</v>
      </c>
      <c r="W37" s="52">
        <f t="shared" si="16"/>
        <v>4318.2099300300397</v>
      </c>
    </row>
    <row r="38" spans="2:23" ht="10.15" x14ac:dyDescent="0.2">
      <c r="B38" s="1"/>
      <c r="D38" s="256"/>
      <c r="E38" s="256"/>
      <c r="F38" s="256"/>
      <c r="G38" s="256"/>
      <c r="H38" s="256"/>
      <c r="I38" s="256"/>
      <c r="J38" s="256"/>
      <c r="K38" s="256"/>
      <c r="L38" s="256"/>
      <c r="M38" s="256"/>
      <c r="N38" s="256"/>
      <c r="O38" s="256"/>
      <c r="P38" s="256"/>
      <c r="Q38" s="256"/>
      <c r="R38" s="256"/>
      <c r="S38" s="256"/>
      <c r="T38" s="256"/>
      <c r="U38" s="256"/>
      <c r="V38" s="256"/>
      <c r="W38" s="256"/>
    </row>
    <row r="39" spans="2:23" ht="10.15" x14ac:dyDescent="0.2">
      <c r="B39" s="263" t="s">
        <v>503</v>
      </c>
      <c r="D39" s="256"/>
      <c r="E39" s="256"/>
      <c r="F39" s="256"/>
      <c r="G39" s="256"/>
      <c r="H39" s="256"/>
      <c r="I39" s="256"/>
      <c r="J39" s="256"/>
      <c r="K39" s="256"/>
      <c r="L39" s="256"/>
      <c r="M39" s="256"/>
      <c r="N39" s="256"/>
      <c r="O39" s="256"/>
      <c r="P39" s="256"/>
      <c r="Q39" s="256"/>
      <c r="R39" s="256"/>
      <c r="S39" s="256"/>
      <c r="T39" s="256"/>
      <c r="U39" s="256"/>
      <c r="V39" s="256"/>
      <c r="W39" s="256"/>
    </row>
    <row r="40" spans="2:23" ht="10.15" x14ac:dyDescent="0.2">
      <c r="B40" s="28" t="s">
        <v>492</v>
      </c>
      <c r="D40" s="256"/>
      <c r="E40" s="256"/>
      <c r="F40" s="256"/>
      <c r="G40" s="256"/>
      <c r="H40" s="256"/>
      <c r="I40" s="256"/>
      <c r="J40" s="256"/>
      <c r="K40" s="256"/>
      <c r="L40" s="256"/>
      <c r="M40" s="256"/>
      <c r="N40" s="256"/>
      <c r="O40" s="256"/>
      <c r="P40" s="256"/>
      <c r="Q40" s="45"/>
      <c r="R40" s="45">
        <v>33000</v>
      </c>
      <c r="S40" s="52">
        <f>+R40-S41</f>
        <v>26000</v>
      </c>
      <c r="T40" s="52">
        <f t="shared" ref="T40:W40" si="17">+S40-T41</f>
        <v>19000</v>
      </c>
      <c r="U40" s="52">
        <f t="shared" si="17"/>
        <v>12000</v>
      </c>
      <c r="V40" s="52">
        <f t="shared" si="17"/>
        <v>5000</v>
      </c>
      <c r="W40" s="52">
        <f t="shared" si="17"/>
        <v>0</v>
      </c>
    </row>
    <row r="41" spans="2:23" ht="10.15" x14ac:dyDescent="0.2">
      <c r="B41" s="28" t="s">
        <v>491</v>
      </c>
      <c r="D41" s="256"/>
      <c r="E41" s="256"/>
      <c r="F41" s="256"/>
      <c r="G41" s="256"/>
      <c r="H41" s="256"/>
      <c r="I41" s="256"/>
      <c r="J41" s="256"/>
      <c r="K41" s="256"/>
      <c r="L41" s="256"/>
      <c r="M41" s="256"/>
      <c r="N41" s="256"/>
      <c r="O41" s="256"/>
      <c r="P41" s="256"/>
      <c r="Q41" s="256"/>
      <c r="R41" s="261">
        <v>5000</v>
      </c>
      <c r="S41" s="159">
        <v>7000</v>
      </c>
      <c r="T41" s="159">
        <v>7000</v>
      </c>
      <c r="U41" s="159">
        <v>7000</v>
      </c>
      <c r="V41" s="159">
        <v>7000</v>
      </c>
      <c r="W41" s="159">
        <v>5000</v>
      </c>
    </row>
    <row r="42" spans="2:23" ht="10.15" x14ac:dyDescent="0.2">
      <c r="B42" s="28" t="s">
        <v>493</v>
      </c>
      <c r="D42" s="256"/>
      <c r="E42" s="256"/>
      <c r="F42" s="256"/>
      <c r="G42" s="256"/>
      <c r="H42" s="256"/>
      <c r="I42" s="256"/>
      <c r="J42" s="256"/>
      <c r="K42" s="256"/>
      <c r="L42" s="256"/>
      <c r="M42" s="256"/>
      <c r="N42" s="256"/>
      <c r="O42" s="256"/>
      <c r="P42" s="256"/>
      <c r="Q42" s="256"/>
      <c r="R42" s="256"/>
      <c r="S42" s="52">
        <f>+AVERAGE(R41:S41)</f>
        <v>6000</v>
      </c>
      <c r="T42" s="52">
        <f t="shared" ref="T42:W42" si="18">+AVERAGE(S41:T41)</f>
        <v>7000</v>
      </c>
      <c r="U42" s="52">
        <f t="shared" si="18"/>
        <v>7000</v>
      </c>
      <c r="V42" s="52">
        <f t="shared" si="18"/>
        <v>7000</v>
      </c>
      <c r="W42" s="52">
        <f t="shared" si="18"/>
        <v>6000</v>
      </c>
    </row>
    <row r="43" spans="2:23" ht="12" x14ac:dyDescent="0.35">
      <c r="B43" s="28" t="s">
        <v>486</v>
      </c>
      <c r="D43" s="256"/>
      <c r="E43" s="256"/>
      <c r="F43" s="256"/>
      <c r="G43" s="256"/>
      <c r="H43" s="256"/>
      <c r="I43" s="256"/>
      <c r="J43" s="256"/>
      <c r="K43" s="256"/>
      <c r="L43" s="256"/>
      <c r="M43" s="256"/>
      <c r="N43" s="256"/>
      <c r="O43" s="256"/>
      <c r="P43" s="256"/>
      <c r="Q43" s="256"/>
      <c r="R43" s="256"/>
      <c r="S43" s="260">
        <v>0.25</v>
      </c>
      <c r="T43" s="260">
        <v>0.25</v>
      </c>
      <c r="U43" s="260">
        <v>0.25</v>
      </c>
      <c r="V43" s="260">
        <v>0.25</v>
      </c>
      <c r="W43" s="260">
        <v>0.25</v>
      </c>
    </row>
    <row r="44" spans="2:23" ht="10.15" x14ac:dyDescent="0.2">
      <c r="B44" s="41" t="s">
        <v>500</v>
      </c>
      <c r="D44" s="256"/>
      <c r="E44" s="256"/>
      <c r="F44" s="256"/>
      <c r="G44" s="256"/>
      <c r="H44" s="256"/>
      <c r="I44" s="256"/>
      <c r="J44" s="256"/>
      <c r="K44" s="256"/>
      <c r="L44" s="256"/>
      <c r="M44" s="256"/>
      <c r="N44" s="256"/>
      <c r="O44" s="256"/>
      <c r="P44" s="256"/>
      <c r="Q44" s="256"/>
      <c r="R44" s="256"/>
      <c r="S44" s="52">
        <f>+S42*S43</f>
        <v>1500</v>
      </c>
      <c r="T44" s="52">
        <f t="shared" ref="T44:W44" si="19">+T42*T43</f>
        <v>1750</v>
      </c>
      <c r="U44" s="52">
        <f t="shared" si="19"/>
        <v>1750</v>
      </c>
      <c r="V44" s="52">
        <f t="shared" si="19"/>
        <v>1750</v>
      </c>
      <c r="W44" s="52">
        <f t="shared" si="19"/>
        <v>1500</v>
      </c>
    </row>
    <row r="45" spans="2:23" ht="10.15" x14ac:dyDescent="0.2">
      <c r="B45" s="41"/>
      <c r="D45" s="256"/>
      <c r="E45" s="256"/>
      <c r="F45" s="256"/>
      <c r="G45" s="256"/>
      <c r="H45" s="256"/>
      <c r="I45" s="256"/>
      <c r="J45" s="256"/>
      <c r="K45" s="256"/>
      <c r="L45" s="256"/>
      <c r="M45" s="256"/>
      <c r="N45" s="256"/>
      <c r="O45" s="256"/>
      <c r="P45" s="256"/>
      <c r="Q45" s="256"/>
      <c r="R45" s="256"/>
      <c r="S45" s="52"/>
      <c r="T45" s="52"/>
      <c r="U45" s="52"/>
      <c r="V45" s="52"/>
      <c r="W45" s="52"/>
    </row>
    <row r="46" spans="2:23" ht="10.15" x14ac:dyDescent="0.2">
      <c r="B46" s="263" t="s">
        <v>502</v>
      </c>
      <c r="D46" s="256"/>
      <c r="E46" s="256"/>
      <c r="F46" s="256"/>
      <c r="G46" s="256"/>
      <c r="H46" s="256"/>
      <c r="I46" s="256"/>
      <c r="J46" s="256"/>
      <c r="K46" s="256"/>
      <c r="L46" s="256"/>
      <c r="M46" s="256"/>
      <c r="N46" s="256"/>
      <c r="O46" s="256"/>
      <c r="P46" s="256"/>
      <c r="Q46" s="256"/>
      <c r="R46" s="256"/>
      <c r="S46" s="52"/>
      <c r="T46" s="52"/>
      <c r="U46" s="52"/>
      <c r="V46" s="52"/>
      <c r="W46" s="52"/>
    </row>
    <row r="47" spans="2:23" ht="10.15" x14ac:dyDescent="0.2">
      <c r="B47" s="28" t="s">
        <v>496</v>
      </c>
      <c r="D47" s="256"/>
      <c r="E47" s="256"/>
      <c r="F47" s="256"/>
      <c r="G47" s="256"/>
      <c r="H47" s="256"/>
      <c r="I47" s="256"/>
      <c r="J47" s="256"/>
      <c r="K47" s="256"/>
      <c r="L47" s="256"/>
      <c r="M47" s="256"/>
      <c r="N47" s="256"/>
      <c r="O47" s="256"/>
      <c r="P47" s="256"/>
      <c r="Q47" s="256"/>
      <c r="R47" s="45">
        <v>110000</v>
      </c>
      <c r="S47" s="52">
        <f>+R47-S48</f>
        <v>105000</v>
      </c>
      <c r="T47" s="52">
        <f t="shared" ref="T47" si="20">+S47-T48</f>
        <v>100000</v>
      </c>
      <c r="U47" s="52">
        <f t="shared" ref="U47" si="21">+T47-U48</f>
        <v>95000</v>
      </c>
      <c r="V47" s="52">
        <f t="shared" ref="V47" si="22">+U47-V48</f>
        <v>90000</v>
      </c>
      <c r="W47" s="52">
        <f t="shared" ref="W47" si="23">+V47-W48</f>
        <v>85000</v>
      </c>
    </row>
    <row r="48" spans="2:23" ht="10.15" x14ac:dyDescent="0.2">
      <c r="B48" s="28" t="s">
        <v>497</v>
      </c>
      <c r="D48" s="256"/>
      <c r="E48" s="256"/>
      <c r="F48" s="256"/>
      <c r="G48" s="256"/>
      <c r="H48" s="256"/>
      <c r="I48" s="256"/>
      <c r="J48" s="256"/>
      <c r="K48" s="256"/>
      <c r="L48" s="256"/>
      <c r="M48" s="256"/>
      <c r="N48" s="256"/>
      <c r="O48" s="256"/>
      <c r="P48" s="256"/>
      <c r="Q48" s="256"/>
      <c r="R48" s="261">
        <v>5000</v>
      </c>
      <c r="S48" s="159">
        <v>5000</v>
      </c>
      <c r="T48" s="159">
        <v>5000</v>
      </c>
      <c r="U48" s="159">
        <v>5000</v>
      </c>
      <c r="V48" s="159">
        <v>5000</v>
      </c>
      <c r="W48" s="159">
        <v>5000</v>
      </c>
    </row>
    <row r="49" spans="2:27" ht="10.15" x14ac:dyDescent="0.2">
      <c r="B49" s="28" t="s">
        <v>498</v>
      </c>
      <c r="D49" s="256"/>
      <c r="E49" s="256"/>
      <c r="F49" s="256"/>
      <c r="G49" s="256"/>
      <c r="H49" s="256"/>
      <c r="I49" s="256"/>
      <c r="J49" s="256"/>
      <c r="K49" s="256"/>
      <c r="L49" s="256"/>
      <c r="M49" s="256"/>
      <c r="N49" s="256"/>
      <c r="O49" s="256"/>
      <c r="P49" s="256"/>
      <c r="Q49" s="256"/>
      <c r="R49" s="256"/>
      <c r="S49" s="52">
        <f>+AVERAGE(R48:S48)</f>
        <v>5000</v>
      </c>
      <c r="T49" s="52">
        <f t="shared" ref="T49" si="24">+AVERAGE(S48:T48)</f>
        <v>5000</v>
      </c>
      <c r="U49" s="52">
        <f t="shared" ref="U49" si="25">+AVERAGE(T48:U48)</f>
        <v>5000</v>
      </c>
      <c r="V49" s="52">
        <f t="shared" ref="V49" si="26">+AVERAGE(U48:V48)</f>
        <v>5000</v>
      </c>
      <c r="W49" s="52">
        <f t="shared" ref="W49" si="27">+AVERAGE(V48:W48)</f>
        <v>5000</v>
      </c>
    </row>
    <row r="50" spans="2:27" ht="12" x14ac:dyDescent="0.35">
      <c r="B50" s="28" t="s">
        <v>486</v>
      </c>
      <c r="D50" s="256"/>
      <c r="E50" s="256"/>
      <c r="F50" s="256"/>
      <c r="G50" s="256"/>
      <c r="H50" s="256"/>
      <c r="I50" s="256"/>
      <c r="J50" s="256"/>
      <c r="K50" s="256"/>
      <c r="L50" s="256"/>
      <c r="M50" s="256"/>
      <c r="N50" s="256"/>
      <c r="O50" s="256"/>
      <c r="P50" s="256"/>
      <c r="Q50" s="256"/>
      <c r="R50" s="256"/>
      <c r="S50" s="260">
        <v>0.25</v>
      </c>
      <c r="T50" s="260">
        <v>0.25</v>
      </c>
      <c r="U50" s="260">
        <v>0.25</v>
      </c>
      <c r="V50" s="260">
        <v>0.25</v>
      </c>
      <c r="W50" s="260">
        <v>0.25</v>
      </c>
    </row>
    <row r="51" spans="2:27" ht="10.15" x14ac:dyDescent="0.2">
      <c r="B51" s="41" t="s">
        <v>501</v>
      </c>
      <c r="D51" s="256"/>
      <c r="E51" s="256"/>
      <c r="F51" s="256"/>
      <c r="G51" s="256"/>
      <c r="H51" s="256"/>
      <c r="I51" s="256"/>
      <c r="J51" s="256"/>
      <c r="K51" s="256"/>
      <c r="L51" s="256"/>
      <c r="M51" s="256"/>
      <c r="N51" s="256"/>
      <c r="O51" s="256"/>
      <c r="P51" s="256"/>
      <c r="Q51" s="256"/>
      <c r="R51" s="256"/>
      <c r="S51" s="52">
        <f>+S49*S50</f>
        <v>1250</v>
      </c>
      <c r="T51" s="52">
        <f t="shared" ref="T51" si="28">+T49*T50</f>
        <v>1250</v>
      </c>
      <c r="U51" s="52">
        <f t="shared" ref="U51" si="29">+U49*U50</f>
        <v>1250</v>
      </c>
      <c r="V51" s="52">
        <f t="shared" ref="V51" si="30">+V49*V50</f>
        <v>1250</v>
      </c>
      <c r="W51" s="52">
        <f t="shared" ref="W51" si="31">+W49*W50</f>
        <v>1250</v>
      </c>
    </row>
    <row r="52" spans="2:27" ht="10.15" x14ac:dyDescent="0.2">
      <c r="B52" s="41"/>
      <c r="D52" s="256"/>
      <c r="E52" s="256"/>
      <c r="F52" s="256"/>
      <c r="G52" s="256"/>
      <c r="H52" s="256"/>
      <c r="I52" s="256"/>
      <c r="J52" s="256"/>
      <c r="K52" s="256"/>
      <c r="L52" s="256"/>
      <c r="M52" s="256"/>
      <c r="N52" s="256"/>
      <c r="O52" s="256"/>
      <c r="P52" s="256"/>
      <c r="Q52" s="256"/>
      <c r="R52" s="256"/>
      <c r="S52" s="52"/>
      <c r="T52" s="52"/>
      <c r="U52" s="52"/>
      <c r="V52" s="52"/>
      <c r="W52" s="52"/>
    </row>
    <row r="53" spans="2:27" x14ac:dyDescent="0.2">
      <c r="B53" s="23" t="s">
        <v>487</v>
      </c>
      <c r="D53" s="256"/>
      <c r="E53" s="256"/>
      <c r="F53" s="256"/>
      <c r="G53" s="256"/>
      <c r="H53" s="256"/>
      <c r="I53" s="256"/>
      <c r="J53" s="256"/>
      <c r="K53" s="256"/>
      <c r="L53" s="256"/>
      <c r="M53" s="256"/>
      <c r="N53" s="256"/>
      <c r="O53" s="256"/>
      <c r="P53" s="256"/>
      <c r="Q53" s="256"/>
      <c r="R53" s="256"/>
      <c r="S53" s="256"/>
      <c r="T53" s="256"/>
      <c r="U53" s="256"/>
      <c r="V53" s="256"/>
      <c r="W53" s="256"/>
    </row>
    <row r="54" spans="2:27" s="1" customFormat="1" ht="13.5" x14ac:dyDescent="0.35">
      <c r="B54" s="1" t="s">
        <v>487</v>
      </c>
      <c r="D54" s="269">
        <f t="shared" ref="D54:R54" si="32">+IFERROR(D58/D8,"n/a")</f>
        <v>7.4900000000000001E-3</v>
      </c>
      <c r="E54" s="269">
        <f t="shared" si="32"/>
        <v>7.7799999999999996E-3</v>
      </c>
      <c r="F54" s="269">
        <f t="shared" si="32"/>
        <v>7.3600000000000002E-3</v>
      </c>
      <c r="G54" s="269">
        <f t="shared" si="32"/>
        <v>7.4000000000000012E-3</v>
      </c>
      <c r="H54" s="269">
        <f t="shared" si="32"/>
        <v>7.6E-3</v>
      </c>
      <c r="I54" s="269">
        <f t="shared" si="32"/>
        <v>7.7999999999999996E-3</v>
      </c>
      <c r="J54" s="269">
        <f t="shared" si="32"/>
        <v>6.77E-3</v>
      </c>
      <c r="K54" s="269">
        <f t="shared" si="32"/>
        <v>7.11E-3</v>
      </c>
      <c r="L54" s="269">
        <f t="shared" si="32"/>
        <v>6.6499999999999997E-3</v>
      </c>
      <c r="M54" s="269">
        <f t="shared" si="32"/>
        <v>6.5300000000000002E-3</v>
      </c>
      <c r="N54" s="269">
        <f t="shared" si="32"/>
        <v>6.4499999999999991E-3</v>
      </c>
      <c r="O54" s="269">
        <f t="shared" si="32"/>
        <v>6.4000000000000003E-3</v>
      </c>
      <c r="P54" s="270">
        <f t="shared" si="32"/>
        <v>6.1999999999999998E-3</v>
      </c>
      <c r="Q54" s="270">
        <f t="shared" si="32"/>
        <v>6.1999999999999998E-3</v>
      </c>
      <c r="R54" s="270">
        <f t="shared" si="32"/>
        <v>6.0000000000000001E-3</v>
      </c>
      <c r="S54" s="270">
        <f t="shared" ref="S54:W54" si="33">+IFERROR(S58/S8,"n/a")</f>
        <v>6.1399999999999996E-3</v>
      </c>
      <c r="T54" s="270">
        <f t="shared" si="33"/>
        <v>5.7999999999999996E-3</v>
      </c>
      <c r="U54" s="270">
        <f t="shared" si="33"/>
        <v>5.7999999999999996E-3</v>
      </c>
      <c r="V54" s="270">
        <f t="shared" si="33"/>
        <v>5.5999999999999999E-3</v>
      </c>
      <c r="W54" s="270">
        <f t="shared" si="33"/>
        <v>5.7000000000000002E-3</v>
      </c>
      <c r="Y54" s="270">
        <f t="shared" ref="Y54" si="34">+IFERROR(Y58/Y8,"n/a")</f>
        <v>6.4957869105049812E-3</v>
      </c>
      <c r="Z54" s="270">
        <f t="shared" ref="Z54" si="35">+IFERROR(Z58/Z8,"n/a")</f>
        <v>6.1297864310177934E-3</v>
      </c>
      <c r="AA54" s="270">
        <f t="shared" ref="AA54" si="36">+IFERROR(AA58/AA8,"n/a")</f>
        <v>5.721076891027718E-3</v>
      </c>
    </row>
    <row r="55" spans="2:27" ht="13.5" x14ac:dyDescent="0.35">
      <c r="B55" s="24" t="s">
        <v>136</v>
      </c>
      <c r="D55" s="257"/>
      <c r="E55" s="257"/>
      <c r="F55" s="257"/>
      <c r="G55" s="257"/>
      <c r="H55" s="257"/>
      <c r="I55" s="257"/>
      <c r="J55" s="257"/>
      <c r="K55" s="257"/>
      <c r="L55" s="257"/>
      <c r="M55" s="257"/>
      <c r="N55" s="257"/>
      <c r="O55" s="257"/>
      <c r="P55" s="262">
        <f t="shared" ref="P55" si="37">+IFERROR(P54/L54-1,"n/a")</f>
        <v>-6.7669172932330768E-2</v>
      </c>
      <c r="Q55" s="262">
        <f t="shared" ref="Q55" si="38">+IFERROR(Q54/M54-1,"n/a")</f>
        <v>-5.0535987748851485E-2</v>
      </c>
      <c r="R55" s="262">
        <f t="shared" ref="R55" si="39">+IFERROR(R54/N54-1,"n/a")</f>
        <v>-6.9767441860465018E-2</v>
      </c>
      <c r="S55" s="262">
        <f t="shared" ref="S55" si="40">+IFERROR(S54/O54-1,"n/a")</f>
        <v>-4.0625000000000133E-2</v>
      </c>
      <c r="T55" s="262">
        <f t="shared" ref="T55" si="41">+IFERROR(T54/P54-1,"n/a")</f>
        <v>-6.4516129032258118E-2</v>
      </c>
      <c r="U55" s="262">
        <f t="shared" ref="U55" si="42">+IFERROR(U54/Q54-1,"n/a")</f>
        <v>-6.4516129032258118E-2</v>
      </c>
      <c r="V55" s="262">
        <f t="shared" ref="V55" si="43">+IFERROR(V54/R54-1,"n/a")</f>
        <v>-6.6666666666666652E-2</v>
      </c>
      <c r="W55" s="262">
        <f t="shared" ref="W55" si="44">+IFERROR(W54/S54-1,"n/a")</f>
        <v>-7.1661237785016207E-2</v>
      </c>
      <c r="Z55" s="262">
        <f>+IFERROR(Z54/Y54-1,"n/a")</f>
        <v>-5.6344286616805794E-2</v>
      </c>
      <c r="AA55" s="262">
        <f>+IFERROR(AA54/Z54-1,"n/a")</f>
        <v>-6.667598367243821E-2</v>
      </c>
    </row>
    <row r="56" spans="2:27" ht="13.5" x14ac:dyDescent="0.35">
      <c r="D56" s="257"/>
      <c r="E56" s="257"/>
      <c r="F56" s="257"/>
      <c r="G56" s="257"/>
      <c r="H56" s="257"/>
      <c r="I56" s="257"/>
      <c r="J56" s="257"/>
      <c r="K56" s="257"/>
      <c r="L56" s="257"/>
      <c r="M56" s="257"/>
      <c r="N56" s="257"/>
      <c r="O56" s="257"/>
      <c r="P56" s="267"/>
      <c r="Q56" s="267"/>
      <c r="R56" s="267"/>
      <c r="S56" s="267"/>
      <c r="T56" s="267"/>
      <c r="U56" s="267"/>
      <c r="V56" s="267"/>
      <c r="W56" s="267"/>
    </row>
    <row r="57" spans="2:27" ht="13.5" x14ac:dyDescent="0.35">
      <c r="B57" s="23" t="s">
        <v>450</v>
      </c>
      <c r="D57" s="257"/>
      <c r="E57" s="257"/>
      <c r="F57" s="257"/>
      <c r="G57" s="257"/>
      <c r="H57" s="257"/>
      <c r="I57" s="257"/>
      <c r="J57" s="257"/>
      <c r="K57" s="257"/>
      <c r="L57" s="257"/>
      <c r="M57" s="257"/>
      <c r="N57" s="257"/>
      <c r="O57" s="257"/>
      <c r="P57" s="267"/>
      <c r="Q57" s="267"/>
      <c r="R57" s="267"/>
      <c r="S57" s="267"/>
      <c r="T57" s="267"/>
      <c r="U57" s="267"/>
      <c r="V57" s="267"/>
      <c r="W57" s="267"/>
    </row>
    <row r="58" spans="2:27" x14ac:dyDescent="0.2">
      <c r="B58" s="268" t="s">
        <v>450</v>
      </c>
      <c r="D58" s="256">
        <f>+'Historical Financials'!P140</f>
        <v>59.821132000000006</v>
      </c>
      <c r="E58" s="256">
        <f>+'Historical Financials'!Q140</f>
        <v>92.067741999999996</v>
      </c>
      <c r="F58" s="256">
        <f>+'Historical Financials'!R140</f>
        <v>99.044992000000008</v>
      </c>
      <c r="G58" s="256">
        <f>+'Historical Financials'!S140</f>
        <v>99.160000000000011</v>
      </c>
      <c r="H58" s="256">
        <f>+'Historical Financials'!T140</f>
        <v>101.99884</v>
      </c>
      <c r="I58" s="256">
        <f>+'Historical Financials'!U140</f>
        <v>131.61017999999999</v>
      </c>
      <c r="J58" s="256">
        <f>+'Historical Financials'!V140</f>
        <v>139.44439800000001</v>
      </c>
      <c r="K58" s="256">
        <f>+'Historical Financials'!W140</f>
        <v>147.15069299999996</v>
      </c>
      <c r="L58" s="256">
        <f>+'Historical Financials'!X140</f>
        <v>148.008385</v>
      </c>
      <c r="M58" s="256">
        <f>+'Historical Financials'!Y140</f>
        <v>174.961555</v>
      </c>
      <c r="N58" s="256">
        <f>+'Historical Financials'!Z140</f>
        <v>180.16784999999999</v>
      </c>
      <c r="O58" s="256">
        <f>+'Historical Financials'!AA140</f>
        <v>205.12384000000006</v>
      </c>
      <c r="P58" s="256">
        <f>+'Historical Financials'!AB140</f>
        <v>206.79666</v>
      </c>
      <c r="Q58" s="256">
        <f>+'Historical Financials'!AC140</f>
        <v>248.50591999999997</v>
      </c>
      <c r="R58" s="256">
        <f>+'Historical Financials'!AD140</f>
        <v>261</v>
      </c>
      <c r="S58" s="256">
        <f>+'Historical Financials'!AE140</f>
        <v>294.27622753573576</v>
      </c>
      <c r="T58" s="256">
        <f>+'Historical Financials'!AF140</f>
        <v>276.64056420000003</v>
      </c>
      <c r="U58" s="256">
        <f>+'Historical Financials'!AG140</f>
        <v>320.81312639999993</v>
      </c>
      <c r="V58" s="256">
        <f>+'Historical Financials'!AH140</f>
        <v>316.68</v>
      </c>
      <c r="W58" s="256">
        <f>+'Historical Financials'!AI140</f>
        <v>346.94879660117124</v>
      </c>
      <c r="Y58" s="256">
        <f>+'Historical Financials'!AQ140</f>
        <v>708.26163000000008</v>
      </c>
      <c r="Z58" s="256">
        <f>+'Historical Financials'!AR140</f>
        <v>1010.5788075357358</v>
      </c>
      <c r="AA58" s="256">
        <f>+'Historical Financials'!AS140</f>
        <v>1261.0824872011713</v>
      </c>
    </row>
    <row r="59" spans="2:27" x14ac:dyDescent="0.2">
      <c r="B59" s="24" t="s">
        <v>136</v>
      </c>
      <c r="D59" s="20"/>
      <c r="H59" s="262">
        <f t="shared" ref="H59" si="45">+IFERROR(H58/D58-1,"n/a")</f>
        <v>0.70506368886499837</v>
      </c>
      <c r="I59" s="262">
        <f t="shared" ref="I59" si="46">+IFERROR(I58/E58-1,"n/a")</f>
        <v>0.42949286189727554</v>
      </c>
      <c r="J59" s="262">
        <f t="shared" ref="J59" si="47">+IFERROR(J58/F58-1,"n/a")</f>
        <v>0.40788943675213774</v>
      </c>
      <c r="K59" s="262">
        <f t="shared" ref="K59" si="48">+IFERROR(K58/G58-1,"n/a")</f>
        <v>0.48397229729729685</v>
      </c>
      <c r="L59" s="262">
        <f t="shared" ref="L59" si="49">+IFERROR(L58/H58-1,"n/a")</f>
        <v>0.45107910050741751</v>
      </c>
      <c r="M59" s="262">
        <f t="shared" ref="M59" si="50">+IFERROR(M58/I58-1,"n/a")</f>
        <v>0.32939226281735978</v>
      </c>
      <c r="N59" s="262">
        <f t="shared" ref="N59" si="51">+IFERROR(N58/J58-1,"n/a")</f>
        <v>0.29204078890282825</v>
      </c>
      <c r="O59" s="262">
        <f t="shared" ref="O59" si="52">+IFERROR(O58/K58-1,"n/a")</f>
        <v>0.3939712808556064</v>
      </c>
      <c r="P59" s="262">
        <f t="shared" ref="P59" si="53">+IFERROR(P58/L58-1,"n/a")</f>
        <v>0.39719557104822134</v>
      </c>
      <c r="Q59" s="262">
        <f t="shared" ref="Q59" si="54">+IFERROR(Q58/M58-1,"n/a")</f>
        <v>0.42034585826583437</v>
      </c>
      <c r="R59" s="262">
        <f t="shared" ref="R59" si="55">+IFERROR(R58/N58-1,"n/a")</f>
        <v>0.44864913468190926</v>
      </c>
      <c r="S59" s="262">
        <f t="shared" ref="S59" si="56">+IFERROR(S58/O58-1,"n/a")</f>
        <v>0.43462713810221021</v>
      </c>
      <c r="T59" s="262">
        <f t="shared" ref="T59" si="57">+IFERROR(T58/P58-1,"n/a")</f>
        <v>0.3377419354838711</v>
      </c>
      <c r="U59" s="262">
        <f t="shared" ref="U59" si="58">+IFERROR(U58/Q58-1,"n/a")</f>
        <v>0.29096774193548369</v>
      </c>
      <c r="V59" s="262">
        <f t="shared" ref="V59" si="59">+IFERROR(V58/R58-1,"n/a")</f>
        <v>0.21333333333333337</v>
      </c>
      <c r="W59" s="262">
        <f t="shared" ref="W59" si="60">+IFERROR(W58/S58-1,"n/a")</f>
        <v>0.17899022801302955</v>
      </c>
      <c r="Z59" s="262">
        <f>+IFERROR(Z58/Y58-1,"n/a")</f>
        <v>0.42684392988468911</v>
      </c>
      <c r="AA59" s="262">
        <f>+IFERROR(AA58/Z58-1,"n/a")</f>
        <v>0.24788139014737576</v>
      </c>
    </row>
  </sheetData>
  <phoneticPr fontId="4" type="noConversion"/>
  <pageMargins left="0.3" right="0.3" top="0.3" bottom="0.3" header="0.3" footer="0.3"/>
  <pageSetup scale="95" orientation="portrait" r:id="rId1"/>
  <headerFooter>
    <oddFooter>Page &amp;P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AB767-1806-4A3F-86BB-BAB11B55ED0F}">
  <sheetPr>
    <pageSetUpPr fitToPage="1"/>
  </sheetPr>
  <dimension ref="B2:F46"/>
  <sheetViews>
    <sheetView view="pageBreakPreview" zoomScaleNormal="85" zoomScaleSheetLayoutView="100" workbookViewId="0">
      <selection activeCell="F5" sqref="F5"/>
    </sheetView>
  </sheetViews>
  <sheetFormatPr defaultRowHeight="11.25" x14ac:dyDescent="0.2"/>
  <cols>
    <col min="1" max="1" width="2.83203125" customWidth="1"/>
    <col min="2" max="2" width="50.83203125" customWidth="1"/>
    <col min="3" max="3" width="2.83203125" customWidth="1"/>
    <col min="4" max="4" width="10.83203125" customWidth="1"/>
    <col min="5" max="5" width="2.83203125" customWidth="1"/>
    <col min="6" max="6" width="100.83203125" customWidth="1"/>
  </cols>
  <sheetData>
    <row r="2" spans="2:6" x14ac:dyDescent="0.2">
      <c r="B2" s="1" t="s">
        <v>0</v>
      </c>
      <c r="F2" s="8">
        <f ca="1">TODAY()</f>
        <v>45796</v>
      </c>
    </row>
    <row r="3" spans="2:6" s="5" customFormat="1" x14ac:dyDescent="0.2">
      <c r="B3" s="2" t="s">
        <v>426</v>
      </c>
    </row>
    <row r="4" spans="2:6" x14ac:dyDescent="0.2">
      <c r="B4" s="3" t="s">
        <v>194</v>
      </c>
    </row>
    <row r="6" spans="2:6" ht="13.5" x14ac:dyDescent="0.35">
      <c r="D6" s="4" t="s">
        <v>422</v>
      </c>
      <c r="F6" s="4" t="s">
        <v>409</v>
      </c>
    </row>
    <row r="7" spans="2:6" x14ac:dyDescent="0.2">
      <c r="B7" s="31"/>
      <c r="C7" s="1"/>
      <c r="D7" s="56"/>
    </row>
    <row r="8" spans="2:6" x14ac:dyDescent="0.2">
      <c r="B8" s="23" t="s">
        <v>416</v>
      </c>
    </row>
    <row r="9" spans="2:6" x14ac:dyDescent="0.2">
      <c r="B9" t="s">
        <v>399</v>
      </c>
      <c r="D9" s="205">
        <f>+'Historical Financials'!AM119</f>
        <v>22125.200000000001</v>
      </c>
    </row>
    <row r="10" spans="2:6" ht="24.75" x14ac:dyDescent="0.35">
      <c r="B10" t="s">
        <v>398</v>
      </c>
      <c r="D10" s="15">
        <v>185000</v>
      </c>
      <c r="F10" s="209" t="s">
        <v>400</v>
      </c>
    </row>
    <row r="11" spans="2:6" x14ac:dyDescent="0.2">
      <c r="B11" s="31" t="s">
        <v>397</v>
      </c>
      <c r="C11" s="1"/>
      <c r="D11" s="56">
        <f>SUM(D9:D10)</f>
        <v>207125.2</v>
      </c>
    </row>
    <row r="13" spans="2:6" x14ac:dyDescent="0.2">
      <c r="B13" s="23" t="s">
        <v>406</v>
      </c>
    </row>
    <row r="14" spans="2:6" x14ac:dyDescent="0.2">
      <c r="B14" t="s">
        <v>404</v>
      </c>
      <c r="D14" s="205">
        <f>+'Historical Financials'!AC119*4</f>
        <v>160326.39999999999</v>
      </c>
    </row>
    <row r="15" spans="2:6" ht="13.5" x14ac:dyDescent="0.35">
      <c r="B15" t="s">
        <v>405</v>
      </c>
      <c r="D15" s="15">
        <v>100000</v>
      </c>
      <c r="F15" t="s">
        <v>403</v>
      </c>
    </row>
    <row r="16" spans="2:6" x14ac:dyDescent="0.2">
      <c r="B16" s="31" t="s">
        <v>406</v>
      </c>
      <c r="C16" s="1"/>
      <c r="D16" s="56">
        <f>SUM(D14:D15)</f>
        <v>260326.39999999999</v>
      </c>
    </row>
    <row r="18" spans="2:6" x14ac:dyDescent="0.2">
      <c r="B18" s="23" t="s">
        <v>402</v>
      </c>
    </row>
    <row r="19" spans="2:6" x14ac:dyDescent="0.2">
      <c r="B19" t="s">
        <v>401</v>
      </c>
      <c r="D19" s="13">
        <f>+D16</f>
        <v>260326.39999999999</v>
      </c>
    </row>
    <row r="20" spans="2:6" ht="13.5" x14ac:dyDescent="0.35">
      <c r="B20" t="s">
        <v>397</v>
      </c>
      <c r="D20" s="16">
        <f>+-D11</f>
        <v>-207125.2</v>
      </c>
    </row>
    <row r="21" spans="2:6" x14ac:dyDescent="0.2">
      <c r="B21" s="31" t="s">
        <v>402</v>
      </c>
      <c r="C21" s="1"/>
      <c r="D21" s="56">
        <f>SUM(D19:D20)</f>
        <v>53201.199999999983</v>
      </c>
    </row>
    <row r="22" spans="2:6" x14ac:dyDescent="0.2">
      <c r="B22" s="31"/>
      <c r="C22" s="1"/>
      <c r="D22" s="56"/>
    </row>
    <row r="23" spans="2:6" x14ac:dyDescent="0.2">
      <c r="B23" s="23" t="s">
        <v>417</v>
      </c>
      <c r="C23" s="1"/>
      <c r="D23" s="56"/>
    </row>
    <row r="24" spans="2:6" ht="22.5" x14ac:dyDescent="0.2">
      <c r="B24" t="s">
        <v>412</v>
      </c>
      <c r="C24" s="210"/>
      <c r="D24" s="215">
        <v>2000</v>
      </c>
      <c r="E24" s="210"/>
      <c r="F24" s="211" t="s">
        <v>407</v>
      </c>
    </row>
    <row r="25" spans="2:6" x14ac:dyDescent="0.2">
      <c r="B25" t="s">
        <v>413</v>
      </c>
      <c r="D25" s="14">
        <v>2750</v>
      </c>
      <c r="F25" t="s">
        <v>408</v>
      </c>
    </row>
    <row r="26" spans="2:6" ht="13.5" x14ac:dyDescent="0.35">
      <c r="B26" t="s">
        <v>414</v>
      </c>
      <c r="D26" s="15">
        <v>15000</v>
      </c>
      <c r="F26" t="s">
        <v>410</v>
      </c>
    </row>
    <row r="27" spans="2:6" x14ac:dyDescent="0.2">
      <c r="B27" s="31" t="s">
        <v>418</v>
      </c>
      <c r="D27" s="56">
        <f>SUM(D24:D26)</f>
        <v>19750</v>
      </c>
    </row>
    <row r="29" spans="2:6" x14ac:dyDescent="0.2">
      <c r="B29" s="23" t="s">
        <v>419</v>
      </c>
    </row>
    <row r="30" spans="2:6" x14ac:dyDescent="0.2">
      <c r="B30" t="s">
        <v>402</v>
      </c>
      <c r="D30" s="13">
        <f>+D21</f>
        <v>53201.199999999983</v>
      </c>
    </row>
    <row r="31" spans="2:6" ht="13.5" x14ac:dyDescent="0.35">
      <c r="B31" t="s">
        <v>418</v>
      </c>
      <c r="D31" s="16">
        <f>-D27</f>
        <v>-19750</v>
      </c>
    </row>
    <row r="32" spans="2:6" x14ac:dyDescent="0.2">
      <c r="B32" s="31" t="s">
        <v>419</v>
      </c>
      <c r="D32" s="56">
        <f>SUM(D30:D31)</f>
        <v>33451.199999999983</v>
      </c>
    </row>
    <row r="33" spans="2:6" x14ac:dyDescent="0.2">
      <c r="B33" s="28" t="s">
        <v>420</v>
      </c>
      <c r="D33" s="207">
        <f>+D32/D16</f>
        <v>0.12849714819549604</v>
      </c>
    </row>
    <row r="34" spans="2:6" x14ac:dyDescent="0.2">
      <c r="B34" s="28" t="s">
        <v>421</v>
      </c>
      <c r="D34" s="207">
        <f>+(1+D33)^(1/4.5)-1</f>
        <v>2.7227814077752654E-2</v>
      </c>
    </row>
    <row r="36" spans="2:6" x14ac:dyDescent="0.2">
      <c r="B36" s="27" t="s">
        <v>423</v>
      </c>
    </row>
    <row r="37" spans="2:6" x14ac:dyDescent="0.2">
      <c r="B37" s="24" t="s">
        <v>287</v>
      </c>
      <c r="D37" s="208" t="s">
        <v>289</v>
      </c>
    </row>
    <row r="38" spans="2:6" x14ac:dyDescent="0.2">
      <c r="B38" s="24" t="s">
        <v>284</v>
      </c>
      <c r="D38" s="208" t="s">
        <v>289</v>
      </c>
    </row>
    <row r="39" spans="2:6" x14ac:dyDescent="0.2">
      <c r="B39" s="24" t="s">
        <v>283</v>
      </c>
      <c r="D39" s="208" t="s">
        <v>289</v>
      </c>
    </row>
    <row r="40" spans="2:6" x14ac:dyDescent="0.2">
      <c r="B40" s="24" t="s">
        <v>282</v>
      </c>
      <c r="D40" s="208" t="s">
        <v>289</v>
      </c>
    </row>
    <row r="41" spans="2:6" x14ac:dyDescent="0.2">
      <c r="B41" s="24" t="s">
        <v>281</v>
      </c>
      <c r="D41" s="208" t="s">
        <v>289</v>
      </c>
    </row>
    <row r="42" spans="2:6" ht="33.75" x14ac:dyDescent="0.2">
      <c r="B42" s="214" t="s">
        <v>280</v>
      </c>
      <c r="C42" s="210"/>
      <c r="D42" s="212" t="s">
        <v>289</v>
      </c>
      <c r="E42" s="210"/>
      <c r="F42" s="213" t="s">
        <v>415</v>
      </c>
    </row>
    <row r="43" spans="2:6" ht="22.5" x14ac:dyDescent="0.2">
      <c r="B43" s="214" t="s">
        <v>279</v>
      </c>
      <c r="C43" s="210"/>
      <c r="D43" s="212" t="s">
        <v>289</v>
      </c>
      <c r="F43" s="213" t="s">
        <v>425</v>
      </c>
    </row>
    <row r="44" spans="2:6" x14ac:dyDescent="0.2">
      <c r="B44" s="24" t="s">
        <v>295</v>
      </c>
      <c r="D44" s="208" t="s">
        <v>289</v>
      </c>
    </row>
    <row r="45" spans="2:6" x14ac:dyDescent="0.2">
      <c r="B45" s="24" t="s">
        <v>294</v>
      </c>
      <c r="D45" s="208" t="s">
        <v>289</v>
      </c>
      <c r="F45" s="3" t="s">
        <v>424</v>
      </c>
    </row>
    <row r="46" spans="2:6" x14ac:dyDescent="0.2">
      <c r="B46" s="24" t="s">
        <v>364</v>
      </c>
      <c r="D46" s="208" t="s">
        <v>289</v>
      </c>
    </row>
  </sheetData>
  <pageMargins left="0.3" right="0.3" top="0.3" bottom="0.3" header="0.3" footer="0.3"/>
  <pageSetup scale="7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90FB-4813-4B2C-BF53-00A71DC35028}">
  <dimension ref="B2:C32"/>
  <sheetViews>
    <sheetView workbookViewId="0">
      <selection activeCell="B29" sqref="B29"/>
    </sheetView>
  </sheetViews>
  <sheetFormatPr defaultRowHeight="11.25" x14ac:dyDescent="0.2"/>
  <cols>
    <col min="1" max="1" width="2.6640625" customWidth="1"/>
    <col min="2" max="2" width="25.5" customWidth="1"/>
  </cols>
  <sheetData>
    <row r="2" spans="2:3" ht="12" x14ac:dyDescent="0.35">
      <c r="C2" s="221" t="s">
        <v>437</v>
      </c>
    </row>
    <row r="4" spans="2:3" ht="10.15" x14ac:dyDescent="0.2">
      <c r="B4" s="23" t="s">
        <v>432</v>
      </c>
    </row>
    <row r="5" spans="2:3" ht="10.15" x14ac:dyDescent="0.2">
      <c r="B5" t="s">
        <v>434</v>
      </c>
      <c r="C5" s="13">
        <v>64000</v>
      </c>
    </row>
    <row r="6" spans="2:3" ht="10.15" x14ac:dyDescent="0.2">
      <c r="B6" t="s">
        <v>435</v>
      </c>
      <c r="C6" s="13">
        <v>22000</v>
      </c>
    </row>
    <row r="7" spans="2:3" ht="10.15" x14ac:dyDescent="0.2">
      <c r="B7" t="s">
        <v>436</v>
      </c>
      <c r="C7" s="220">
        <f>+C6/C5</f>
        <v>0.34375</v>
      </c>
    </row>
    <row r="8" spans="2:3" ht="10.15" x14ac:dyDescent="0.2">
      <c r="C8" s="220"/>
    </row>
    <row r="9" spans="2:3" ht="10.15" x14ac:dyDescent="0.2">
      <c r="B9" s="23" t="s">
        <v>433</v>
      </c>
    </row>
    <row r="10" spans="2:3" ht="10.15" x14ac:dyDescent="0.2">
      <c r="B10" t="s">
        <v>434</v>
      </c>
      <c r="C10" s="13">
        <v>66000</v>
      </c>
    </row>
    <row r="11" spans="2:3" ht="10.15" x14ac:dyDescent="0.2">
      <c r="B11" t="s">
        <v>435</v>
      </c>
      <c r="C11" s="13">
        <v>185000</v>
      </c>
    </row>
    <row r="12" spans="2:3" ht="10.15" x14ac:dyDescent="0.2">
      <c r="B12" t="s">
        <v>436</v>
      </c>
      <c r="C12" s="220">
        <f>+C11/C10</f>
        <v>2.8030303030303032</v>
      </c>
    </row>
    <row r="14" spans="2:3" ht="10.15" x14ac:dyDescent="0.2">
      <c r="B14" s="23" t="s">
        <v>439</v>
      </c>
    </row>
    <row r="15" spans="2:3" ht="10.15" x14ac:dyDescent="0.2">
      <c r="B15" t="s">
        <v>434</v>
      </c>
      <c r="C15" s="13">
        <v>10000</v>
      </c>
    </row>
    <row r="16" spans="2:3" ht="10.15" x14ac:dyDescent="0.2">
      <c r="B16" t="s">
        <v>435</v>
      </c>
      <c r="C16" s="13">
        <v>15000</v>
      </c>
    </row>
    <row r="17" spans="2:3" ht="10.15" x14ac:dyDescent="0.2">
      <c r="B17" t="s">
        <v>436</v>
      </c>
      <c r="C17" s="220">
        <f>+C16/C15</f>
        <v>1.5</v>
      </c>
    </row>
    <row r="19" spans="2:3" ht="10.15" x14ac:dyDescent="0.2">
      <c r="B19" s="23" t="s">
        <v>294</v>
      </c>
    </row>
    <row r="20" spans="2:3" ht="10.15" x14ac:dyDescent="0.2">
      <c r="B20" t="s">
        <v>434</v>
      </c>
      <c r="C20" s="13">
        <v>65000</v>
      </c>
    </row>
    <row r="21" spans="2:3" ht="10.15" x14ac:dyDescent="0.2">
      <c r="B21" t="s">
        <v>435</v>
      </c>
      <c r="C21" s="13">
        <f>25000*1.08</f>
        <v>27000</v>
      </c>
    </row>
    <row r="22" spans="2:3" ht="10.15" x14ac:dyDescent="0.2">
      <c r="B22" t="s">
        <v>436</v>
      </c>
      <c r="C22" s="220">
        <f>+C21/C20</f>
        <v>0.41538461538461541</v>
      </c>
    </row>
    <row r="24" spans="2:3" ht="10.15" x14ac:dyDescent="0.2">
      <c r="B24" s="23" t="s">
        <v>295</v>
      </c>
    </row>
    <row r="25" spans="2:3" ht="10.15" x14ac:dyDescent="0.2">
      <c r="B25" t="s">
        <v>434</v>
      </c>
      <c r="C25" s="13">
        <v>18000</v>
      </c>
    </row>
    <row r="26" spans="2:3" ht="10.15" x14ac:dyDescent="0.2">
      <c r="B26" t="s">
        <v>435</v>
      </c>
      <c r="C26" s="13">
        <v>17000</v>
      </c>
    </row>
    <row r="27" spans="2:3" ht="10.15" x14ac:dyDescent="0.2">
      <c r="B27" t="s">
        <v>436</v>
      </c>
      <c r="C27" s="220">
        <f>+C26/C25</f>
        <v>0.94444444444444442</v>
      </c>
    </row>
    <row r="29" spans="2:3" ht="10.15" x14ac:dyDescent="0.2">
      <c r="B29" s="23"/>
    </row>
    <row r="30" spans="2:3" ht="10.15" x14ac:dyDescent="0.2">
      <c r="C30" s="13"/>
    </row>
    <row r="31" spans="2:3" ht="10.15" x14ac:dyDescent="0.2">
      <c r="C31" s="13"/>
    </row>
    <row r="32" spans="2:3" ht="10.15" x14ac:dyDescent="0.2">
      <c r="C32" s="220"/>
    </row>
  </sheetData>
  <pageMargins left="0.7" right="0.7" top="0.75" bottom="0.75" header="0.3" footer="0.3"/>
  <ignoredErrors>
    <ignoredError sqref="C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7B54F80F9326D4AB5846AC1C3383526" ma:contentTypeVersion="18" ma:contentTypeDescription="Create a new document." ma:contentTypeScope="" ma:versionID="a429a91d62400243b3cba045310d747f">
  <xsd:schema xmlns:xsd="http://www.w3.org/2001/XMLSchema" xmlns:xs="http://www.w3.org/2001/XMLSchema" xmlns:p="http://schemas.microsoft.com/office/2006/metadata/properties" xmlns:ns2="700f816a-2d70-48f7-98b4-aa062cbdb163" xmlns:ns3="684023ab-f3fa-4f75-8c85-aad38775666c" targetNamespace="http://schemas.microsoft.com/office/2006/metadata/properties" ma:root="true" ma:fieldsID="9fd41046c3a9fbdd1121c909508001eb" ns2:_="" ns3:_="">
    <xsd:import namespace="700f816a-2d70-48f7-98b4-aa062cbdb163"/>
    <xsd:import namespace="684023ab-f3fa-4f75-8c85-aad38775666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0f816a-2d70-48f7-98b4-aa062cbdb1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ceb9303-a7f0-4f8a-8c8a-ed661295ba0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84023ab-f3fa-4f75-8c85-aad38775666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493c1c2-3348-4bb2-9cf0-bfee56a9355e}" ma:internalName="TaxCatchAll" ma:showField="CatchAllData" ma:web="684023ab-f3fa-4f75-8c85-aad38775666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F49705-65BD-49E8-AFA6-89D87FFEEA39}">
  <ds:schemaRefs>
    <ds:schemaRef ds:uri="http://schemas.microsoft.com/sharepoint/v3/contenttype/forms"/>
  </ds:schemaRefs>
</ds:datastoreItem>
</file>

<file path=customXml/itemProps2.xml><?xml version="1.0" encoding="utf-8"?>
<ds:datastoreItem xmlns:ds="http://schemas.openxmlformats.org/officeDocument/2006/customXml" ds:itemID="{097DE71A-6D8E-4628-A657-FC88D57D8C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0f816a-2d70-48f7-98b4-aa062cbdb163"/>
    <ds:schemaRef ds:uri="684023ab-f3fa-4f75-8c85-aad3877566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Simple Model - Case 1</vt:lpstr>
      <vt:lpstr>Historical Financials</vt:lpstr>
      <vt:lpstr>Shares OS</vt:lpstr>
      <vt:lpstr>Guidance Analysis</vt:lpstr>
      <vt:lpstr>E2E Volume Bridge</vt:lpstr>
      <vt:lpstr>E2E Growth Analysis</vt:lpstr>
      <vt:lpstr>Sheet1</vt:lpstr>
      <vt:lpstr>Segmentation</vt:lpstr>
      <vt:lpstr>Sheet3</vt:lpstr>
      <vt:lpstr>'E2E Growth Analysis'!Print_Area</vt:lpstr>
      <vt:lpstr>'E2E Volume Bridge'!Print_Area</vt:lpstr>
      <vt:lpstr>'Guidance Analysis'!Print_Area</vt:lpstr>
      <vt:lpstr>'Historical Financials'!Print_Area</vt:lpstr>
      <vt:lpstr>'Shares OS'!Print_Area</vt:lpstr>
      <vt:lpstr>Sheet1!Print_Area</vt:lpstr>
      <vt:lpstr>'Simple Model - Case 1'!Print_Area</vt:lpstr>
      <vt:lpstr>'Historical Financials'!Print_Titles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Nicolau</dc:creator>
  <cp:lastModifiedBy>Alex Nicolau</cp:lastModifiedBy>
  <cp:lastPrinted>2024-11-20T15:35:01Z</cp:lastPrinted>
  <dcterms:created xsi:type="dcterms:W3CDTF">2022-10-31T18:30:35Z</dcterms:created>
  <dcterms:modified xsi:type="dcterms:W3CDTF">2025-05-19T22:01:00Z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{01FBDC88-3BEF-49AB-864F-7653F1C9D558}</vt:lpwstr>
  </property>
</Properties>
</file>